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iki\OneDrive\Escritorio\"/>
    </mc:Choice>
  </mc:AlternateContent>
  <xr:revisionPtr revIDLastSave="0" documentId="13_ncr:1_{7D8DADA2-DC11-4D7B-8ACA-09B9CC6F484E}" xr6:coauthVersionLast="47" xr6:coauthVersionMax="47" xr10:uidLastSave="{00000000-0000-0000-0000-000000000000}"/>
  <bookViews>
    <workbookView xWindow="-120" yWindow="-120" windowWidth="29040" windowHeight="15720" tabRatio="580" activeTab="6" xr2:uid="{00000000-000D-0000-FFFF-FFFF00000000}"/>
  </bookViews>
  <sheets>
    <sheet name="AGENTES" sheetId="14" r:id="rId1"/>
    <sheet name="GASTOS FIJOS" sheetId="16" r:id="rId2"/>
    <sheet name="DENISSE" sheetId="22" r:id="rId3"/>
    <sheet name="JERALDY" sheetId="17" r:id="rId4"/>
    <sheet name="JAZMIN" sheetId="18" r:id="rId5"/>
    <sheet name="JOHANA" sheetId="19" r:id="rId6"/>
    <sheet name="Vacaciones" sheetId="21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6" l="1"/>
  <c r="K141" i="22"/>
  <c r="L141" i="22"/>
  <c r="K140" i="22"/>
  <c r="L140" i="22"/>
  <c r="K139" i="22"/>
  <c r="L139" i="22"/>
  <c r="L21" i="22"/>
  <c r="L100" i="22"/>
  <c r="K976" i="19"/>
  <c r="L976" i="19" s="1"/>
  <c r="K1123" i="19"/>
  <c r="L1123" i="19" s="1"/>
  <c r="K1122" i="19"/>
  <c r="L1122" i="19" s="1"/>
  <c r="K1121" i="19"/>
  <c r="L1121" i="19" s="1"/>
  <c r="K1120" i="19"/>
  <c r="L1120" i="19" s="1"/>
  <c r="K1119" i="19"/>
  <c r="L1119" i="19" s="1"/>
  <c r="K1118" i="19"/>
  <c r="L1118" i="19" s="1"/>
  <c r="K1117" i="19"/>
  <c r="L1117" i="19" s="1"/>
  <c r="K1116" i="19"/>
  <c r="L1116" i="19" s="1"/>
  <c r="K1114" i="19"/>
  <c r="L1114" i="19" s="1"/>
  <c r="K1113" i="19"/>
  <c r="L1113" i="19" s="1"/>
  <c r="K1112" i="19"/>
  <c r="L1112" i="19" s="1"/>
  <c r="K1111" i="19"/>
  <c r="L1111" i="19" s="1"/>
  <c r="K1110" i="19"/>
  <c r="L1110" i="19" s="1"/>
  <c r="K1109" i="19"/>
  <c r="L1109" i="19" s="1"/>
  <c r="K1108" i="19"/>
  <c r="L1108" i="19" s="1"/>
  <c r="K1106" i="19"/>
  <c r="L1106" i="19" s="1"/>
  <c r="K1107" i="19"/>
  <c r="L1107" i="19" s="1"/>
  <c r="A1114" i="19"/>
  <c r="A1113" i="19"/>
  <c r="A1112" i="19"/>
  <c r="A1111" i="19"/>
  <c r="A1110" i="19"/>
  <c r="A1109" i="19"/>
  <c r="A1108" i="19"/>
  <c r="A1107" i="19"/>
  <c r="A1106" i="19"/>
  <c r="A1123" i="19"/>
  <c r="K1105" i="19"/>
  <c r="L1105" i="19" s="1"/>
  <c r="K1115" i="19"/>
  <c r="L1115" i="19" s="1"/>
  <c r="A1105" i="19"/>
  <c r="A1115" i="19"/>
  <c r="A1116" i="19"/>
  <c r="A1117" i="19"/>
  <c r="A1118" i="19"/>
  <c r="A1119" i="19"/>
  <c r="A1120" i="19"/>
  <c r="A1121" i="19"/>
  <c r="A1122" i="19"/>
  <c r="K824" i="19"/>
  <c r="K973" i="19" l="1"/>
  <c r="L973" i="19" s="1"/>
  <c r="K974" i="19"/>
  <c r="L974" i="19" s="1"/>
  <c r="K975" i="19"/>
  <c r="L975" i="19" s="1"/>
  <c r="K972" i="19"/>
  <c r="L972" i="19" s="1"/>
  <c r="K130" i="22"/>
  <c r="L130" i="22" s="1"/>
  <c r="K128" i="22"/>
  <c r="L128" i="22" s="1"/>
  <c r="K127" i="22"/>
  <c r="L127" i="22" s="1"/>
  <c r="K970" i="19"/>
  <c r="L970" i="19" s="1"/>
  <c r="K971" i="19"/>
  <c r="L971" i="19" s="1"/>
  <c r="K1094" i="19"/>
  <c r="L1094" i="19" s="1"/>
  <c r="K1095" i="19"/>
  <c r="L1095" i="19" s="1"/>
  <c r="K1096" i="19"/>
  <c r="L1096" i="19" s="1"/>
  <c r="A1094" i="19"/>
  <c r="A1095" i="19"/>
  <c r="A1096" i="19"/>
  <c r="A135" i="22"/>
  <c r="A134" i="22"/>
  <c r="K118" i="22"/>
  <c r="L118" i="22" s="1"/>
  <c r="K134" i="22"/>
  <c r="L134" i="22" s="1"/>
  <c r="K135" i="22"/>
  <c r="L135" i="22" s="1"/>
  <c r="K117" i="22"/>
  <c r="L117" i="22" s="1"/>
  <c r="K713" i="19"/>
  <c r="K916" i="19"/>
  <c r="K969" i="19"/>
  <c r="L969" i="19" s="1"/>
  <c r="K952" i="19"/>
  <c r="K953" i="19"/>
  <c r="K956" i="19"/>
  <c r="K957" i="19"/>
  <c r="K936" i="19"/>
  <c r="K968" i="19"/>
  <c r="I937" i="19"/>
  <c r="K937" i="19" s="1"/>
  <c r="L936" i="19" l="1"/>
  <c r="L937" i="19"/>
  <c r="L952" i="19"/>
  <c r="L953" i="19"/>
  <c r="L956" i="19"/>
  <c r="L957" i="19"/>
  <c r="L968" i="19"/>
  <c r="K935" i="19"/>
  <c r="L935" i="19" s="1"/>
  <c r="K1061" i="19"/>
  <c r="L1061" i="19" s="1"/>
  <c r="A1061" i="19"/>
  <c r="K955" i="19"/>
  <c r="L955" i="19" s="1"/>
  <c r="K934" i="19"/>
  <c r="L934" i="19" s="1"/>
  <c r="K1060" i="19"/>
  <c r="L1060" i="19" s="1"/>
  <c r="A1060" i="19"/>
  <c r="K954" i="19"/>
  <c r="L954" i="19" s="1"/>
  <c r="K933" i="19" l="1"/>
  <c r="L933" i="19" s="1"/>
  <c r="K932" i="19"/>
  <c r="L932" i="19" s="1"/>
  <c r="K912" i="19"/>
  <c r="L912" i="19" s="1"/>
  <c r="K911" i="19"/>
  <c r="L911" i="19" s="1"/>
  <c r="K910" i="19"/>
  <c r="L910" i="19" s="1"/>
  <c r="K931" i="19"/>
  <c r="L931" i="19" s="1"/>
  <c r="A119" i="22"/>
  <c r="A120" i="22"/>
  <c r="A121" i="22"/>
  <c r="A122" i="22"/>
  <c r="A123" i="22"/>
  <c r="A124" i="22"/>
  <c r="A125" i="22"/>
  <c r="A126" i="22"/>
  <c r="A101" i="22"/>
  <c r="A115" i="22"/>
  <c r="K55" i="22"/>
  <c r="L55" i="22" s="1"/>
  <c r="K119" i="22" l="1"/>
  <c r="L119" i="22" s="1"/>
  <c r="K120" i="22"/>
  <c r="L120" i="22" s="1"/>
  <c r="K121" i="22"/>
  <c r="L121" i="22" s="1"/>
  <c r="K122" i="22"/>
  <c r="L122" i="22" s="1"/>
  <c r="K123" i="22"/>
  <c r="L123" i="22" s="1"/>
  <c r="K124" i="22"/>
  <c r="L124" i="22" s="1"/>
  <c r="K125" i="22"/>
  <c r="L125" i="22" s="1"/>
  <c r="K126" i="22"/>
  <c r="L126" i="22" s="1"/>
  <c r="K115" i="22"/>
  <c r="L115" i="22" s="1"/>
  <c r="K86" i="22"/>
  <c r="L86" i="22" s="1"/>
  <c r="K87" i="22"/>
  <c r="L87" i="22" s="1"/>
  <c r="K88" i="22"/>
  <c r="L88" i="22" s="1"/>
  <c r="K132" i="22"/>
  <c r="L132" i="22" s="1"/>
  <c r="K133" i="22"/>
  <c r="L133" i="22" s="1"/>
  <c r="K69" i="22"/>
  <c r="L69" i="22" s="1"/>
  <c r="K106" i="22"/>
  <c r="L106" i="22" s="1"/>
  <c r="K101" i="22"/>
  <c r="L101" i="22" s="1"/>
  <c r="K114" i="22"/>
  <c r="L114" i="22" s="1"/>
  <c r="K928" i="19"/>
  <c r="L928" i="19" s="1"/>
  <c r="K929" i="19"/>
  <c r="L929" i="19" s="1"/>
  <c r="K930" i="19"/>
  <c r="L930" i="19" s="1"/>
  <c r="K927" i="19"/>
  <c r="L927" i="19" s="1"/>
  <c r="K926" i="19"/>
  <c r="L926" i="19" s="1"/>
  <c r="K951" i="19"/>
  <c r="L951" i="19" s="1"/>
  <c r="A951" i="19"/>
  <c r="K963" i="19"/>
  <c r="K962" i="19"/>
  <c r="K960" i="19"/>
  <c r="K959" i="19"/>
  <c r="K958" i="19"/>
  <c r="K921" i="19"/>
  <c r="K883" i="19"/>
  <c r="L883" i="19" s="1"/>
  <c r="I878" i="19"/>
  <c r="I877" i="19"/>
  <c r="I858" i="19"/>
  <c r="K858" i="19" s="1"/>
  <c r="L858" i="19" s="1"/>
  <c r="I813" i="19"/>
  <c r="I812" i="19"/>
  <c r="I811" i="19"/>
  <c r="K809" i="19"/>
  <c r="K808" i="19"/>
  <c r="K807" i="19"/>
  <c r="I743" i="19"/>
  <c r="K714" i="19"/>
  <c r="K925" i="19"/>
  <c r="L925" i="19" s="1"/>
  <c r="K918" i="19"/>
  <c r="L918" i="19" s="1"/>
  <c r="K919" i="19"/>
  <c r="L919" i="19" s="1"/>
  <c r="K920" i="19"/>
  <c r="L920" i="19" s="1"/>
  <c r="K923" i="19"/>
  <c r="L923" i="19" s="1"/>
  <c r="K924" i="19"/>
  <c r="L924" i="19" s="1"/>
  <c r="K917" i="19"/>
  <c r="L917" i="19" s="1"/>
  <c r="L916" i="19"/>
  <c r="K915" i="19"/>
  <c r="L915" i="19" s="1"/>
  <c r="K136" i="22"/>
  <c r="L136" i="22" s="1"/>
  <c r="K90" i="22"/>
  <c r="L90" i="22" s="1"/>
  <c r="K98" i="22"/>
  <c r="L98" i="22" s="1"/>
  <c r="K52" i="22"/>
  <c r="L52" i="22" s="1"/>
  <c r="K51" i="22"/>
  <c r="L51" i="22" s="1"/>
  <c r="K54" i="22"/>
  <c r="L54" i="22" s="1"/>
  <c r="K62" i="22"/>
  <c r="L62" i="22" s="1"/>
  <c r="K65" i="22"/>
  <c r="L65" i="22" s="1"/>
  <c r="K64" i="22"/>
  <c r="L64" i="22" s="1"/>
  <c r="K116" i="22"/>
  <c r="L116" i="22" s="1"/>
  <c r="K63" i="22"/>
  <c r="L63" i="22" s="1"/>
  <c r="K66" i="22"/>
  <c r="L66" i="22" s="1"/>
  <c r="K68" i="22"/>
  <c r="L68" i="22" s="1"/>
  <c r="K77" i="22"/>
  <c r="L77" i="22" s="1"/>
  <c r="K96" i="22"/>
  <c r="L96" i="22" s="1"/>
  <c r="K113" i="22"/>
  <c r="L113" i="22" s="1"/>
  <c r="K99" i="22"/>
  <c r="L99" i="22" s="1"/>
  <c r="K105" i="22"/>
  <c r="L105" i="22" s="1"/>
  <c r="K104" i="22"/>
  <c r="L104" i="22" s="1"/>
  <c r="K102" i="22"/>
  <c r="L102" i="22" s="1"/>
  <c r="K103" i="22"/>
  <c r="L103" i="22" s="1"/>
  <c r="K111" i="22"/>
  <c r="L111" i="22" s="1"/>
  <c r="K110" i="22"/>
  <c r="L110" i="22" s="1"/>
  <c r="K112" i="22"/>
  <c r="L112" i="22" s="1"/>
  <c r="K109" i="22"/>
  <c r="L109" i="22" s="1"/>
  <c r="K138" i="22"/>
  <c r="L138" i="22" s="1"/>
  <c r="K131" i="22"/>
  <c r="L131" i="22" s="1"/>
  <c r="K845" i="19"/>
  <c r="K914" i="19"/>
  <c r="L914" i="19" s="1"/>
  <c r="K906" i="19"/>
  <c r="L906" i="19" s="1"/>
  <c r="K907" i="19"/>
  <c r="L907" i="19" s="1"/>
  <c r="K908" i="19"/>
  <c r="L908" i="19" s="1"/>
  <c r="K909" i="19"/>
  <c r="L909" i="19" s="1"/>
  <c r="K905" i="19"/>
  <c r="L905" i="19" s="1"/>
  <c r="K903" i="19"/>
  <c r="L903" i="19" s="1"/>
  <c r="I950" i="19"/>
  <c r="K950" i="19" s="1"/>
  <c r="L950" i="19" s="1"/>
  <c r="I949" i="19"/>
  <c r="K949" i="19" s="1"/>
  <c r="L949" i="19" s="1"/>
  <c r="I948" i="19"/>
  <c r="K948" i="19" s="1"/>
  <c r="L948" i="19" s="1"/>
  <c r="I947" i="19"/>
  <c r="K947" i="19" s="1"/>
  <c r="L947" i="19" s="1"/>
  <c r="I946" i="19"/>
  <c r="K946" i="19" s="1"/>
  <c r="L946" i="19" s="1"/>
  <c r="I945" i="19"/>
  <c r="K945" i="19" s="1"/>
  <c r="L945" i="19" s="1"/>
  <c r="I944" i="19"/>
  <c r="K944" i="19" s="1"/>
  <c r="L944" i="19" s="1"/>
  <c r="I943" i="19"/>
  <c r="K943" i="19" s="1"/>
  <c r="L943" i="19" s="1"/>
  <c r="I942" i="19"/>
  <c r="K942" i="19" s="1"/>
  <c r="I941" i="19"/>
  <c r="K941" i="19" s="1"/>
  <c r="L941" i="19" s="1"/>
  <c r="I940" i="19"/>
  <c r="K940" i="19" s="1"/>
  <c r="I939" i="19"/>
  <c r="I967" i="19"/>
  <c r="K967" i="19" s="1"/>
  <c r="L967" i="19" s="1"/>
  <c r="I966" i="19"/>
  <c r="K966" i="19" s="1"/>
  <c r="L966" i="19" s="1"/>
  <c r="I965" i="19"/>
  <c r="K965" i="19" s="1"/>
  <c r="L965" i="19" s="1"/>
  <c r="A950" i="19"/>
  <c r="A949" i="19"/>
  <c r="A948" i="19"/>
  <c r="A947" i="19"/>
  <c r="A946" i="19"/>
  <c r="A945" i="19"/>
  <c r="A944" i="19"/>
  <c r="A943" i="19"/>
  <c r="A942" i="19"/>
  <c r="A941" i="19"/>
  <c r="A940" i="19"/>
  <c r="A967" i="19"/>
  <c r="A966" i="19"/>
  <c r="K902" i="19"/>
  <c r="L902" i="19" s="1"/>
  <c r="K901" i="19"/>
  <c r="L901" i="19" s="1"/>
  <c r="K900" i="19"/>
  <c r="L900" i="19" s="1"/>
  <c r="K899" i="19"/>
  <c r="L899" i="19" s="1"/>
  <c r="K898" i="19"/>
  <c r="L898" i="19" s="1"/>
  <c r="K939" i="19"/>
  <c r="L939" i="19" s="1"/>
  <c r="A965" i="19"/>
  <c r="A939" i="19"/>
  <c r="K108" i="22"/>
  <c r="L108" i="22" s="1"/>
  <c r="K107" i="22"/>
  <c r="L107" i="22" s="1"/>
  <c r="K885" i="19"/>
  <c r="L885" i="19" s="1"/>
  <c r="K1030" i="19"/>
  <c r="L1030" i="19" s="1"/>
  <c r="A1030" i="19"/>
  <c r="K1029" i="19"/>
  <c r="L1029" i="19" s="1"/>
  <c r="A1029" i="19"/>
  <c r="K1028" i="19"/>
  <c r="L1028" i="19" s="1"/>
  <c r="A1028" i="19"/>
  <c r="K997" i="19"/>
  <c r="L997" i="19" s="1"/>
  <c r="A997" i="19"/>
  <c r="K996" i="19"/>
  <c r="L996" i="19" s="1"/>
  <c r="A996" i="19"/>
  <c r="K995" i="19"/>
  <c r="L995" i="19" s="1"/>
  <c r="K1137" i="19"/>
  <c r="L1137" i="19" s="1"/>
  <c r="K1018" i="19"/>
  <c r="L1018" i="19" s="1"/>
  <c r="K1027" i="19"/>
  <c r="L1027" i="19" s="1"/>
  <c r="K863" i="19"/>
  <c r="L863" i="19" s="1"/>
  <c r="K998" i="19"/>
  <c r="L998" i="19" s="1"/>
  <c r="K884" i="19"/>
  <c r="L884" i="19" s="1"/>
  <c r="K886" i="19"/>
  <c r="L886" i="19" s="1"/>
  <c r="K895" i="19"/>
  <c r="L895" i="19" s="1"/>
  <c r="K1142" i="19"/>
  <c r="L1142" i="19" s="1"/>
  <c r="A995" i="19"/>
  <c r="A1137" i="19"/>
  <c r="A1018" i="19"/>
  <c r="A1027" i="19"/>
  <c r="A998" i="19"/>
  <c r="A1142" i="19"/>
  <c r="K26" i="22"/>
  <c r="L26" i="22" s="1"/>
  <c r="K25" i="22"/>
  <c r="L25" i="22" s="1"/>
  <c r="K89" i="22"/>
  <c r="L89" i="22" s="1"/>
  <c r="K891" i="19"/>
  <c r="L891" i="19" s="1"/>
  <c r="K892" i="19"/>
  <c r="L892" i="19" s="1"/>
  <c r="K893" i="19"/>
  <c r="L893" i="19" s="1"/>
  <c r="K894" i="19"/>
  <c r="L894" i="19" s="1"/>
  <c r="K896" i="19"/>
  <c r="L896" i="19" s="1"/>
  <c r="K897" i="19"/>
  <c r="L897" i="19" s="1"/>
  <c r="K890" i="19"/>
  <c r="L890" i="19" s="1"/>
  <c r="K818" i="19"/>
  <c r="K1017" i="19"/>
  <c r="L1017" i="19" s="1"/>
  <c r="K1016" i="19"/>
  <c r="L1016" i="19" s="1"/>
  <c r="A1016" i="19"/>
  <c r="K1015" i="19"/>
  <c r="L1015" i="19" s="1"/>
  <c r="A1015" i="19"/>
  <c r="K1014" i="19"/>
  <c r="L1014" i="19" s="1"/>
  <c r="A1014" i="19"/>
  <c r="K1013" i="19"/>
  <c r="L1013" i="19" s="1"/>
  <c r="A1013" i="19"/>
  <c r="K1012" i="19"/>
  <c r="L1012" i="19" s="1"/>
  <c r="A1012" i="19"/>
  <c r="K1011" i="19"/>
  <c r="L1011" i="19" s="1"/>
  <c r="A1011" i="19"/>
  <c r="K1010" i="19"/>
  <c r="L1010" i="19" s="1"/>
  <c r="A1010" i="19"/>
  <c r="K1009" i="19"/>
  <c r="L1009" i="19" s="1"/>
  <c r="A1009" i="19"/>
  <c r="K1005" i="19"/>
  <c r="L1005" i="19" s="1"/>
  <c r="A1005" i="19"/>
  <c r="K1004" i="19"/>
  <c r="L1004" i="19" s="1"/>
  <c r="K1008" i="19"/>
  <c r="L1008" i="19" s="1"/>
  <c r="A1004" i="19"/>
  <c r="A1008" i="19"/>
  <c r="A1017" i="19"/>
  <c r="A913" i="19"/>
  <c r="K913" i="19"/>
  <c r="L913" i="19" s="1"/>
  <c r="A889" i="19"/>
  <c r="K889" i="19"/>
  <c r="L889" i="19" s="1"/>
  <c r="K888" i="19"/>
  <c r="L888" i="19" s="1"/>
  <c r="A857" i="19"/>
  <c r="K857" i="19"/>
  <c r="L857" i="19" s="1"/>
  <c r="K817" i="19"/>
  <c r="L817" i="19" s="1"/>
  <c r="A938" i="19"/>
  <c r="K869" i="19"/>
  <c r="L869" i="19" s="1"/>
  <c r="A869" i="19"/>
  <c r="K868" i="19"/>
  <c r="L868" i="19" s="1"/>
  <c r="A868" i="19"/>
  <c r="K876" i="19"/>
  <c r="L876" i="19" s="1"/>
  <c r="K1022" i="19"/>
  <c r="L1022" i="19" s="1"/>
  <c r="K867" i="19"/>
  <c r="L867" i="19" s="1"/>
  <c r="A1022" i="19"/>
  <c r="A867" i="19"/>
  <c r="A883" i="19"/>
  <c r="L940" i="19" l="1"/>
  <c r="L942" i="19"/>
  <c r="A977" i="19"/>
  <c r="P183" i="17"/>
  <c r="Q183" i="17" s="1"/>
  <c r="A232" i="17"/>
  <c r="A231" i="17"/>
  <c r="A230" i="17"/>
  <c r="A229" i="17"/>
  <c r="A227" i="17"/>
  <c r="A222" i="17"/>
  <c r="A220" i="17"/>
  <c r="A219" i="17"/>
  <c r="A148" i="17"/>
  <c r="A147" i="17"/>
  <c r="A146" i="17"/>
  <c r="A169" i="17"/>
  <c r="A168" i="17"/>
  <c r="A186" i="17"/>
  <c r="A184" i="17"/>
  <c r="A179" i="17"/>
  <c r="A176" i="17"/>
  <c r="A173" i="17"/>
  <c r="A175" i="17"/>
  <c r="A201" i="17"/>
  <c r="A193" i="17"/>
  <c r="A197" i="17"/>
  <c r="A204" i="17"/>
  <c r="A207" i="17"/>
  <c r="A206" i="17"/>
  <c r="P160" i="17"/>
  <c r="Q160" i="17" s="1"/>
  <c r="A160" i="17"/>
  <c r="P159" i="17"/>
  <c r="Q159" i="17" s="1"/>
  <c r="A159" i="17"/>
  <c r="P232" i="17"/>
  <c r="Q232" i="17" s="1"/>
  <c r="P231" i="17"/>
  <c r="Q231" i="17" s="1"/>
  <c r="P230" i="17"/>
  <c r="Q230" i="17" s="1"/>
  <c r="P229" i="17"/>
  <c r="P233" i="17"/>
  <c r="Q233" i="17" s="1"/>
  <c r="P234" i="17"/>
  <c r="Q234" i="17" s="1"/>
  <c r="P235" i="17"/>
  <c r="Q235" i="17" s="1"/>
  <c r="P227" i="17"/>
  <c r="P222" i="17" l="1"/>
  <c r="Q222" i="17" s="1"/>
  <c r="P224" i="17"/>
  <c r="Q224" i="17" s="1"/>
  <c r="P225" i="17"/>
  <c r="Q225" i="17" s="1"/>
  <c r="P226" i="17"/>
  <c r="Q226" i="17" s="1"/>
  <c r="Q227" i="17"/>
  <c r="P228" i="17"/>
  <c r="Q228" i="17" s="1"/>
  <c r="Q229" i="17"/>
  <c r="P220" i="17"/>
  <c r="Q220" i="17" s="1"/>
  <c r="P219" i="17"/>
  <c r="Q219" i="17" s="1"/>
  <c r="P221" i="17"/>
  <c r="Q221" i="17" s="1"/>
  <c r="P223" i="17"/>
  <c r="Q223" i="17" s="1"/>
  <c r="A209" i="17"/>
  <c r="A210" i="17"/>
  <c r="P212" i="17"/>
  <c r="Q212" i="17" s="1"/>
  <c r="P211" i="17"/>
  <c r="P210" i="17"/>
  <c r="Q210" i="17" s="1"/>
  <c r="P209" i="17"/>
  <c r="Q209" i="17" s="1"/>
  <c r="A211" i="17"/>
  <c r="Q211" i="17"/>
  <c r="A212" i="17"/>
  <c r="P205" i="17"/>
  <c r="Q205" i="17" s="1"/>
  <c r="P207" i="17"/>
  <c r="Q207" i="17" s="1"/>
  <c r="P206" i="17"/>
  <c r="Q206" i="17" s="1"/>
  <c r="P204" i="17"/>
  <c r="Q204" i="17" s="1"/>
  <c r="P201" i="17"/>
  <c r="Q201" i="17" s="1"/>
  <c r="P208" i="17"/>
  <c r="Q208" i="17" s="1"/>
  <c r="P213" i="17"/>
  <c r="Q213" i="17" s="1"/>
  <c r="P214" i="17"/>
  <c r="Q214" i="17" s="1"/>
  <c r="P202" i="17"/>
  <c r="Q202" i="17" s="1"/>
  <c r="P203" i="17"/>
  <c r="Q203" i="17" s="1"/>
  <c r="P215" i="17"/>
  <c r="Q215" i="17" s="1"/>
  <c r="P216" i="17"/>
  <c r="Q216" i="17" s="1"/>
  <c r="P217" i="17"/>
  <c r="Q217" i="17" s="1"/>
  <c r="P218" i="17"/>
  <c r="Q218" i="17" s="1"/>
  <c r="P236" i="17"/>
  <c r="Q236" i="17" s="1"/>
  <c r="P237" i="17"/>
  <c r="Q237" i="17" s="1"/>
  <c r="P238" i="17"/>
  <c r="Q238" i="17" s="1"/>
  <c r="P239" i="17"/>
  <c r="Q239" i="17" s="1"/>
  <c r="P197" i="17"/>
  <c r="Q197" i="17" s="1"/>
  <c r="P193" i="17"/>
  <c r="Q193" i="17" s="1"/>
  <c r="P194" i="17"/>
  <c r="Q194" i="17" s="1"/>
  <c r="P195" i="17"/>
  <c r="Q195" i="17" s="1"/>
  <c r="P196" i="17"/>
  <c r="Q196" i="17" s="1"/>
  <c r="K85" i="22" l="1"/>
  <c r="L85" i="22" s="1"/>
  <c r="K84" i="22"/>
  <c r="L84" i="22" s="1"/>
  <c r="K83" i="22"/>
  <c r="L83" i="22" s="1"/>
  <c r="K82" i="22"/>
  <c r="L82" i="22" s="1"/>
  <c r="K81" i="22"/>
  <c r="L81" i="22" s="1"/>
  <c r="K80" i="22"/>
  <c r="L80" i="22" s="1"/>
  <c r="K76" i="22"/>
  <c r="L76" i="22" s="1"/>
  <c r="K78" i="22"/>
  <c r="L78" i="22" s="1"/>
  <c r="K75" i="22"/>
  <c r="L75" i="22" s="1"/>
  <c r="K74" i="22"/>
  <c r="L74" i="22" s="1"/>
  <c r="K129" i="22"/>
  <c r="L129" i="22" s="1"/>
  <c r="K97" i="22"/>
  <c r="L97" i="22" s="1"/>
  <c r="K95" i="22"/>
  <c r="L95" i="22" s="1"/>
  <c r="K94" i="22"/>
  <c r="L94" i="22" s="1"/>
  <c r="K91" i="22"/>
  <c r="L91" i="22" s="1"/>
  <c r="K92" i="22"/>
  <c r="L92" i="22" s="1"/>
  <c r="K838" i="19"/>
  <c r="L838" i="19" s="1"/>
  <c r="K829" i="19"/>
  <c r="L829" i="19" s="1"/>
  <c r="K767" i="19"/>
  <c r="L818" i="19"/>
  <c r="K819" i="19"/>
  <c r="L819" i="19" s="1"/>
  <c r="K851" i="19"/>
  <c r="L851" i="19" s="1"/>
  <c r="K852" i="19"/>
  <c r="L852" i="19" s="1"/>
  <c r="K853" i="19"/>
  <c r="L853" i="19" s="1"/>
  <c r="K854" i="19"/>
  <c r="L854" i="19" s="1"/>
  <c r="K859" i="19"/>
  <c r="L859" i="19" s="1"/>
  <c r="K860" i="19"/>
  <c r="L860" i="19" s="1"/>
  <c r="K861" i="19"/>
  <c r="L861" i="19" s="1"/>
  <c r="K862" i="19"/>
  <c r="L862" i="19" s="1"/>
  <c r="K864" i="19"/>
  <c r="L864" i="19" s="1"/>
  <c r="L865" i="19"/>
  <c r="K866" i="19"/>
  <c r="L866" i="19" s="1"/>
  <c r="K874" i="19"/>
  <c r="L874" i="19" s="1"/>
  <c r="K875" i="19"/>
  <c r="L875" i="19" s="1"/>
  <c r="K879" i="19"/>
  <c r="L879" i="19" s="1"/>
  <c r="K880" i="19"/>
  <c r="L880" i="19" s="1"/>
  <c r="K881" i="19"/>
  <c r="L881" i="19" s="1"/>
  <c r="K882" i="19"/>
  <c r="L882" i="19" s="1"/>
  <c r="K887" i="19"/>
  <c r="L887" i="19" s="1"/>
  <c r="K815" i="19"/>
  <c r="L815" i="19" s="1"/>
  <c r="K816" i="19"/>
  <c r="L816" i="19" s="1"/>
  <c r="K822" i="19"/>
  <c r="L822" i="19" s="1"/>
  <c r="K826" i="19"/>
  <c r="L826" i="19" s="1"/>
  <c r="K827" i="19"/>
  <c r="L827" i="19" s="1"/>
  <c r="K828" i="19"/>
  <c r="L828" i="19" s="1"/>
  <c r="K830" i="19"/>
  <c r="L830" i="19" s="1"/>
  <c r="K831" i="19"/>
  <c r="L831" i="19" s="1"/>
  <c r="K832" i="19"/>
  <c r="L832" i="19" s="1"/>
  <c r="K833" i="19"/>
  <c r="L833" i="19" s="1"/>
  <c r="K834" i="19"/>
  <c r="L834" i="19" s="1"/>
  <c r="K835" i="19"/>
  <c r="L835" i="19" s="1"/>
  <c r="K836" i="19"/>
  <c r="L836" i="19" s="1"/>
  <c r="K837" i="19"/>
  <c r="L837" i="19" s="1"/>
  <c r="K846" i="19"/>
  <c r="L846" i="19" s="1"/>
  <c r="K847" i="19"/>
  <c r="L847" i="19" s="1"/>
  <c r="K848" i="19"/>
  <c r="L848" i="19" s="1"/>
  <c r="K849" i="19"/>
  <c r="L849" i="19" s="1"/>
  <c r="K850" i="19"/>
  <c r="L850" i="19" s="1"/>
  <c r="K814" i="19"/>
  <c r="L814" i="19" s="1"/>
  <c r="L824" i="19"/>
  <c r="A824" i="19"/>
  <c r="K1058" i="19"/>
  <c r="L1058" i="19" s="1"/>
  <c r="K1059" i="19"/>
  <c r="L1059" i="19" s="1"/>
  <c r="A1059" i="19"/>
  <c r="K1070" i="19"/>
  <c r="L1070" i="19" s="1"/>
  <c r="A1070" i="19"/>
  <c r="K1069" i="19"/>
  <c r="L1069" i="19" s="1"/>
  <c r="A1069" i="19"/>
  <c r="A1058" i="19"/>
  <c r="A73" i="22" l="1"/>
  <c r="B137" i="22"/>
  <c r="A131" i="22"/>
  <c r="A137" i="22"/>
  <c r="K137" i="22"/>
  <c r="L137" i="22" s="1"/>
  <c r="K47" i="22"/>
  <c r="L47" i="22" s="1"/>
  <c r="K72" i="22"/>
  <c r="L72" i="22" s="1"/>
  <c r="K71" i="22"/>
  <c r="L71" i="22" s="1"/>
  <c r="K70" i="22"/>
  <c r="L70" i="22" s="1"/>
  <c r="K67" i="22"/>
  <c r="L67" i="22" s="1"/>
  <c r="K785" i="19"/>
  <c r="K786" i="19"/>
  <c r="L786" i="19" s="1"/>
  <c r="K787" i="19"/>
  <c r="L787" i="19" s="1"/>
  <c r="K788" i="19"/>
  <c r="L788" i="19" s="1"/>
  <c r="K789" i="19"/>
  <c r="L789" i="19" s="1"/>
  <c r="K762" i="19"/>
  <c r="L762" i="19" s="1"/>
  <c r="K763" i="19"/>
  <c r="L763" i="19" s="1"/>
  <c r="K764" i="19"/>
  <c r="L764" i="19" s="1"/>
  <c r="L785" i="19"/>
  <c r="K823" i="19"/>
  <c r="L823" i="19" s="1"/>
  <c r="K743" i="19"/>
  <c r="L743" i="19" s="1"/>
  <c r="K739" i="19"/>
  <c r="L739" i="19" s="1"/>
  <c r="K740" i="19"/>
  <c r="L740" i="19" s="1"/>
  <c r="A823" i="19"/>
  <c r="K1000" i="19"/>
  <c r="L1000" i="19" s="1"/>
  <c r="K1001" i="19"/>
  <c r="L1001" i="19" s="1"/>
  <c r="K1002" i="19"/>
  <c r="L1002" i="19" s="1"/>
  <c r="K855" i="19"/>
  <c r="L855" i="19" s="1"/>
  <c r="K856" i="19"/>
  <c r="L856" i="19" s="1"/>
  <c r="K1025" i="19"/>
  <c r="L1025" i="19" s="1"/>
  <c r="K761" i="19"/>
  <c r="L761" i="19" s="1"/>
  <c r="A1000" i="19"/>
  <c r="A1001" i="19"/>
  <c r="A1002" i="19"/>
  <c r="A855" i="19"/>
  <c r="A856" i="19"/>
  <c r="A1025" i="19"/>
  <c r="K799" i="19"/>
  <c r="K805" i="19"/>
  <c r="L805" i="19" s="1"/>
  <c r="K806" i="19"/>
  <c r="L806" i="19" s="1"/>
  <c r="L623" i="19" l="1"/>
  <c r="K784" i="19" l="1"/>
  <c r="L784" i="19" s="1"/>
  <c r="K790" i="19"/>
  <c r="L790" i="19" s="1"/>
  <c r="K791" i="19"/>
  <c r="L791" i="19" s="1"/>
  <c r="K792" i="19"/>
  <c r="L792" i="19" s="1"/>
  <c r="K793" i="19"/>
  <c r="L793" i="19" s="1"/>
  <c r="K795" i="19"/>
  <c r="L795" i="19" s="1"/>
  <c r="K797" i="19"/>
  <c r="L797" i="19" s="1"/>
  <c r="K798" i="19"/>
  <c r="L798" i="19" s="1"/>
  <c r="L799" i="19"/>
  <c r="K783" i="19"/>
  <c r="L783" i="19" s="1"/>
  <c r="K754" i="19"/>
  <c r="L754" i="19" s="1"/>
  <c r="K79" i="22" l="1"/>
  <c r="L79" i="22" s="1"/>
  <c r="K45" i="22"/>
  <c r="L45" i="22" s="1"/>
  <c r="K50" i="22"/>
  <c r="L50" i="22" s="1"/>
  <c r="K73" i="22"/>
  <c r="L73" i="22" s="1"/>
  <c r="K34" i="22"/>
  <c r="L34" i="22" s="1"/>
  <c r="K93" i="22"/>
  <c r="L93" i="22" s="1"/>
  <c r="K44" i="22"/>
  <c r="L44" i="22" s="1"/>
  <c r="K53" i="22" l="1"/>
  <c r="L53" i="22" s="1"/>
  <c r="K31" i="22"/>
  <c r="L31" i="22" s="1"/>
  <c r="K42" i="22"/>
  <c r="L42" i="22" s="1"/>
  <c r="K48" i="22"/>
  <c r="L48" i="22" s="1"/>
  <c r="K49" i="22"/>
  <c r="L49" i="22" s="1"/>
  <c r="K60" i="22"/>
  <c r="L60" i="22" s="1"/>
  <c r="K59" i="22"/>
  <c r="L59" i="22" s="1"/>
  <c r="K57" i="22"/>
  <c r="L57" i="22" s="1"/>
  <c r="K58" i="22"/>
  <c r="L58" i="22" s="1"/>
  <c r="K56" i="22"/>
  <c r="L56" i="22" s="1"/>
  <c r="K61" i="22"/>
  <c r="L61" i="22" s="1"/>
  <c r="K20" i="22"/>
  <c r="L20" i="22" s="1"/>
  <c r="K10" i="22"/>
  <c r="L10" i="22" s="1"/>
  <c r="K18" i="22"/>
  <c r="L18" i="22" s="1"/>
  <c r="K12" i="22"/>
  <c r="L12" i="22" s="1"/>
  <c r="K13" i="22"/>
  <c r="L13" i="22" s="1"/>
  <c r="K40" i="22"/>
  <c r="L40" i="22" s="1"/>
  <c r="K46" i="22"/>
  <c r="L46" i="22" s="1"/>
  <c r="A839" i="19"/>
  <c r="K781" i="19"/>
  <c r="L781" i="19" s="1"/>
  <c r="K750" i="19" l="1"/>
  <c r="L750" i="19" s="1"/>
  <c r="J748" i="19"/>
  <c r="I748" i="19"/>
  <c r="K748" i="19" s="1"/>
  <c r="I747" i="19"/>
  <c r="K747" i="19" s="1"/>
  <c r="L747" i="19" s="1"/>
  <c r="J747" i="19"/>
  <c r="K744" i="19"/>
  <c r="L744" i="19" s="1"/>
  <c r="K745" i="19"/>
  <c r="L745" i="19" s="1"/>
  <c r="K746" i="19"/>
  <c r="L746" i="19" s="1"/>
  <c r="K749" i="19"/>
  <c r="L749" i="19" s="1"/>
  <c r="K751" i="19"/>
  <c r="L751" i="19" s="1"/>
  <c r="K752" i="19"/>
  <c r="L752" i="19" s="1"/>
  <c r="K753" i="19"/>
  <c r="L753" i="19" s="1"/>
  <c r="K755" i="19"/>
  <c r="L755" i="19" s="1"/>
  <c r="K756" i="19"/>
  <c r="L756" i="19" s="1"/>
  <c r="K757" i="19"/>
  <c r="L757" i="19" s="1"/>
  <c r="K758" i="19"/>
  <c r="L758" i="19" s="1"/>
  <c r="K759" i="19"/>
  <c r="L759" i="19" s="1"/>
  <c r="K760" i="19"/>
  <c r="L760" i="19" s="1"/>
  <c r="K742" i="19"/>
  <c r="L742" i="19" s="1"/>
  <c r="K733" i="19"/>
  <c r="L733" i="19" s="1"/>
  <c r="K732" i="19"/>
  <c r="L732" i="19" s="1"/>
  <c r="K731" i="19"/>
  <c r="L731" i="19" s="1"/>
  <c r="K730" i="19"/>
  <c r="L730" i="19" s="1"/>
  <c r="K729" i="19"/>
  <c r="L729" i="19" s="1"/>
  <c r="K728" i="19"/>
  <c r="L728" i="19" s="1"/>
  <c r="K727" i="19"/>
  <c r="L727" i="19" s="1"/>
  <c r="K726" i="19"/>
  <c r="L726" i="19" s="1"/>
  <c r="K725" i="19"/>
  <c r="L725" i="19" s="1"/>
  <c r="K724" i="19"/>
  <c r="L724" i="19" s="1"/>
  <c r="A733" i="19"/>
  <c r="A732" i="19"/>
  <c r="A731" i="19"/>
  <c r="A730" i="19"/>
  <c r="A729" i="19"/>
  <c r="A728" i="19"/>
  <c r="A727" i="19"/>
  <c r="A726" i="19"/>
  <c r="A725" i="19"/>
  <c r="A724" i="19"/>
  <c r="A780" i="19"/>
  <c r="A779" i="19"/>
  <c r="A778" i="19"/>
  <c r="A714" i="19"/>
  <c r="K1136" i="19"/>
  <c r="L1136" i="19" s="1"/>
  <c r="A1136" i="19"/>
  <c r="L714" i="19"/>
  <c r="K777" i="19"/>
  <c r="L777" i="19" s="1"/>
  <c r="K778" i="19"/>
  <c r="L778" i="19" s="1"/>
  <c r="K779" i="19"/>
  <c r="L779" i="19" s="1"/>
  <c r="K780" i="19"/>
  <c r="L780" i="19" s="1"/>
  <c r="A777" i="19"/>
  <c r="A1135" i="19"/>
  <c r="K1135" i="19"/>
  <c r="L1135" i="19" s="1"/>
  <c r="K720" i="19"/>
  <c r="L720" i="19" s="1"/>
  <c r="K721" i="19"/>
  <c r="L721" i="19" s="1"/>
  <c r="K722" i="19"/>
  <c r="L722" i="19" s="1"/>
  <c r="K723" i="19"/>
  <c r="L723" i="19" s="1"/>
  <c r="K734" i="19"/>
  <c r="L734" i="19" s="1"/>
  <c r="K735" i="19"/>
  <c r="L735" i="19" s="1"/>
  <c r="K736" i="19"/>
  <c r="L736" i="19" s="1"/>
  <c r="K737" i="19"/>
  <c r="L737" i="19" s="1"/>
  <c r="K738" i="19"/>
  <c r="L738" i="19" s="1"/>
  <c r="K741" i="19"/>
  <c r="L741" i="19" s="1"/>
  <c r="K717" i="19"/>
  <c r="L717" i="19" s="1"/>
  <c r="L748" i="19" l="1"/>
  <c r="P184" i="17"/>
  <c r="Q184" i="17" s="1"/>
  <c r="P186" i="17"/>
  <c r="Q186" i="17" s="1"/>
  <c r="P179" i="17"/>
  <c r="Q179" i="17" s="1"/>
  <c r="P180" i="17"/>
  <c r="Q180" i="17" s="1"/>
  <c r="P181" i="17"/>
  <c r="Q181" i="17" s="1"/>
  <c r="P182" i="17"/>
  <c r="Q182" i="17" s="1"/>
  <c r="P185" i="17"/>
  <c r="Q185" i="17" s="1"/>
  <c r="P187" i="17"/>
  <c r="Q187" i="17" s="1"/>
  <c r="P188" i="17"/>
  <c r="Q188" i="17" s="1"/>
  <c r="P189" i="17"/>
  <c r="Q189" i="17" s="1"/>
  <c r="P190" i="17"/>
  <c r="Q190" i="17" s="1"/>
  <c r="P191" i="17"/>
  <c r="Q191" i="17" s="1"/>
  <c r="P192" i="17"/>
  <c r="Q192" i="17" s="1"/>
  <c r="P198" i="17"/>
  <c r="Q198" i="17" s="1"/>
  <c r="P199" i="17"/>
  <c r="Q199" i="17" s="1"/>
  <c r="P200" i="17"/>
  <c r="Q200" i="17" s="1"/>
  <c r="P241" i="17"/>
  <c r="Q241" i="17" s="1"/>
  <c r="P176" i="17"/>
  <c r="Q176" i="17" s="1"/>
  <c r="P175" i="17"/>
  <c r="Q175" i="17" s="1"/>
  <c r="K1007" i="19" l="1"/>
  <c r="L1007" i="19" s="1"/>
  <c r="A1007" i="19"/>
  <c r="K776" i="19"/>
  <c r="L776" i="19" s="1"/>
  <c r="A776" i="19"/>
  <c r="K1133" i="19"/>
  <c r="L1133" i="19" s="1"/>
  <c r="A1133" i="19"/>
  <c r="K1132" i="19"/>
  <c r="L1132" i="19" s="1"/>
  <c r="A1132" i="19"/>
  <c r="K1131" i="19"/>
  <c r="L1131" i="19" s="1"/>
  <c r="A1131" i="19"/>
  <c r="I782" i="19"/>
  <c r="K782" i="19" s="1"/>
  <c r="L782" i="19" s="1"/>
  <c r="I794" i="19"/>
  <c r="K794" i="19" s="1"/>
  <c r="L794" i="19" s="1"/>
  <c r="I796" i="19"/>
  <c r="K796" i="19" s="1"/>
  <c r="L796" i="19" s="1"/>
  <c r="K694" i="19"/>
  <c r="L694" i="19" s="1"/>
  <c r="K1130" i="19"/>
  <c r="L1130" i="19" s="1"/>
  <c r="K1053" i="19"/>
  <c r="K673" i="19"/>
  <c r="L673" i="19" s="1"/>
  <c r="K775" i="19"/>
  <c r="L775" i="19" s="1"/>
  <c r="K1006" i="19"/>
  <c r="L1006" i="19" s="1"/>
  <c r="L1053" i="19"/>
  <c r="A794" i="19"/>
  <c r="A782" i="19"/>
  <c r="A1130" i="19"/>
  <c r="A1053" i="19"/>
  <c r="A775" i="19"/>
  <c r="A1006" i="19"/>
  <c r="A796" i="19"/>
  <c r="A227" i="18"/>
  <c r="K240" i="18"/>
  <c r="K244" i="18"/>
  <c r="L244" i="18" s="1"/>
  <c r="K243" i="18"/>
  <c r="L243" i="18" s="1"/>
  <c r="K245" i="18"/>
  <c r="L245" i="18" s="1"/>
  <c r="K246" i="18"/>
  <c r="L246" i="18" s="1"/>
  <c r="K247" i="18"/>
  <c r="L247" i="18" s="1"/>
  <c r="K248" i="18"/>
  <c r="L248" i="18" s="1"/>
  <c r="K249" i="18"/>
  <c r="L249" i="18" s="1"/>
  <c r="K250" i="18"/>
  <c r="L250" i="18" s="1"/>
  <c r="K251" i="18"/>
  <c r="L251" i="18" s="1"/>
  <c r="K252" i="18"/>
  <c r="L252" i="18" s="1"/>
  <c r="A243" i="18"/>
  <c r="A239" i="18"/>
  <c r="A240" i="18"/>
  <c r="A244" i="18"/>
  <c r="A245" i="18"/>
  <c r="A246" i="18"/>
  <c r="A247" i="18"/>
  <c r="A248" i="18"/>
  <c r="A249" i="18"/>
  <c r="A250" i="18"/>
  <c r="A251" i="18"/>
  <c r="A252" i="18"/>
  <c r="K9" i="22" l="1"/>
  <c r="L9" i="22" s="1"/>
  <c r="K27" i="22"/>
  <c r="L27" i="22" s="1"/>
  <c r="K28" i="22"/>
  <c r="L28" i="22" s="1"/>
  <c r="K30" i="22"/>
  <c r="L30" i="22" s="1"/>
  <c r="K32" i="22"/>
  <c r="L32" i="22" s="1"/>
  <c r="K33" i="22"/>
  <c r="L33" i="22" s="1"/>
  <c r="K35" i="22"/>
  <c r="L35" i="22" s="1"/>
  <c r="K36" i="22"/>
  <c r="L36" i="22" s="1"/>
  <c r="K37" i="22"/>
  <c r="L37" i="22" s="1"/>
  <c r="K38" i="22"/>
  <c r="L38" i="22" s="1"/>
  <c r="K39" i="22"/>
  <c r="L39" i="22" s="1"/>
  <c r="K41" i="22"/>
  <c r="L41" i="22" s="1"/>
  <c r="K29" i="22"/>
  <c r="L29" i="22" s="1"/>
  <c r="A674" i="19"/>
  <c r="K697" i="19"/>
  <c r="L697" i="19" s="1"/>
  <c r="K702" i="19"/>
  <c r="L702" i="19" s="1"/>
  <c r="K703" i="19"/>
  <c r="L703" i="19" s="1"/>
  <c r="K704" i="19"/>
  <c r="L704" i="19" s="1"/>
  <c r="K705" i="19"/>
  <c r="L705" i="19" s="1"/>
  <c r="K706" i="19"/>
  <c r="L706" i="19" s="1"/>
  <c r="K707" i="19"/>
  <c r="L707" i="19" s="1"/>
  <c r="K708" i="19"/>
  <c r="L708" i="19" s="1"/>
  <c r="K709" i="19"/>
  <c r="L709" i="19" s="1"/>
  <c r="K710" i="19"/>
  <c r="L710" i="19" s="1"/>
  <c r="K711" i="19"/>
  <c r="L711" i="19" s="1"/>
  <c r="K712" i="19"/>
  <c r="L712" i="19" s="1"/>
  <c r="K715" i="19"/>
  <c r="L715" i="19" s="1"/>
  <c r="K716" i="19"/>
  <c r="L716" i="19" s="1"/>
  <c r="K696" i="19"/>
  <c r="L696" i="19" s="1"/>
  <c r="K19" i="22"/>
  <c r="L19" i="22" s="1"/>
  <c r="K11" i="22"/>
  <c r="L11" i="22" s="1"/>
  <c r="K15" i="22"/>
  <c r="L15" i="22" s="1"/>
  <c r="K16" i="22"/>
  <c r="L16" i="22" s="1"/>
  <c r="K17" i="22"/>
  <c r="L17" i="22" s="1"/>
  <c r="K24" i="22"/>
  <c r="L24" i="22" s="1"/>
  <c r="Q165" i="17"/>
  <c r="K181" i="18"/>
  <c r="K177" i="18"/>
  <c r="K175" i="18"/>
  <c r="K176" i="18"/>
  <c r="K174" i="18"/>
  <c r="K172" i="18"/>
  <c r="K187" i="18"/>
  <c r="K186" i="18"/>
  <c r="K185" i="18"/>
  <c r="K184" i="18"/>
  <c r="K183" i="18"/>
  <c r="K173" i="18"/>
  <c r="K180" i="18"/>
  <c r="K162" i="18" l="1"/>
  <c r="K178" i="18"/>
  <c r="K239" i="18"/>
  <c r="K221" i="18"/>
  <c r="K222" i="18"/>
  <c r="K223" i="18"/>
  <c r="K224" i="18"/>
  <c r="K225" i="18"/>
  <c r="K226" i="18"/>
  <c r="K161" i="18"/>
  <c r="K163" i="18"/>
  <c r="K182" i="18"/>
  <c r="K654" i="19" l="1"/>
  <c r="K690" i="19"/>
  <c r="L690" i="19" s="1"/>
  <c r="K691" i="19"/>
  <c r="L691" i="19" s="1"/>
  <c r="K692" i="19"/>
  <c r="L692" i="19" s="1"/>
  <c r="L693" i="19"/>
  <c r="K695" i="19"/>
  <c r="L695" i="19" s="1"/>
  <c r="K689" i="19"/>
  <c r="L689" i="19" s="1"/>
  <c r="K14" i="22"/>
  <c r="L14" i="22" s="1"/>
  <c r="K686" i="19"/>
  <c r="L686" i="19" s="1"/>
  <c r="K687" i="19"/>
  <c r="L687" i="19" s="1"/>
  <c r="K688" i="19"/>
  <c r="L688" i="19" s="1"/>
  <c r="K672" i="19"/>
  <c r="L672" i="19" s="1"/>
  <c r="K677" i="19"/>
  <c r="L677" i="19" s="1"/>
  <c r="K681" i="19"/>
  <c r="L681" i="19" s="1"/>
  <c r="K682" i="19"/>
  <c r="L682" i="19" s="1"/>
  <c r="K683" i="19"/>
  <c r="L683" i="19" s="1"/>
  <c r="K684" i="19"/>
  <c r="L684" i="19" s="1"/>
  <c r="K685" i="19"/>
  <c r="L685" i="19" s="1"/>
  <c r="K671" i="19"/>
  <c r="L671" i="19" s="1"/>
  <c r="K670" i="19"/>
  <c r="L670" i="19" s="1"/>
  <c r="K669" i="19"/>
  <c r="L669" i="19" s="1"/>
  <c r="K774" i="19"/>
  <c r="L774" i="19" s="1"/>
  <c r="A774" i="19"/>
  <c r="K773" i="19"/>
  <c r="L773" i="19" s="1"/>
  <c r="A773" i="19"/>
  <c r="K772" i="19"/>
  <c r="L772" i="19" s="1"/>
  <c r="A772" i="19"/>
  <c r="L771" i="19"/>
  <c r="A771" i="19"/>
  <c r="L770" i="19"/>
  <c r="A770" i="19"/>
  <c r="K769" i="19"/>
  <c r="L769" i="19" s="1"/>
  <c r="A769" i="19"/>
  <c r="K1036" i="19"/>
  <c r="L1036" i="19" s="1"/>
  <c r="K1035" i="19"/>
  <c r="L1035" i="19" s="1"/>
  <c r="A1036" i="19"/>
  <c r="A1035" i="19"/>
  <c r="K680" i="19"/>
  <c r="L680" i="19" s="1"/>
  <c r="K678" i="19"/>
  <c r="L678" i="19" s="1"/>
  <c r="K1034" i="19"/>
  <c r="L1034" i="19" s="1"/>
  <c r="K768" i="19"/>
  <c r="L768" i="19" s="1"/>
  <c r="A1034" i="19"/>
  <c r="A768" i="19"/>
  <c r="A1082" i="19"/>
  <c r="K1082" i="19"/>
  <c r="L1082" i="19" s="1"/>
  <c r="J645" i="19"/>
  <c r="I645" i="19"/>
  <c r="K645" i="19" s="1"/>
  <c r="L645" i="19" s="1"/>
  <c r="K660" i="19"/>
  <c r="L660" i="19" s="1"/>
  <c r="K878" i="19"/>
  <c r="L878" i="19" s="1"/>
  <c r="A878" i="19"/>
  <c r="K1052" i="19"/>
  <c r="L1052" i="19" s="1"/>
  <c r="A1052" i="19"/>
  <c r="A719" i="19"/>
  <c r="A1081" i="19"/>
  <c r="A877" i="19"/>
  <c r="A1051" i="19"/>
  <c r="K1051" i="19"/>
  <c r="L1051" i="19" s="1"/>
  <c r="K1081" i="19"/>
  <c r="L1081" i="19" s="1"/>
  <c r="K877" i="19"/>
  <c r="L877" i="19" s="1"/>
  <c r="K839" i="19"/>
  <c r="L839" i="19" s="1"/>
  <c r="K659" i="19"/>
  <c r="L659" i="19" s="1"/>
  <c r="K667" i="19"/>
  <c r="L667" i="19" s="1"/>
  <c r="K664" i="19"/>
  <c r="L664" i="19" s="1"/>
  <c r="K661" i="19"/>
  <c r="L661" i="19" s="1"/>
  <c r="K635" i="19"/>
  <c r="L635" i="19" s="1"/>
  <c r="K641" i="19"/>
  <c r="L641" i="19" s="1"/>
  <c r="P173" i="17"/>
  <c r="Q173" i="17" s="1"/>
  <c r="P115" i="17"/>
  <c r="Q115" i="17" s="1"/>
  <c r="P169" i="17"/>
  <c r="Q169" i="17" s="1"/>
  <c r="P168" i="17"/>
  <c r="Q168" i="17" s="1"/>
  <c r="P166" i="17"/>
  <c r="Q166" i="17" s="1"/>
  <c r="P167" i="17"/>
  <c r="Q167" i="17" s="1"/>
  <c r="P170" i="17"/>
  <c r="Q170" i="17" s="1"/>
  <c r="P171" i="17"/>
  <c r="Q171" i="17" s="1"/>
  <c r="P172" i="17"/>
  <c r="Q172" i="17" s="1"/>
  <c r="P148" i="17"/>
  <c r="Q148" i="17" s="1"/>
  <c r="P146" i="17"/>
  <c r="Q146" i="17" s="1"/>
  <c r="P147" i="17"/>
  <c r="Q147" i="17" s="1"/>
  <c r="P162" i="17"/>
  <c r="Q162" i="17" s="1"/>
  <c r="K656" i="19" l="1"/>
  <c r="L656" i="19" s="1"/>
  <c r="K657" i="19"/>
  <c r="L657" i="19" s="1"/>
  <c r="K658" i="19"/>
  <c r="L658" i="19" s="1"/>
  <c r="K662" i="19"/>
  <c r="L662" i="19" s="1"/>
  <c r="K663" i="19"/>
  <c r="L663" i="19" s="1"/>
  <c r="K665" i="19"/>
  <c r="L665" i="19" s="1"/>
  <c r="K666" i="19"/>
  <c r="L666" i="19" s="1"/>
  <c r="K655" i="19"/>
  <c r="L655" i="19" s="1"/>
  <c r="A1139" i="19"/>
  <c r="A1140" i="19"/>
  <c r="A1141" i="19"/>
  <c r="A1024" i="19"/>
  <c r="A1138" i="19"/>
  <c r="K1138" i="19"/>
  <c r="L1138" i="19" s="1"/>
  <c r="K1139" i="19"/>
  <c r="L1139" i="19" s="1"/>
  <c r="K1140" i="19"/>
  <c r="L1140" i="19" s="1"/>
  <c r="K1141" i="19"/>
  <c r="L1141" i="19" s="1"/>
  <c r="K1024" i="19"/>
  <c r="L1024" i="19" s="1"/>
  <c r="K628" i="19"/>
  <c r="L628" i="19" s="1"/>
  <c r="K619" i="19"/>
  <c r="L619" i="19" s="1"/>
  <c r="K588" i="19" l="1"/>
  <c r="L588" i="19" s="1"/>
  <c r="K627" i="19"/>
  <c r="L627" i="19" s="1"/>
  <c r="K977" i="19"/>
  <c r="L977" i="19" s="1"/>
  <c r="A1050" i="19"/>
  <c r="K1050" i="19"/>
  <c r="L1050" i="19" s="1"/>
  <c r="K643" i="19"/>
  <c r="L643" i="19" s="1"/>
  <c r="K644" i="19"/>
  <c r="L644" i="19" s="1"/>
  <c r="K633" i="19"/>
  <c r="L633" i="19" s="1"/>
  <c r="K634" i="19"/>
  <c r="L634" i="19" s="1"/>
  <c r="K636" i="19"/>
  <c r="L636" i="19" s="1"/>
  <c r="K637" i="19"/>
  <c r="L637" i="19" s="1"/>
  <c r="K638" i="19"/>
  <c r="L638" i="19" s="1"/>
  <c r="K639" i="19"/>
  <c r="L639" i="19" s="1"/>
  <c r="K640" i="19"/>
  <c r="L640" i="19" s="1"/>
  <c r="K642" i="19"/>
  <c r="L642" i="19" s="1"/>
  <c r="K624" i="19"/>
  <c r="L624" i="19" s="1"/>
  <c r="K625" i="19"/>
  <c r="L625" i="19" s="1"/>
  <c r="K626" i="19"/>
  <c r="L626" i="19" s="1"/>
  <c r="K630" i="19"/>
  <c r="L630" i="19" s="1"/>
  <c r="K631" i="19"/>
  <c r="L631" i="19" s="1"/>
  <c r="L632" i="19"/>
  <c r="K622" i="19"/>
  <c r="L622" i="19" s="1"/>
  <c r="K618" i="19"/>
  <c r="L618" i="19" s="1"/>
  <c r="K621" i="19"/>
  <c r="L621" i="19" s="1"/>
  <c r="K617" i="19"/>
  <c r="L617" i="19" s="1"/>
  <c r="K614" i="19"/>
  <c r="L614" i="19" s="1"/>
  <c r="K615" i="19"/>
  <c r="L615" i="19" s="1"/>
  <c r="K602" i="19"/>
  <c r="L602" i="19" s="1"/>
  <c r="K603" i="19"/>
  <c r="L603" i="19" s="1"/>
  <c r="K604" i="19"/>
  <c r="L604" i="19" s="1"/>
  <c r="K608" i="19"/>
  <c r="L608" i="19" s="1"/>
  <c r="K609" i="19"/>
  <c r="L609" i="19" s="1"/>
  <c r="K610" i="19"/>
  <c r="L610" i="19" s="1"/>
  <c r="K611" i="19"/>
  <c r="L611" i="19" s="1"/>
  <c r="K612" i="19"/>
  <c r="L612" i="19" s="1"/>
  <c r="K601" i="19"/>
  <c r="L601" i="19" s="1"/>
  <c r="A629" i="19"/>
  <c r="K607" i="19"/>
  <c r="L607" i="19" s="1"/>
  <c r="I606" i="19"/>
  <c r="K606" i="19" s="1"/>
  <c r="L606" i="19" s="1"/>
  <c r="K629" i="19"/>
  <c r="L629" i="19" s="1"/>
  <c r="K524" i="19"/>
  <c r="L524" i="19" s="1"/>
  <c r="K597" i="19"/>
  <c r="L597" i="19" s="1"/>
  <c r="K593" i="19"/>
  <c r="A1099" i="19"/>
  <c r="K587" i="19"/>
  <c r="L587" i="19" s="1"/>
  <c r="K589" i="19"/>
  <c r="L589" i="19" s="1"/>
  <c r="K590" i="19"/>
  <c r="L590" i="19" s="1"/>
  <c r="K591" i="19"/>
  <c r="L591" i="19" s="1"/>
  <c r="K592" i="19"/>
  <c r="L592" i="19" s="1"/>
  <c r="K1099" i="19"/>
  <c r="L1099" i="19" s="1"/>
  <c r="L593" i="19"/>
  <c r="K594" i="19"/>
  <c r="L594" i="19" s="1"/>
  <c r="K595" i="19"/>
  <c r="L595" i="19" s="1"/>
  <c r="K596" i="19"/>
  <c r="L596" i="19" s="1"/>
  <c r="K586" i="19"/>
  <c r="L586" i="19" s="1"/>
  <c r="K994" i="19"/>
  <c r="L994" i="19" s="1"/>
  <c r="A994" i="19"/>
  <c r="K993" i="19"/>
  <c r="L993" i="19" s="1"/>
  <c r="A993" i="19"/>
  <c r="K992" i="19"/>
  <c r="L992" i="19" s="1"/>
  <c r="A992" i="19"/>
  <c r="K991" i="19"/>
  <c r="L991" i="19" s="1"/>
  <c r="A991" i="19"/>
  <c r="K990" i="19"/>
  <c r="L990" i="19" s="1"/>
  <c r="A990" i="19"/>
  <c r="K989" i="19"/>
  <c r="L989" i="19" s="1"/>
  <c r="A989" i="19"/>
  <c r="K988" i="19"/>
  <c r="L988" i="19" s="1"/>
  <c r="A988" i="19"/>
  <c r="K987" i="19"/>
  <c r="L987" i="19" s="1"/>
  <c r="A987" i="19"/>
  <c r="K804" i="19"/>
  <c r="L804" i="19" s="1"/>
  <c r="A804" i="19"/>
  <c r="K803" i="19"/>
  <c r="L803" i="19" s="1"/>
  <c r="A803" i="19"/>
  <c r="K802" i="19"/>
  <c r="L802" i="19" s="1"/>
  <c r="A802" i="19"/>
  <c r="K801" i="19"/>
  <c r="L801" i="19" s="1"/>
  <c r="A801" i="19"/>
  <c r="K1033" i="19"/>
  <c r="L1033" i="19" s="1"/>
  <c r="A1033" i="19"/>
  <c r="K1032" i="19"/>
  <c r="L1032" i="19" s="1"/>
  <c r="A1032" i="19"/>
  <c r="L845" i="19" l="1"/>
  <c r="A845" i="19"/>
  <c r="K844" i="19"/>
  <c r="L844" i="19" s="1"/>
  <c r="A844" i="19"/>
  <c r="K843" i="19"/>
  <c r="L843" i="19" s="1"/>
  <c r="A843" i="19"/>
  <c r="K842" i="19"/>
  <c r="L842" i="19" s="1"/>
  <c r="A842" i="19"/>
  <c r="K841" i="19"/>
  <c r="L841" i="19" s="1"/>
  <c r="A841" i="19"/>
  <c r="K1068" i="19"/>
  <c r="L1068" i="19" s="1"/>
  <c r="A1068" i="19"/>
  <c r="K1067" i="19"/>
  <c r="L1067" i="19" s="1"/>
  <c r="A1067" i="19"/>
  <c r="K1066" i="19"/>
  <c r="L1066" i="19" s="1"/>
  <c r="A1066" i="19"/>
  <c r="K1065" i="19"/>
  <c r="L1065" i="19" s="1"/>
  <c r="A1065" i="19"/>
  <c r="A1057" i="19"/>
  <c r="K1056" i="19"/>
  <c r="K1057" i="19"/>
  <c r="L1057" i="19" s="1"/>
  <c r="K1064" i="19"/>
  <c r="L1064" i="19" s="1"/>
  <c r="K840" i="19"/>
  <c r="L840" i="19" s="1"/>
  <c r="K1031" i="19"/>
  <c r="L1031" i="19" s="1"/>
  <c r="K825" i="19"/>
  <c r="L825" i="19" s="1"/>
  <c r="K800" i="19"/>
  <c r="L800" i="19" s="1"/>
  <c r="K986" i="19"/>
  <c r="L986" i="19" s="1"/>
  <c r="L1056" i="19"/>
  <c r="A1056" i="19"/>
  <c r="A1064" i="19"/>
  <c r="A840" i="19"/>
  <c r="A1031" i="19"/>
  <c r="A825" i="19"/>
  <c r="A800" i="19"/>
  <c r="A986" i="19"/>
  <c r="K23" i="22"/>
  <c r="L23" i="22" s="1"/>
  <c r="K43" i="22"/>
  <c r="L43" i="22" s="1"/>
  <c r="K22" i="22"/>
  <c r="L22" i="22" s="1"/>
  <c r="K8" i="22"/>
  <c r="L8" i="22" s="1"/>
  <c r="P139" i="17"/>
  <c r="Q139" i="17" s="1"/>
  <c r="P138" i="17"/>
  <c r="P140" i="17" l="1"/>
  <c r="Q140" i="17" s="1"/>
  <c r="A140" i="17"/>
  <c r="P163" i="17"/>
  <c r="Q163" i="17" s="1"/>
  <c r="P164" i="17"/>
  <c r="Q164" i="17" s="1"/>
  <c r="A158" i="17"/>
  <c r="P158" i="17"/>
  <c r="P153" i="17"/>
  <c r="Q153" i="17" s="1"/>
  <c r="A155" i="17"/>
  <c r="A154" i="17"/>
  <c r="A152" i="17"/>
  <c r="P155" i="17" l="1"/>
  <c r="Q155" i="17" s="1"/>
  <c r="P154" i="17"/>
  <c r="Q154" i="17" s="1"/>
  <c r="P152" i="17"/>
  <c r="P156" i="17"/>
  <c r="Q156" i="17" s="1"/>
  <c r="P157" i="17"/>
  <c r="Q157" i="17" s="1"/>
  <c r="Q158" i="17"/>
  <c r="Q138" i="17"/>
  <c r="P137" i="17"/>
  <c r="Q137" i="17" s="1"/>
  <c r="A138" i="17"/>
  <c r="P135" i="17"/>
  <c r="Q135" i="17" s="1"/>
  <c r="P136" i="17"/>
  <c r="Q136" i="17" s="1"/>
  <c r="A149" i="17"/>
  <c r="P149" i="17"/>
  <c r="A132" i="17"/>
  <c r="A129" i="17"/>
  <c r="P145" i="17"/>
  <c r="Q145" i="17" s="1"/>
  <c r="P144" i="17"/>
  <c r="Q144" i="17" s="1"/>
  <c r="P143" i="17"/>
  <c r="Q143" i="17" s="1"/>
  <c r="P142" i="17"/>
  <c r="Q142" i="17" s="1"/>
  <c r="P141" i="17"/>
  <c r="Q141" i="17" s="1"/>
  <c r="K571" i="19"/>
  <c r="L571" i="19" s="1"/>
  <c r="K580" i="19"/>
  <c r="L580" i="19" s="1"/>
  <c r="B580" i="19"/>
  <c r="A580" i="19"/>
  <c r="A579" i="19"/>
  <c r="K579" i="19"/>
  <c r="L579" i="19" s="1"/>
  <c r="K539" i="19"/>
  <c r="L539" i="19" s="1"/>
  <c r="A718" i="19"/>
  <c r="K718" i="19"/>
  <c r="L718" i="19" s="1"/>
  <c r="K538" i="19"/>
  <c r="L538" i="19" s="1"/>
  <c r="K484" i="19"/>
  <c r="L484" i="19" s="1"/>
  <c r="P133" i="17"/>
  <c r="P132" i="17"/>
  <c r="Q132" i="17" s="1"/>
  <c r="P129" i="17"/>
  <c r="Q129" i="17" s="1"/>
  <c r="P128" i="17"/>
  <c r="A1049" i="19"/>
  <c r="K1049" i="19"/>
  <c r="L1049" i="19" s="1"/>
  <c r="K570" i="19"/>
  <c r="L570" i="19" s="1"/>
  <c r="K573" i="19"/>
  <c r="L573" i="19" s="1"/>
  <c r="K511" i="19"/>
  <c r="K567" i="19"/>
  <c r="L567" i="19" s="1"/>
  <c r="K568" i="19"/>
  <c r="L568" i="19" s="1"/>
  <c r="K569" i="19"/>
  <c r="L569" i="19" s="1"/>
  <c r="K572" i="19"/>
  <c r="L572" i="19" s="1"/>
  <c r="K574" i="19"/>
  <c r="L574" i="19" s="1"/>
  <c r="K575" i="19"/>
  <c r="L575" i="19" s="1"/>
  <c r="K576" i="19"/>
  <c r="L576" i="19" s="1"/>
  <c r="K577" i="19"/>
  <c r="L577" i="19" s="1"/>
  <c r="K578" i="19"/>
  <c r="L578" i="19" s="1"/>
  <c r="K581" i="19"/>
  <c r="L581" i="19" s="1"/>
  <c r="K582" i="19"/>
  <c r="L582" i="19" s="1"/>
  <c r="K583" i="19"/>
  <c r="L583" i="19" s="1"/>
  <c r="K584" i="19"/>
  <c r="L584" i="19" s="1"/>
  <c r="K585" i="19"/>
  <c r="L585" i="19" s="1"/>
  <c r="K566" i="19"/>
  <c r="L566" i="19" s="1"/>
  <c r="K500" i="19"/>
  <c r="K504" i="19"/>
  <c r="L504" i="19" s="1"/>
  <c r="L654" i="19"/>
  <c r="A654" i="19"/>
  <c r="K653" i="19"/>
  <c r="L653" i="19" s="1"/>
  <c r="A653" i="19"/>
  <c r="K652" i="19"/>
  <c r="L652" i="19" s="1"/>
  <c r="A652" i="19"/>
  <c r="K651" i="19"/>
  <c r="L651" i="19" s="1"/>
  <c r="A651" i="19"/>
  <c r="K649" i="19"/>
  <c r="L649" i="19" s="1"/>
  <c r="A649" i="19"/>
  <c r="K482" i="19"/>
  <c r="L482" i="19" s="1"/>
  <c r="K481" i="19"/>
  <c r="L481" i="19" s="1"/>
  <c r="K620" i="19"/>
  <c r="L620" i="19" s="1"/>
  <c r="K1062" i="19"/>
  <c r="L1062" i="19" s="1"/>
  <c r="K1063" i="19"/>
  <c r="L1063" i="19" s="1"/>
  <c r="K480" i="19"/>
  <c r="L480" i="19" s="1"/>
  <c r="K536" i="19"/>
  <c r="L536" i="19" s="1"/>
  <c r="K648" i="19"/>
  <c r="L648" i="19" s="1"/>
  <c r="K598" i="19"/>
  <c r="L598" i="19" s="1"/>
  <c r="K650" i="19"/>
  <c r="L650" i="19" s="1"/>
  <c r="A620" i="19"/>
  <c r="A1062" i="19"/>
  <c r="A1063" i="19"/>
  <c r="A648" i="19"/>
  <c r="A598" i="19"/>
  <c r="A650" i="19"/>
  <c r="K1080" i="19"/>
  <c r="L1080" i="19" s="1"/>
  <c r="A1080" i="19"/>
  <c r="K1079" i="19"/>
  <c r="L1079" i="19" s="1"/>
  <c r="A1079" i="19"/>
  <c r="K1078" i="19"/>
  <c r="L1078" i="19" s="1"/>
  <c r="A1078" i="19"/>
  <c r="K1077" i="19"/>
  <c r="L1077" i="19" s="1"/>
  <c r="A1077" i="19"/>
  <c r="K1076" i="19"/>
  <c r="L1076" i="19" s="1"/>
  <c r="A1076" i="19"/>
  <c r="A1075" i="19"/>
  <c r="K1075" i="19"/>
  <c r="L1075" i="19" s="1"/>
  <c r="K7" i="22"/>
  <c r="L7" i="22" s="1"/>
  <c r="A43" i="22"/>
  <c r="K5" i="22"/>
  <c r="L5" i="22" s="1"/>
  <c r="K6" i="22"/>
  <c r="L6" i="22" s="1"/>
  <c r="K550" i="19"/>
  <c r="L550" i="19" s="1"/>
  <c r="K551" i="19"/>
  <c r="L551" i="19" s="1"/>
  <c r="K552" i="19"/>
  <c r="L552" i="19" s="1"/>
  <c r="K553" i="19"/>
  <c r="L553" i="19" s="1"/>
  <c r="K554" i="19"/>
  <c r="L554" i="19" s="1"/>
  <c r="K555" i="19"/>
  <c r="L555" i="19" s="1"/>
  <c r="K560" i="19"/>
  <c r="L560" i="19" s="1"/>
  <c r="K561" i="19"/>
  <c r="L561" i="19" s="1"/>
  <c r="K562" i="19"/>
  <c r="L562" i="19" s="1"/>
  <c r="K563" i="19"/>
  <c r="L563" i="19" s="1"/>
  <c r="K564" i="19"/>
  <c r="L564" i="19" s="1"/>
  <c r="K565" i="19"/>
  <c r="L565" i="19" s="1"/>
  <c r="K549" i="19"/>
  <c r="L549" i="19" s="1"/>
  <c r="K528" i="19"/>
  <c r="L528" i="19" s="1"/>
  <c r="K529" i="19"/>
  <c r="L529" i="19" s="1"/>
  <c r="K530" i="19"/>
  <c r="L530" i="19" s="1"/>
  <c r="K531" i="19"/>
  <c r="L531" i="19" s="1"/>
  <c r="K532" i="19"/>
  <c r="L532" i="19" s="1"/>
  <c r="K533" i="19"/>
  <c r="L533" i="19" s="1"/>
  <c r="K534" i="19"/>
  <c r="L534" i="19" s="1"/>
  <c r="K535" i="19"/>
  <c r="L535" i="19" s="1"/>
  <c r="K537" i="19"/>
  <c r="L537" i="19" s="1"/>
  <c r="K548" i="19"/>
  <c r="L548" i="19" s="1"/>
  <c r="K527" i="19"/>
  <c r="L527" i="19" s="1"/>
  <c r="K526" i="19"/>
  <c r="L526" i="19" s="1"/>
  <c r="K516" i="19"/>
  <c r="L516" i="19" s="1"/>
  <c r="K517" i="19"/>
  <c r="L517" i="19" s="1"/>
  <c r="K518" i="19"/>
  <c r="L518" i="19" s="1"/>
  <c r="K519" i="19"/>
  <c r="L519" i="19" s="1"/>
  <c r="K520" i="19"/>
  <c r="L520" i="19" s="1"/>
  <c r="K521" i="19"/>
  <c r="L521" i="19" s="1"/>
  <c r="K522" i="19"/>
  <c r="L522" i="19" s="1"/>
  <c r="K523" i="19"/>
  <c r="L523" i="19" s="1"/>
  <c r="K525" i="19"/>
  <c r="L525" i="19" s="1"/>
  <c r="K506" i="19"/>
  <c r="L506" i="19" s="1"/>
  <c r="K507" i="19"/>
  <c r="L507" i="19" s="1"/>
  <c r="K508" i="19"/>
  <c r="L508" i="19" s="1"/>
  <c r="K509" i="19"/>
  <c r="L509" i="19" s="1"/>
  <c r="K512" i="19"/>
  <c r="L512" i="19" s="1"/>
  <c r="K513" i="19"/>
  <c r="L513" i="19" s="1"/>
  <c r="K514" i="19"/>
  <c r="L514" i="19" s="1"/>
  <c r="K515" i="19"/>
  <c r="L515" i="19" s="1"/>
  <c r="K505" i="19"/>
  <c r="L505" i="19" s="1"/>
  <c r="K493" i="19"/>
  <c r="L493" i="19" s="1"/>
  <c r="K495" i="19"/>
  <c r="L495" i="19" s="1"/>
  <c r="K501" i="19"/>
  <c r="L501" i="19" s="1"/>
  <c r="K502" i="19"/>
  <c r="L502" i="19" s="1"/>
  <c r="K503" i="19"/>
  <c r="L503" i="19" s="1"/>
  <c r="K492" i="19"/>
  <c r="L492" i="19" s="1"/>
  <c r="K1090" i="19"/>
  <c r="L1090" i="19" s="1"/>
  <c r="K999" i="19"/>
  <c r="L999" i="19" s="1"/>
  <c r="K1091" i="19"/>
  <c r="L1091" i="19" s="1"/>
  <c r="A1090" i="19"/>
  <c r="A999" i="19"/>
  <c r="A1091" i="19"/>
  <c r="K467" i="19"/>
  <c r="K448" i="19"/>
  <c r="K168" i="18"/>
  <c r="L168" i="18" s="1"/>
  <c r="K156" i="18"/>
  <c r="L156" i="18" s="1"/>
  <c r="K155" i="18"/>
  <c r="L155" i="18" s="1"/>
  <c r="K158" i="18"/>
  <c r="L158" i="18" s="1"/>
  <c r="K164" i="18"/>
  <c r="L164" i="18" s="1"/>
  <c r="K166" i="18"/>
  <c r="L166" i="18" s="1"/>
  <c r="K167" i="18"/>
  <c r="L167" i="18" s="1"/>
  <c r="K171" i="18"/>
  <c r="L171" i="18" s="1"/>
  <c r="K159" i="18"/>
  <c r="L159" i="18" s="1"/>
  <c r="K160" i="18"/>
  <c r="L160" i="18" s="1"/>
  <c r="K165" i="18"/>
  <c r="L165" i="18" s="1"/>
  <c r="K169" i="18"/>
  <c r="L169" i="18" s="1"/>
  <c r="K170" i="18"/>
  <c r="L170" i="18" s="1"/>
  <c r="K154" i="18"/>
  <c r="L154" i="18" s="1"/>
  <c r="K444" i="19"/>
  <c r="K1026" i="19"/>
  <c r="L1026" i="19" s="1"/>
  <c r="A1026" i="19"/>
  <c r="K600" i="19"/>
  <c r="L600" i="19" s="1"/>
  <c r="A600" i="19"/>
  <c r="K938" i="19"/>
  <c r="L938" i="19" s="1"/>
  <c r="K599" i="19"/>
  <c r="L599" i="19" s="1"/>
  <c r="A599" i="19"/>
  <c r="A613" i="19"/>
  <c r="K613" i="19"/>
  <c r="L613" i="19" s="1"/>
  <c r="K1038" i="19"/>
  <c r="L1038" i="19" s="1"/>
  <c r="A1038" i="19"/>
  <c r="K1037" i="19"/>
  <c r="L1037" i="19" s="1"/>
  <c r="K1039" i="19"/>
  <c r="L1039" i="19" s="1"/>
  <c r="K1041" i="19"/>
  <c r="L1041" i="19" s="1"/>
  <c r="K1042" i="19"/>
  <c r="L1042" i="19" s="1"/>
  <c r="K1043" i="19"/>
  <c r="L1043" i="19" s="1"/>
  <c r="K483" i="19"/>
  <c r="L483" i="19" s="1"/>
  <c r="K485" i="19"/>
  <c r="L485" i="19" s="1"/>
  <c r="K486" i="19"/>
  <c r="L486" i="19" s="1"/>
  <c r="K487" i="19"/>
  <c r="L487" i="19" s="1"/>
  <c r="K488" i="19"/>
  <c r="L488" i="19" s="1"/>
  <c r="K489" i="19"/>
  <c r="L489" i="19" s="1"/>
  <c r="K490" i="19"/>
  <c r="L490" i="19" s="1"/>
  <c r="K491" i="19"/>
  <c r="L491" i="19" s="1"/>
  <c r="K494" i="19"/>
  <c r="L494" i="19" s="1"/>
  <c r="K479" i="19"/>
  <c r="L479" i="19" s="1"/>
  <c r="Q128" i="17" l="1"/>
  <c r="P130" i="17"/>
  <c r="Q130" i="17" s="1"/>
  <c r="P131" i="17"/>
  <c r="Q131" i="17" s="1"/>
  <c r="Q133" i="17"/>
  <c r="P134" i="17"/>
  <c r="Q134" i="17" s="1"/>
  <c r="Q149" i="17"/>
  <c r="P150" i="17"/>
  <c r="Q150" i="17" s="1"/>
  <c r="P151" i="17"/>
  <c r="Q151" i="17" s="1"/>
  <c r="Q152" i="17"/>
  <c r="P161" i="17"/>
  <c r="Q161" i="17" s="1"/>
  <c r="P174" i="17"/>
  <c r="Q174" i="17" s="1"/>
  <c r="P177" i="17"/>
  <c r="Q177" i="17" s="1"/>
  <c r="P178" i="17"/>
  <c r="Q178" i="17" s="1"/>
  <c r="A127" i="17"/>
  <c r="P127" i="17"/>
  <c r="Q127" i="17" s="1"/>
  <c r="A124" i="17"/>
  <c r="P124" i="17"/>
  <c r="Q124" i="17" s="1"/>
  <c r="P116" i="17"/>
  <c r="Q116" i="17" s="1"/>
  <c r="A115" i="17"/>
  <c r="P117" i="17"/>
  <c r="Q117" i="17" s="1"/>
  <c r="P118" i="17"/>
  <c r="Q118" i="17" s="1"/>
  <c r="P119" i="17"/>
  <c r="Q119" i="17" s="1"/>
  <c r="P121" i="17"/>
  <c r="Q121" i="17" s="1"/>
  <c r="P122" i="17"/>
  <c r="Q122" i="17" s="1"/>
  <c r="A78" i="17"/>
  <c r="P78" i="17"/>
  <c r="Q78" i="17" s="1"/>
  <c r="P123" i="17" l="1"/>
  <c r="Q123" i="17" s="1"/>
  <c r="P125" i="17"/>
  <c r="Q125" i="17" s="1"/>
  <c r="K408" i="19"/>
  <c r="K478" i="19"/>
  <c r="L478" i="19" s="1"/>
  <c r="K476" i="19"/>
  <c r="L476" i="19" s="1"/>
  <c r="K477" i="19"/>
  <c r="L477" i="19" s="1"/>
  <c r="K461" i="19"/>
  <c r="K462" i="19"/>
  <c r="L462" i="19" s="1"/>
  <c r="K463" i="19"/>
  <c r="L463" i="19" s="1"/>
  <c r="K468" i="19"/>
  <c r="L468" i="19" s="1"/>
  <c r="K469" i="19"/>
  <c r="L469" i="19" s="1"/>
  <c r="K470" i="19"/>
  <c r="L470" i="19" s="1"/>
  <c r="K471" i="19"/>
  <c r="L471" i="19" s="1"/>
  <c r="K472" i="19"/>
  <c r="L472" i="19" s="1"/>
  <c r="K474" i="19"/>
  <c r="L474" i="19" s="1"/>
  <c r="K475" i="19"/>
  <c r="L475" i="19" s="1"/>
  <c r="K459" i="19"/>
  <c r="L459" i="19" s="1"/>
  <c r="K83" i="18"/>
  <c r="L230" i="18"/>
  <c r="L231" i="18"/>
  <c r="A83" i="18"/>
  <c r="L461" i="19" l="1"/>
  <c r="K453" i="19"/>
  <c r="L453" i="19" s="1"/>
  <c r="K1097" i="19"/>
  <c r="L1097" i="19" s="1"/>
  <c r="K1098" i="19"/>
  <c r="L1098" i="19" s="1"/>
  <c r="A1097" i="19"/>
  <c r="A1098" i="19"/>
  <c r="K473" i="19"/>
  <c r="L473" i="19" s="1"/>
  <c r="A473" i="19"/>
  <c r="K922" i="19"/>
  <c r="L922" i="19" s="1"/>
  <c r="A922" i="19"/>
  <c r="A921" i="19"/>
  <c r="L921" i="19"/>
  <c r="A446" i="19"/>
  <c r="K446" i="19"/>
  <c r="L446" i="19" s="1"/>
  <c r="K458" i="19"/>
  <c r="L458" i="19" s="1"/>
  <c r="A458" i="19"/>
  <c r="K457" i="19"/>
  <c r="L457" i="19" s="1"/>
  <c r="A457" i="19"/>
  <c r="A456" i="19"/>
  <c r="K456" i="19"/>
  <c r="L456" i="19" s="1"/>
  <c r="K450" i="19"/>
  <c r="L450" i="19" s="1"/>
  <c r="K451" i="19"/>
  <c r="L451" i="19" s="1"/>
  <c r="K452" i="19"/>
  <c r="L452" i="19" s="1"/>
  <c r="K449" i="19"/>
  <c r="L449" i="19" s="1"/>
  <c r="K113" i="18"/>
  <c r="A436" i="19"/>
  <c r="K436" i="19"/>
  <c r="L436" i="19" s="1"/>
  <c r="K766" i="19"/>
  <c r="L766" i="19" s="1"/>
  <c r="A766" i="19"/>
  <c r="K435" i="19"/>
  <c r="L435" i="19" s="1"/>
  <c r="K437" i="19"/>
  <c r="L437" i="19" s="1"/>
  <c r="K438" i="19"/>
  <c r="L438" i="19" s="1"/>
  <c r="A435" i="19"/>
  <c r="A437" i="19"/>
  <c r="A438" i="19"/>
  <c r="K1019" i="19"/>
  <c r="L1019" i="19" s="1"/>
  <c r="K765" i="19"/>
  <c r="L765" i="19" s="1"/>
  <c r="K418" i="19"/>
  <c r="L418" i="19" s="1"/>
  <c r="L420" i="19"/>
  <c r="A1019" i="19"/>
  <c r="A765" i="19"/>
  <c r="K440" i="19"/>
  <c r="L440" i="19" s="1"/>
  <c r="K964" i="19"/>
  <c r="L964" i="19" s="1"/>
  <c r="A964" i="19"/>
  <c r="A112" i="17"/>
  <c r="A113" i="17"/>
  <c r="P114" i="17"/>
  <c r="Q114" i="17" s="1"/>
  <c r="A114" i="17"/>
  <c r="A111" i="17"/>
  <c r="A110" i="17"/>
  <c r="K439" i="19"/>
  <c r="L439" i="19" s="1"/>
  <c r="K424" i="19"/>
  <c r="L424" i="19" s="1"/>
  <c r="K425" i="19"/>
  <c r="L425" i="19" s="1"/>
  <c r="K426" i="19"/>
  <c r="L426" i="19" s="1"/>
  <c r="K427" i="19"/>
  <c r="L427" i="19" s="1"/>
  <c r="K428" i="19"/>
  <c r="L428" i="19" s="1"/>
  <c r="K429" i="19"/>
  <c r="L429" i="19" s="1"/>
  <c r="K430" i="19"/>
  <c r="L430" i="19" s="1"/>
  <c r="K431" i="19"/>
  <c r="L431" i="19" s="1"/>
  <c r="K433" i="19"/>
  <c r="L433" i="19" s="1"/>
  <c r="K434" i="19"/>
  <c r="L434" i="19" s="1"/>
  <c r="K423" i="19"/>
  <c r="L423" i="19" s="1"/>
  <c r="K351" i="19"/>
  <c r="K152" i="18"/>
  <c r="L152" i="18" s="1"/>
  <c r="K153" i="18"/>
  <c r="L153" i="18" s="1"/>
  <c r="K188" i="18"/>
  <c r="L188" i="18" s="1"/>
  <c r="K189" i="18"/>
  <c r="L189" i="18" s="1"/>
  <c r="K190" i="18"/>
  <c r="L190" i="18" s="1"/>
  <c r="K191" i="18"/>
  <c r="L191" i="18" s="1"/>
  <c r="K192" i="18"/>
  <c r="L192" i="18" s="1"/>
  <c r="K193" i="18"/>
  <c r="L193" i="18" s="1"/>
  <c r="K194" i="18"/>
  <c r="L194" i="18" s="1"/>
  <c r="K195" i="18"/>
  <c r="L195" i="18" s="1"/>
  <c r="K219" i="18"/>
  <c r="L219" i="18" s="1"/>
  <c r="K228" i="18"/>
  <c r="L228" i="18" s="1"/>
  <c r="K229" i="18"/>
  <c r="L229" i="18" s="1"/>
  <c r="K232" i="18"/>
  <c r="L232" i="18" s="1"/>
  <c r="K233" i="18"/>
  <c r="L233" i="18" s="1"/>
  <c r="K234" i="18"/>
  <c r="L234" i="18" s="1"/>
  <c r="K235" i="18"/>
  <c r="L235" i="18" s="1"/>
  <c r="K236" i="18"/>
  <c r="L236" i="18" s="1"/>
  <c r="K237" i="18"/>
  <c r="L237" i="18" s="1"/>
  <c r="K238" i="18"/>
  <c r="L238" i="18" s="1"/>
  <c r="K241" i="18"/>
  <c r="L241" i="18" s="1"/>
  <c r="K242" i="18"/>
  <c r="L242" i="18" s="1"/>
  <c r="L239" i="18"/>
  <c r="L240" i="18"/>
  <c r="K150" i="18"/>
  <c r="L150" i="18" s="1"/>
  <c r="K144" i="18"/>
  <c r="L144" i="18" s="1"/>
  <c r="K145" i="18"/>
  <c r="L145" i="18" s="1"/>
  <c r="K146" i="18"/>
  <c r="L146" i="18" s="1"/>
  <c r="K147" i="18"/>
  <c r="L147" i="18" s="1"/>
  <c r="K148" i="18"/>
  <c r="L148" i="18" s="1"/>
  <c r="K143" i="18"/>
  <c r="L143" i="18" s="1"/>
  <c r="K141" i="18"/>
  <c r="L141" i="18" s="1"/>
  <c r="K140" i="18"/>
  <c r="L140" i="18" s="1"/>
  <c r="K137" i="18"/>
  <c r="L137" i="18" s="1"/>
  <c r="K138" i="18"/>
  <c r="L138" i="18" s="1"/>
  <c r="K139" i="18"/>
  <c r="L139" i="18" s="1"/>
  <c r="K136" i="18"/>
  <c r="L136" i="18" s="1"/>
  <c r="K135" i="18"/>
  <c r="L135" i="18" s="1"/>
  <c r="K129" i="18"/>
  <c r="L129" i="18" s="1"/>
  <c r="K130" i="18"/>
  <c r="L130" i="18" s="1"/>
  <c r="K131" i="18"/>
  <c r="L131" i="18" s="1"/>
  <c r="K132" i="18"/>
  <c r="L132" i="18" s="1"/>
  <c r="K133" i="18"/>
  <c r="L133" i="18" s="1"/>
  <c r="K134" i="18"/>
  <c r="L134" i="18" s="1"/>
  <c r="K128" i="18"/>
  <c r="L128" i="18" s="1"/>
  <c r="K121" i="18"/>
  <c r="L121" i="18" s="1"/>
  <c r="K122" i="18"/>
  <c r="L122" i="18" s="1"/>
  <c r="K123" i="18"/>
  <c r="L123" i="18" s="1"/>
  <c r="K124" i="18"/>
  <c r="L124" i="18" s="1"/>
  <c r="K125" i="18"/>
  <c r="L125" i="18" s="1"/>
  <c r="K126" i="18"/>
  <c r="L126" i="18" s="1"/>
  <c r="K119" i="18"/>
  <c r="L119" i="18" s="1"/>
  <c r="K114" i="18"/>
  <c r="L114" i="18" s="1"/>
  <c r="K109" i="18"/>
  <c r="K105" i="18"/>
  <c r="K103" i="18"/>
  <c r="K94" i="18"/>
  <c r="K79" i="18"/>
  <c r="K80" i="18"/>
  <c r="K78" i="18"/>
  <c r="A109" i="17" l="1"/>
  <c r="P109" i="17"/>
  <c r="Q109" i="17" s="1"/>
  <c r="K416" i="19"/>
  <c r="L416" i="19" s="1"/>
  <c r="K417" i="19"/>
  <c r="L417" i="19" s="1"/>
  <c r="K466" i="19"/>
  <c r="L466" i="19" s="1"/>
  <c r="A466" i="19"/>
  <c r="K465" i="19"/>
  <c r="L465" i="19" s="1"/>
  <c r="L467" i="19"/>
  <c r="A465" i="19"/>
  <c r="A467" i="19"/>
  <c r="A559" i="19"/>
  <c r="K559" i="19"/>
  <c r="L559" i="19" s="1"/>
  <c r="K447" i="19"/>
  <c r="L447" i="19" s="1"/>
  <c r="L448" i="19"/>
  <c r="K414" i="19"/>
  <c r="L414" i="19" s="1"/>
  <c r="K558" i="19"/>
  <c r="L558" i="19" s="1"/>
  <c r="A1089" i="19"/>
  <c r="A447" i="19"/>
  <c r="A448" i="19"/>
  <c r="A558" i="19"/>
  <c r="K1089" i="19"/>
  <c r="L1089" i="19" s="1"/>
  <c r="K413" i="19"/>
  <c r="L413" i="19" s="1"/>
  <c r="K455" i="19"/>
  <c r="L455" i="19" s="1"/>
  <c r="A455" i="19"/>
  <c r="A454" i="19"/>
  <c r="K454" i="19"/>
  <c r="L454" i="19" s="1"/>
  <c r="K411" i="19"/>
  <c r="L411" i="19" s="1"/>
  <c r="K412" i="19"/>
  <c r="L412" i="19" s="1"/>
  <c r="K415" i="19"/>
  <c r="L415" i="19" s="1"/>
  <c r="K395" i="19"/>
  <c r="L395" i="19" s="1"/>
  <c r="K398" i="19"/>
  <c r="L398" i="19" s="1"/>
  <c r="K400" i="19"/>
  <c r="L400" i="19" s="1"/>
  <c r="K401" i="19"/>
  <c r="L401" i="19" s="1"/>
  <c r="K402" i="19"/>
  <c r="L402" i="19" s="1"/>
  <c r="K403" i="19"/>
  <c r="L403" i="19" s="1"/>
  <c r="K404" i="19"/>
  <c r="L404" i="19" s="1"/>
  <c r="K409" i="19"/>
  <c r="L409" i="19" s="1"/>
  <c r="K405" i="19"/>
  <c r="L405" i="19" s="1"/>
  <c r="K406" i="19"/>
  <c r="L406" i="19" s="1"/>
  <c r="K410" i="19"/>
  <c r="L410" i="19" s="1"/>
  <c r="K394" i="19"/>
  <c r="L394" i="19" s="1"/>
  <c r="A108" i="17"/>
  <c r="A107" i="17"/>
  <c r="A106" i="17"/>
  <c r="A103" i="17"/>
  <c r="A101" i="17"/>
  <c r="A100" i="17"/>
  <c r="A104" i="17"/>
  <c r="A102" i="17"/>
  <c r="A99" i="17"/>
  <c r="A98" i="17"/>
  <c r="A96" i="17"/>
  <c r="A97" i="17"/>
  <c r="A62" i="17"/>
  <c r="P62" i="17"/>
  <c r="Q62" i="17" s="1"/>
  <c r="P103" i="17"/>
  <c r="Q103" i="17" s="1"/>
  <c r="P101" i="17"/>
  <c r="Q101" i="17" s="1"/>
  <c r="P102" i="17"/>
  <c r="Q102" i="17" s="1"/>
  <c r="P104" i="17"/>
  <c r="Q104" i="17" s="1"/>
  <c r="P106" i="17"/>
  <c r="Q106" i="17" s="1"/>
  <c r="P107" i="17"/>
  <c r="Q107" i="17" s="1"/>
  <c r="P108" i="17"/>
  <c r="Q108" i="17" s="1"/>
  <c r="P110" i="17"/>
  <c r="Q110" i="17" s="1"/>
  <c r="P111" i="17"/>
  <c r="Q111" i="17" s="1"/>
  <c r="P112" i="17"/>
  <c r="Q112" i="17" s="1"/>
  <c r="P113" i="17"/>
  <c r="Q113" i="17" s="1"/>
  <c r="P126" i="17"/>
  <c r="Q126" i="17" s="1"/>
  <c r="A92" i="17"/>
  <c r="P92" i="17"/>
  <c r="Q92" i="17" s="1"/>
  <c r="P88" i="17"/>
  <c r="Q88" i="17" s="1"/>
  <c r="A88" i="17"/>
  <c r="A82" i="17"/>
  <c r="P82" i="17"/>
  <c r="Q82" i="17" s="1"/>
  <c r="P105" i="17"/>
  <c r="Q105" i="17" s="1"/>
  <c r="P99" i="17"/>
  <c r="Q99" i="17" s="1"/>
  <c r="P98" i="17"/>
  <c r="Q98" i="17" s="1"/>
  <c r="P100" i="17"/>
  <c r="Q100" i="17" s="1"/>
  <c r="P97" i="17"/>
  <c r="Q97" i="17" s="1"/>
  <c r="A408" i="19" l="1"/>
  <c r="L408" i="19"/>
  <c r="J343" i="19"/>
  <c r="I343" i="19"/>
  <c r="K343" i="19" s="1"/>
  <c r="L343" i="19" s="1"/>
  <c r="J342" i="19"/>
  <c r="J341" i="19"/>
  <c r="I342" i="19"/>
  <c r="K342" i="19" s="1"/>
  <c r="L342" i="19" s="1"/>
  <c r="I341" i="19"/>
  <c r="K341" i="19" s="1"/>
  <c r="L341" i="19" s="1"/>
  <c r="A341" i="19"/>
  <c r="A342" i="19"/>
  <c r="A343" i="19"/>
  <c r="I325" i="19"/>
  <c r="K325" i="19" s="1"/>
  <c r="L325" i="19" s="1"/>
  <c r="J326" i="19"/>
  <c r="I326" i="19"/>
  <c r="K326" i="19" s="1"/>
  <c r="L326" i="19" s="1"/>
  <c r="A326" i="19"/>
  <c r="J325" i="19"/>
  <c r="A325" i="19"/>
  <c r="J324" i="19"/>
  <c r="I324" i="19"/>
  <c r="K324" i="19" s="1"/>
  <c r="L324" i="19" s="1"/>
  <c r="A324" i="19"/>
  <c r="L809" i="19"/>
  <c r="A809" i="19"/>
  <c r="L808" i="19"/>
  <c r="A808" i="19"/>
  <c r="A807" i="19"/>
  <c r="L807" i="19"/>
  <c r="K328" i="19"/>
  <c r="A464" i="19"/>
  <c r="K464" i="19"/>
  <c r="A676" i="19"/>
  <c r="K676" i="19"/>
  <c r="L676" i="19" s="1"/>
  <c r="K385" i="19"/>
  <c r="L385" i="19" s="1"/>
  <c r="K498" i="19"/>
  <c r="L498" i="19" s="1"/>
  <c r="A498" i="19"/>
  <c r="A497" i="19"/>
  <c r="K497" i="19"/>
  <c r="L497" i="19" s="1"/>
  <c r="A399" i="19"/>
  <c r="K399" i="19"/>
  <c r="L399" i="19" s="1"/>
  <c r="A1088" i="19"/>
  <c r="K1088" i="19"/>
  <c r="L1088" i="19" s="1"/>
  <c r="A646" i="19"/>
  <c r="A647" i="19"/>
  <c r="K647" i="19"/>
  <c r="L647" i="19" s="1"/>
  <c r="K646" i="19"/>
  <c r="L646" i="19" s="1"/>
  <c r="A699" i="19"/>
  <c r="K699" i="19"/>
  <c r="L699" i="19" s="1"/>
  <c r="A821" i="19"/>
  <c r="A820" i="19"/>
  <c r="A1093" i="19"/>
  <c r="K1093" i="19"/>
  <c r="L1093" i="19" s="1"/>
  <c r="A1092" i="19"/>
  <c r="K1092" i="19"/>
  <c r="L1092" i="19" s="1"/>
  <c r="K392" i="19"/>
  <c r="L392" i="19" s="1"/>
  <c r="K393" i="19"/>
  <c r="L393" i="19" s="1"/>
  <c r="K390" i="19"/>
  <c r="L390" i="19" s="1"/>
  <c r="K391" i="19"/>
  <c r="L391" i="19" s="1"/>
  <c r="K389" i="19"/>
  <c r="L389" i="19" s="1"/>
  <c r="K378" i="19"/>
  <c r="L378" i="19" s="1"/>
  <c r="K379" i="19"/>
  <c r="L379" i="19" s="1"/>
  <c r="K380" i="19"/>
  <c r="L380" i="19" s="1"/>
  <c r="K381" i="19"/>
  <c r="L381" i="19" s="1"/>
  <c r="K382" i="19"/>
  <c r="L382" i="19" s="1"/>
  <c r="K383" i="19"/>
  <c r="L383" i="19" s="1"/>
  <c r="K384" i="19"/>
  <c r="L384" i="19" s="1"/>
  <c r="K386" i="19"/>
  <c r="L386" i="19" s="1"/>
  <c r="K387" i="19"/>
  <c r="L387" i="19" s="1"/>
  <c r="K388" i="19"/>
  <c r="L388" i="19" s="1"/>
  <c r="K377" i="19"/>
  <c r="L377" i="19" s="1"/>
  <c r="L963" i="19"/>
  <c r="A963" i="19"/>
  <c r="L962" i="19"/>
  <c r="A962" i="19"/>
  <c r="K961" i="19"/>
  <c r="L961" i="19" s="1"/>
  <c r="A961" i="19"/>
  <c r="L960" i="19"/>
  <c r="A960" i="19"/>
  <c r="L959" i="19"/>
  <c r="A959" i="19"/>
  <c r="A958" i="19"/>
  <c r="L958" i="19"/>
  <c r="K350" i="19"/>
  <c r="L350" i="19" s="1"/>
  <c r="L351" i="19"/>
  <c r="A1043" i="19"/>
  <c r="A1042" i="19"/>
  <c r="A1041" i="19"/>
  <c r="A1040" i="19"/>
  <c r="A1039" i="19"/>
  <c r="A1037" i="19"/>
  <c r="K871" i="19"/>
  <c r="L871" i="19" s="1"/>
  <c r="K872" i="19"/>
  <c r="L872" i="19" s="1"/>
  <c r="K873" i="19"/>
  <c r="L873" i="19" s="1"/>
  <c r="A871" i="19"/>
  <c r="A872" i="19"/>
  <c r="A873" i="19"/>
  <c r="A870" i="19"/>
  <c r="K870" i="19"/>
  <c r="L870" i="19" s="1"/>
  <c r="A1072" i="19"/>
  <c r="K1072" i="19"/>
  <c r="L1072" i="19" s="1"/>
  <c r="K367" i="19"/>
  <c r="L367" i="19" s="1"/>
  <c r="K368" i="19"/>
  <c r="L368" i="19" s="1"/>
  <c r="K365" i="19"/>
  <c r="L365" i="19" s="1"/>
  <c r="K366" i="19"/>
  <c r="L366" i="19" s="1"/>
  <c r="K364" i="19"/>
  <c r="L364" i="19" s="1"/>
  <c r="L464" i="19" l="1"/>
  <c r="A1048" i="19"/>
  <c r="A1047" i="19"/>
  <c r="A1046" i="19"/>
  <c r="K698" i="19"/>
  <c r="L698" i="19" s="1"/>
  <c r="K1045" i="19"/>
  <c r="L1045" i="19" s="1"/>
  <c r="K1046" i="19"/>
  <c r="L1046" i="19" s="1"/>
  <c r="K1047" i="19"/>
  <c r="L1047" i="19" s="1"/>
  <c r="K1048" i="19"/>
  <c r="L1048" i="19" s="1"/>
  <c r="A698" i="19"/>
  <c r="A1045" i="19"/>
  <c r="K1103" i="19"/>
  <c r="L1103" i="19" s="1"/>
  <c r="K1084" i="19"/>
  <c r="L1084" i="19" s="1"/>
  <c r="K370" i="19"/>
  <c r="L370" i="19" s="1"/>
  <c r="K1055" i="19"/>
  <c r="L1055" i="19" s="1"/>
  <c r="A1103" i="19"/>
  <c r="A1084" i="19"/>
  <c r="A370" i="19"/>
  <c r="A1055" i="19"/>
  <c r="A1073" i="19"/>
  <c r="K1073" i="19"/>
  <c r="L1073" i="19" s="1"/>
  <c r="A1021" i="19"/>
  <c r="K1021" i="19"/>
  <c r="L1021" i="19" s="1"/>
  <c r="A1044" i="19"/>
  <c r="K1044" i="19"/>
  <c r="L1044" i="19" s="1"/>
  <c r="A1102" i="19"/>
  <c r="K1102" i="19"/>
  <c r="L1102" i="19" s="1"/>
  <c r="K445" i="19"/>
  <c r="L445" i="19" s="1"/>
  <c r="A445" i="19"/>
  <c r="K360" i="19"/>
  <c r="L360" i="19" s="1"/>
  <c r="K359" i="19"/>
  <c r="L359" i="19" s="1"/>
  <c r="K363" i="19"/>
  <c r="L363" i="19" s="1"/>
  <c r="K362" i="19"/>
  <c r="L362" i="19" s="1"/>
  <c r="K361" i="19"/>
  <c r="L361" i="19" s="1"/>
  <c r="K358" i="19"/>
  <c r="L358" i="19" s="1"/>
  <c r="L357" i="19"/>
  <c r="A95" i="17"/>
  <c r="A64" i="17"/>
  <c r="K356" i="19"/>
  <c r="L356" i="19" s="1"/>
  <c r="K355" i="19"/>
  <c r="L355" i="19" s="1"/>
  <c r="K354" i="19"/>
  <c r="L354" i="19" s="1"/>
  <c r="K353" i="19"/>
  <c r="L353" i="19" s="1"/>
  <c r="K352" i="19"/>
  <c r="L352" i="19" s="1"/>
  <c r="K349" i="19"/>
  <c r="L349" i="19" s="1"/>
  <c r="K340" i="19"/>
  <c r="L340" i="19" s="1"/>
  <c r="K347" i="19"/>
  <c r="L347" i="19" s="1"/>
  <c r="K339" i="19"/>
  <c r="L339" i="19" s="1"/>
  <c r="P94" i="17"/>
  <c r="A85" i="17"/>
  <c r="A86" i="17"/>
  <c r="A87" i="17"/>
  <c r="A89" i="17"/>
  <c r="A90" i="17"/>
  <c r="A91" i="17"/>
  <c r="A93" i="17"/>
  <c r="A94" i="17"/>
  <c r="P91" i="17" l="1"/>
  <c r="Q91" i="17" s="1"/>
  <c r="P93" i="17"/>
  <c r="Q93" i="17" s="1"/>
  <c r="Q94" i="17"/>
  <c r="P95" i="17"/>
  <c r="Q95" i="17" s="1"/>
  <c r="P96" i="17"/>
  <c r="Q96" i="17" s="1"/>
  <c r="K337" i="19"/>
  <c r="L337" i="19" s="1"/>
  <c r="K336" i="19"/>
  <c r="L336" i="19" s="1"/>
  <c r="K338" i="19"/>
  <c r="L338" i="19" s="1"/>
  <c r="K348" i="19"/>
  <c r="L348" i="19" s="1"/>
  <c r="K335" i="19"/>
  <c r="L335" i="19" s="1"/>
  <c r="K319" i="19"/>
  <c r="L319" i="19" s="1"/>
  <c r="K317" i="19"/>
  <c r="L317" i="19" s="1"/>
  <c r="K314" i="19"/>
  <c r="L314" i="19" s="1"/>
  <c r="P86" i="17"/>
  <c r="Q86" i="17" s="1"/>
  <c r="P87" i="17"/>
  <c r="Q87" i="17" s="1"/>
  <c r="P89" i="17"/>
  <c r="Q89" i="17" s="1"/>
  <c r="P90" i="17"/>
  <c r="Q90" i="17" s="1"/>
  <c r="A84" i="17"/>
  <c r="A397" i="19"/>
  <c r="K397" i="19"/>
  <c r="L397" i="19" s="1"/>
  <c r="K322" i="19"/>
  <c r="L322" i="19" s="1"/>
  <c r="L323" i="19"/>
  <c r="K320" i="19"/>
  <c r="L320" i="19" s="1"/>
  <c r="K321" i="19"/>
  <c r="L321" i="19" s="1"/>
  <c r="K318" i="19"/>
  <c r="L318" i="19" s="1"/>
  <c r="A76" i="17"/>
  <c r="A79" i="17"/>
  <c r="A80" i="17"/>
  <c r="A81" i="17"/>
  <c r="A83" i="17"/>
  <c r="P84" i="17"/>
  <c r="Q84" i="17" s="1"/>
  <c r="P85" i="17"/>
  <c r="Q85" i="17" s="1"/>
  <c r="P240" i="17"/>
  <c r="Q240" i="17" s="1"/>
  <c r="K547" i="19"/>
  <c r="L547" i="19" s="1"/>
  <c r="A547" i="19"/>
  <c r="K546" i="19"/>
  <c r="L546" i="19" s="1"/>
  <c r="A546" i="19"/>
  <c r="K545" i="19"/>
  <c r="L545" i="19" s="1"/>
  <c r="A545" i="19"/>
  <c r="K544" i="19"/>
  <c r="L544" i="19" s="1"/>
  <c r="A544" i="19"/>
  <c r="K543" i="19"/>
  <c r="L543" i="19" s="1"/>
  <c r="A543" i="19"/>
  <c r="K542" i="19"/>
  <c r="L542" i="19" s="1"/>
  <c r="A542" i="19"/>
  <c r="A541" i="19"/>
  <c r="K541" i="19"/>
  <c r="L541" i="19" s="1"/>
  <c r="A407" i="19"/>
  <c r="K407" i="19"/>
  <c r="L407" i="19" s="1"/>
  <c r="K311" i="19"/>
  <c r="L311" i="19" s="1"/>
  <c r="K334" i="19"/>
  <c r="L334" i="19" s="1"/>
  <c r="A334" i="19"/>
  <c r="K1126" i="19"/>
  <c r="L1126" i="19" s="1"/>
  <c r="K1127" i="19"/>
  <c r="L1127" i="19" s="1"/>
  <c r="K1128" i="19"/>
  <c r="L1128" i="19" s="1"/>
  <c r="K1129" i="19"/>
  <c r="L1129" i="19" s="1"/>
  <c r="A1129" i="19"/>
  <c r="A1128" i="19"/>
  <c r="A1127" i="19"/>
  <c r="A1126" i="19"/>
  <c r="A1125" i="19"/>
  <c r="K1125" i="19"/>
  <c r="L1125" i="19" s="1"/>
  <c r="J496" i="19"/>
  <c r="I496" i="19"/>
  <c r="K496" i="19" s="1"/>
  <c r="A496" i="19"/>
  <c r="K307" i="19"/>
  <c r="L307" i="19" s="1"/>
  <c r="K309" i="19"/>
  <c r="L309" i="19" s="1"/>
  <c r="K310" i="19"/>
  <c r="L310" i="19" s="1"/>
  <c r="K316" i="19"/>
  <c r="L316" i="19" s="1"/>
  <c r="K308" i="19"/>
  <c r="L308" i="19" s="1"/>
  <c r="I305" i="19"/>
  <c r="J305" i="19"/>
  <c r="K303" i="19"/>
  <c r="L303" i="19" s="1"/>
  <c r="K302" i="19"/>
  <c r="L302" i="19" s="1"/>
  <c r="A73" i="17"/>
  <c r="A74" i="17"/>
  <c r="A75" i="17"/>
  <c r="K300" i="19"/>
  <c r="L300" i="19" s="1"/>
  <c r="K301" i="19"/>
  <c r="L301" i="19" s="1"/>
  <c r="K291" i="19"/>
  <c r="L291" i="19" s="1"/>
  <c r="K297" i="19"/>
  <c r="L297" i="19" s="1"/>
  <c r="K296" i="19"/>
  <c r="L296" i="19" s="1"/>
  <c r="K1087" i="19"/>
  <c r="L1087" i="19" s="1"/>
  <c r="A1087" i="19"/>
  <c r="K510" i="19"/>
  <c r="L510" i="19" s="1"/>
  <c r="L511" i="19"/>
  <c r="A510" i="19"/>
  <c r="A511" i="19"/>
  <c r="D5" i="14"/>
  <c r="A304" i="19"/>
  <c r="K295" i="19"/>
  <c r="L295" i="19" s="1"/>
  <c r="K293" i="19"/>
  <c r="L293" i="19" s="1"/>
  <c r="K292" i="19"/>
  <c r="L292" i="19" s="1"/>
  <c r="K294" i="19"/>
  <c r="L294" i="19" s="1"/>
  <c r="P79" i="17"/>
  <c r="Q79" i="17" s="1"/>
  <c r="K312" i="19"/>
  <c r="L312" i="19" s="1"/>
  <c r="K286" i="19"/>
  <c r="L286" i="19" s="1"/>
  <c r="D12" i="14"/>
  <c r="K719" i="19" s="1"/>
  <c r="L719" i="19" s="1"/>
  <c r="K285" i="19"/>
  <c r="L285" i="19" s="1"/>
  <c r="K346" i="19"/>
  <c r="L346" i="19" s="1"/>
  <c r="A346" i="19"/>
  <c r="K306" i="19"/>
  <c r="L306" i="19" s="1"/>
  <c r="K289" i="19"/>
  <c r="L289" i="19" s="1"/>
  <c r="K290" i="19"/>
  <c r="L290" i="19" s="1"/>
  <c r="K284" i="19"/>
  <c r="L284" i="19" s="1"/>
  <c r="I281" i="19"/>
  <c r="K281" i="19" s="1"/>
  <c r="L281" i="19" s="1"/>
  <c r="K279" i="19"/>
  <c r="L279" i="19" s="1"/>
  <c r="K280" i="19"/>
  <c r="L280" i="19" s="1"/>
  <c r="K282" i="19"/>
  <c r="L282" i="19" s="1"/>
  <c r="L287" i="19"/>
  <c r="K283" i="19"/>
  <c r="L283" i="19" s="1"/>
  <c r="K288" i="19"/>
  <c r="L288" i="19" s="1"/>
  <c r="K278" i="19"/>
  <c r="L278" i="19" s="1"/>
  <c r="J268" i="19"/>
  <c r="I268" i="19"/>
  <c r="K266" i="19"/>
  <c r="L266" i="19" s="1"/>
  <c r="K267" i="19"/>
  <c r="L267" i="19" s="1"/>
  <c r="K258" i="19"/>
  <c r="L258" i="19" s="1"/>
  <c r="A219" i="18"/>
  <c r="L109" i="18"/>
  <c r="A273" i="19"/>
  <c r="K273" i="19"/>
  <c r="L273" i="19" s="1"/>
  <c r="A271" i="19"/>
  <c r="K265" i="19"/>
  <c r="L265" i="19" s="1"/>
  <c r="P72" i="17"/>
  <c r="Q72" i="17" s="1"/>
  <c r="A72" i="17"/>
  <c r="P74" i="17"/>
  <c r="Q74" i="17" s="1"/>
  <c r="P75" i="17"/>
  <c r="Q75" i="17" s="1"/>
  <c r="P76" i="17"/>
  <c r="Q76" i="17" s="1"/>
  <c r="P80" i="17"/>
  <c r="Q80" i="17" s="1"/>
  <c r="P81" i="17"/>
  <c r="P83" i="17"/>
  <c r="Q83" i="17" s="1"/>
  <c r="P11" i="17"/>
  <c r="Q11" i="17" s="1"/>
  <c r="P12" i="17"/>
  <c r="Q12" i="17" s="1"/>
  <c r="P13" i="17"/>
  <c r="Q13" i="17" s="1"/>
  <c r="P14" i="17"/>
  <c r="Q14" i="17" s="1"/>
  <c r="P15" i="17"/>
  <c r="Q15" i="17" s="1"/>
  <c r="P16" i="17"/>
  <c r="Q16" i="17" s="1"/>
  <c r="P17" i="17"/>
  <c r="Q17" i="17" s="1"/>
  <c r="P18" i="17"/>
  <c r="Q18" i="17" s="1"/>
  <c r="P19" i="17"/>
  <c r="Q19" i="17" s="1"/>
  <c r="P20" i="17"/>
  <c r="Q20" i="17" s="1"/>
  <c r="P21" i="17"/>
  <c r="Q21" i="17" s="1"/>
  <c r="P22" i="17"/>
  <c r="Q22" i="17" s="1"/>
  <c r="P23" i="17"/>
  <c r="Q23" i="17" s="1"/>
  <c r="P24" i="17"/>
  <c r="Q24" i="17" s="1"/>
  <c r="P25" i="17"/>
  <c r="Q25" i="17" s="1"/>
  <c r="P26" i="17"/>
  <c r="Q26" i="17" s="1"/>
  <c r="P27" i="17"/>
  <c r="Q27" i="17" s="1"/>
  <c r="P28" i="17"/>
  <c r="Q28" i="17" s="1"/>
  <c r="P29" i="17"/>
  <c r="Q29" i="17" s="1"/>
  <c r="P30" i="17"/>
  <c r="Q30" i="17" s="1"/>
  <c r="P31" i="17"/>
  <c r="Q31" i="17" s="1"/>
  <c r="P32" i="17"/>
  <c r="Q32" i="17" s="1"/>
  <c r="P33" i="17"/>
  <c r="Q33" i="17" s="1"/>
  <c r="P34" i="17"/>
  <c r="Q34" i="17" s="1"/>
  <c r="P45" i="17"/>
  <c r="Q45" i="17" s="1"/>
  <c r="P46" i="17"/>
  <c r="Q46" i="17" s="1"/>
  <c r="P47" i="17"/>
  <c r="Q47" i="17" s="1"/>
  <c r="P48" i="17"/>
  <c r="Q48" i="17" s="1"/>
  <c r="P49" i="17"/>
  <c r="Q49" i="17" s="1"/>
  <c r="P50" i="17"/>
  <c r="Q50" i="17" s="1"/>
  <c r="P51" i="17"/>
  <c r="Q51" i="17" s="1"/>
  <c r="P52" i="17"/>
  <c r="Q52" i="17" s="1"/>
  <c r="P53" i="17"/>
  <c r="Q53" i="17" s="1"/>
  <c r="P54" i="17"/>
  <c r="Q54" i="17" s="1"/>
  <c r="P55" i="17"/>
  <c r="Q55" i="17" s="1"/>
  <c r="P56" i="17"/>
  <c r="Q56" i="17" s="1"/>
  <c r="P57" i="17"/>
  <c r="Q57" i="17" s="1"/>
  <c r="P58" i="17"/>
  <c r="Q58" i="17" s="1"/>
  <c r="P59" i="17"/>
  <c r="Q59" i="17" s="1"/>
  <c r="P60" i="17"/>
  <c r="Q60" i="17" s="1"/>
  <c r="P66" i="17"/>
  <c r="Q66" i="17" s="1"/>
  <c r="P67" i="17"/>
  <c r="Q67" i="17" s="1"/>
  <c r="P68" i="17"/>
  <c r="Q68" i="17" s="1"/>
  <c r="P69" i="17"/>
  <c r="Q69" i="17" s="1"/>
  <c r="P70" i="17"/>
  <c r="Q70" i="17" s="1"/>
  <c r="P71" i="17"/>
  <c r="Q71" i="17" s="1"/>
  <c r="P73" i="17"/>
  <c r="Q73" i="17" s="1"/>
  <c r="P65" i="17"/>
  <c r="Q65" i="17" s="1"/>
  <c r="P64" i="17"/>
  <c r="Q64" i="17" s="1"/>
  <c r="P61" i="17"/>
  <c r="Q61" i="17" s="1"/>
  <c r="P63" i="17"/>
  <c r="Q63" i="17" s="1"/>
  <c r="K264" i="19"/>
  <c r="L264" i="19" s="1"/>
  <c r="D11" i="14"/>
  <c r="K260" i="19"/>
  <c r="L260" i="19" s="1"/>
  <c r="K261" i="19"/>
  <c r="L261" i="19" s="1"/>
  <c r="K262" i="19"/>
  <c r="L262" i="19" s="1"/>
  <c r="K263" i="19"/>
  <c r="L263" i="19" s="1"/>
  <c r="K259" i="19"/>
  <c r="L259" i="19" s="1"/>
  <c r="K257" i="19"/>
  <c r="L257" i="19" s="1"/>
  <c r="K256" i="19"/>
  <c r="L256" i="19" s="1"/>
  <c r="K274" i="19"/>
  <c r="L274" i="19" s="1"/>
  <c r="A274" i="19"/>
  <c r="A70" i="17"/>
  <c r="A71" i="17"/>
  <c r="I251" i="19"/>
  <c r="K251" i="19" s="1"/>
  <c r="L251" i="19" s="1"/>
  <c r="K250" i="19"/>
  <c r="L250" i="19" s="1"/>
  <c r="K252" i="19"/>
  <c r="L252" i="19" s="1"/>
  <c r="K253" i="19"/>
  <c r="L253" i="19" s="1"/>
  <c r="K255" i="19"/>
  <c r="L255" i="19" s="1"/>
  <c r="L249" i="19"/>
  <c r="K271" i="19"/>
  <c r="L271" i="19" s="1"/>
  <c r="K272" i="19"/>
  <c r="L272" i="19" s="1"/>
  <c r="K1074" i="19"/>
  <c r="L1074" i="19" s="1"/>
  <c r="K1134" i="19"/>
  <c r="L1134" i="19" s="1"/>
  <c r="K1003" i="19"/>
  <c r="L1003" i="19" s="1"/>
  <c r="L767" i="19"/>
  <c r="K1023" i="19"/>
  <c r="L1023" i="19" s="1"/>
  <c r="A272" i="19"/>
  <c r="A1074" i="19"/>
  <c r="A1134" i="19"/>
  <c r="A1003" i="19"/>
  <c r="A767" i="19"/>
  <c r="A1023" i="19"/>
  <c r="B238" i="18"/>
  <c r="B113" i="18"/>
  <c r="A242" i="18"/>
  <c r="A228" i="18"/>
  <c r="A69" i="17"/>
  <c r="A68" i="17"/>
  <c r="A67" i="17"/>
  <c r="A66" i="17"/>
  <c r="K108" i="18"/>
  <c r="L108" i="18" s="1"/>
  <c r="K107" i="18"/>
  <c r="L107" i="18" s="1"/>
  <c r="K106" i="18"/>
  <c r="L106" i="18" s="1"/>
  <c r="A299" i="19"/>
  <c r="K299" i="19"/>
  <c r="A819" i="19"/>
  <c r="K345" i="19"/>
  <c r="L345" i="19" s="1"/>
  <c r="A345" i="19"/>
  <c r="A344" i="19"/>
  <c r="K344" i="19"/>
  <c r="L344" i="19" s="1"/>
  <c r="K247" i="19"/>
  <c r="L247" i="19" s="1"/>
  <c r="K246" i="19"/>
  <c r="L246" i="19" s="1"/>
  <c r="K245" i="19"/>
  <c r="L245" i="19" s="1"/>
  <c r="A60" i="17"/>
  <c r="A59" i="17"/>
  <c r="A58" i="17"/>
  <c r="A57" i="17"/>
  <c r="A56" i="17"/>
  <c r="A55" i="17"/>
  <c r="A54" i="17"/>
  <c r="A53" i="17"/>
  <c r="A52" i="17"/>
  <c r="A51" i="17"/>
  <c r="A50" i="17"/>
  <c r="A49" i="17"/>
  <c r="A48" i="17"/>
  <c r="A47" i="17"/>
  <c r="A46" i="17"/>
  <c r="A45" i="17"/>
  <c r="A13" i="17"/>
  <c r="A14" i="17"/>
  <c r="A15" i="17"/>
  <c r="A17" i="17"/>
  <c r="A18" i="17"/>
  <c r="A20" i="17"/>
  <c r="A22" i="17"/>
  <c r="A23" i="17"/>
  <c r="A25" i="17"/>
  <c r="A26" i="17"/>
  <c r="A27" i="17"/>
  <c r="A28" i="17"/>
  <c r="A29" i="17"/>
  <c r="A30" i="17"/>
  <c r="A32" i="17"/>
  <c r="A33" i="17"/>
  <c r="A34" i="17"/>
  <c r="A36" i="17"/>
  <c r="A38" i="17"/>
  <c r="A39" i="17"/>
  <c r="A40" i="17"/>
  <c r="A41" i="17"/>
  <c r="A42" i="17"/>
  <c r="A44" i="17"/>
  <c r="A12" i="17"/>
  <c r="A11" i="17"/>
  <c r="A16" i="17"/>
  <c r="A19" i="17"/>
  <c r="A21" i="17"/>
  <c r="A24" i="17"/>
  <c r="A43" i="17"/>
  <c r="A31" i="17"/>
  <c r="A37" i="17"/>
  <c r="A65" i="17"/>
  <c r="A61" i="17"/>
  <c r="A63" i="17"/>
  <c r="A254" i="19"/>
  <c r="K254" i="19"/>
  <c r="L254" i="19" s="1"/>
  <c r="C3" i="14"/>
  <c r="D3" i="14" s="1"/>
  <c r="K27" i="19" s="1"/>
  <c r="L27" i="19" s="1"/>
  <c r="K243" i="19"/>
  <c r="L243" i="19" s="1"/>
  <c r="K244" i="19"/>
  <c r="L244" i="19" s="1"/>
  <c r="K236" i="19"/>
  <c r="L236" i="19" s="1"/>
  <c r="K237" i="19"/>
  <c r="L237" i="19" s="1"/>
  <c r="K238" i="19"/>
  <c r="L238" i="19" s="1"/>
  <c r="K239" i="19"/>
  <c r="L239" i="19" s="1"/>
  <c r="K240" i="19"/>
  <c r="L240" i="19" s="1"/>
  <c r="K235" i="19"/>
  <c r="L235" i="19" s="1"/>
  <c r="A238" i="18"/>
  <c r="A117" i="18"/>
  <c r="A118" i="18"/>
  <c r="A127" i="18"/>
  <c r="A113" i="18"/>
  <c r="A152" i="18"/>
  <c r="A116" i="18"/>
  <c r="A96" i="18"/>
  <c r="A110" i="18"/>
  <c r="A111" i="18"/>
  <c r="A112" i="18"/>
  <c r="A104" i="18"/>
  <c r="A94" i="18"/>
  <c r="A97" i="18"/>
  <c r="A100" i="18"/>
  <c r="A101" i="18"/>
  <c r="A102" i="18"/>
  <c r="A82" i="18"/>
  <c r="A84" i="18"/>
  <c r="A78" i="18"/>
  <c r="A61" i="18"/>
  <c r="A190" i="18"/>
  <c r="A191" i="18"/>
  <c r="A192" i="18"/>
  <c r="A193" i="18"/>
  <c r="A81" i="18"/>
  <c r="A67" i="18"/>
  <c r="A68" i="18"/>
  <c r="A86" i="18"/>
  <c r="A87" i="18"/>
  <c r="A88" i="18"/>
  <c r="A89" i="18"/>
  <c r="A90" i="18"/>
  <c r="A91" i="18"/>
  <c r="A92" i="18"/>
  <c r="A93" i="18"/>
  <c r="A99" i="18"/>
  <c r="A98" i="18"/>
  <c r="A48" i="18"/>
  <c r="A44" i="18"/>
  <c r="A38" i="18"/>
  <c r="A37" i="18"/>
  <c r="A54" i="18"/>
  <c r="A53" i="18"/>
  <c r="A52" i="18"/>
  <c r="A51" i="18"/>
  <c r="A33" i="18"/>
  <c r="A32" i="18"/>
  <c r="A43" i="18"/>
  <c r="A58" i="18"/>
  <c r="A30" i="18"/>
  <c r="A65" i="18"/>
  <c r="A45" i="18"/>
  <c r="A40" i="18"/>
  <c r="A24" i="18"/>
  <c r="A23" i="18"/>
  <c r="A64" i="18"/>
  <c r="A12" i="18"/>
  <c r="A29" i="18"/>
  <c r="A15" i="18"/>
  <c r="A16" i="18"/>
  <c r="A7" i="18"/>
  <c r="K213" i="19"/>
  <c r="L213" i="19" s="1"/>
  <c r="A206" i="19"/>
  <c r="A207" i="19"/>
  <c r="A224" i="19"/>
  <c r="A556" i="19"/>
  <c r="A557" i="19"/>
  <c r="A269" i="19"/>
  <c r="A275" i="19"/>
  <c r="A276" i="19"/>
  <c r="A277" i="19"/>
  <c r="A270" i="19"/>
  <c r="A978" i="19"/>
  <c r="A312" i="19"/>
  <c r="A313" i="19"/>
  <c r="A314" i="19"/>
  <c r="A315" i="19"/>
  <c r="A327" i="19"/>
  <c r="A328" i="19"/>
  <c r="A369" i="19"/>
  <c r="A329" i="19"/>
  <c r="A330" i="19"/>
  <c r="A331" i="19"/>
  <c r="A332" i="19"/>
  <c r="A333" i="19"/>
  <c r="A371" i="19"/>
  <c r="A372" i="19"/>
  <c r="A373" i="19"/>
  <c r="A374" i="19"/>
  <c r="A375" i="19"/>
  <c r="A376" i="19"/>
  <c r="A396" i="19"/>
  <c r="A421" i="19"/>
  <c r="A422" i="19"/>
  <c r="A441" i="19"/>
  <c r="A442" i="19"/>
  <c r="A443" i="19"/>
  <c r="A444" i="19"/>
  <c r="A499" i="19"/>
  <c r="A500" i="19"/>
  <c r="A616" i="19"/>
  <c r="A675" i="19"/>
  <c r="A810" i="19"/>
  <c r="A811" i="19"/>
  <c r="A812" i="19"/>
  <c r="A813" i="19"/>
  <c r="A818" i="19"/>
  <c r="A979" i="19"/>
  <c r="A980" i="19"/>
  <c r="A981" i="19"/>
  <c r="A982" i="19"/>
  <c r="A983" i="19"/>
  <c r="A984" i="19"/>
  <c r="A985" i="19"/>
  <c r="A1020" i="19"/>
  <c r="A1054" i="19"/>
  <c r="A1071" i="19"/>
  <c r="A1083" i="19"/>
  <c r="A1100" i="19"/>
  <c r="A1101" i="19"/>
  <c r="A1085" i="19"/>
  <c r="A1086" i="19"/>
  <c r="A1104" i="19"/>
  <c r="A1124" i="19"/>
  <c r="A205" i="19"/>
  <c r="A69" i="19"/>
  <c r="A70" i="19"/>
  <c r="A71" i="19"/>
  <c r="A72" i="19"/>
  <c r="A73" i="19"/>
  <c r="A74" i="19"/>
  <c r="A75" i="19"/>
  <c r="A50" i="19"/>
  <c r="A145" i="19"/>
  <c r="A204" i="19"/>
  <c r="A53" i="19"/>
  <c r="A83" i="19"/>
  <c r="A84" i="19"/>
  <c r="A103" i="19"/>
  <c r="A104" i="19"/>
  <c r="A166" i="19"/>
  <c r="A89" i="19"/>
  <c r="A90" i="19"/>
  <c r="A161" i="19"/>
  <c r="A146" i="19"/>
  <c r="A147" i="19"/>
  <c r="A160" i="19"/>
  <c r="A175" i="19"/>
  <c r="A176" i="19"/>
  <c r="A177" i="19"/>
  <c r="A135" i="19"/>
  <c r="A136" i="19"/>
  <c r="A137" i="19"/>
  <c r="A167" i="19"/>
  <c r="A155" i="19"/>
  <c r="A165" i="19"/>
  <c r="A193" i="19"/>
  <c r="A212" i="19"/>
  <c r="A213" i="19"/>
  <c r="A180" i="19"/>
  <c r="A222" i="19"/>
  <c r="A242" i="19"/>
  <c r="A174" i="19"/>
  <c r="L105" i="18"/>
  <c r="L103" i="18"/>
  <c r="L234" i="19"/>
  <c r="K233" i="19"/>
  <c r="L233" i="19" s="1"/>
  <c r="K232" i="19"/>
  <c r="L232" i="19" s="1"/>
  <c r="K219" i="19"/>
  <c r="L219" i="19" s="1"/>
  <c r="K231" i="19"/>
  <c r="L231" i="19" s="1"/>
  <c r="K229" i="19"/>
  <c r="L229" i="19" s="1"/>
  <c r="K230" i="19"/>
  <c r="L230" i="19" s="1"/>
  <c r="K422" i="19"/>
  <c r="L422" i="19" s="1"/>
  <c r="K421" i="19"/>
  <c r="L421" i="19" s="1"/>
  <c r="L500" i="19"/>
  <c r="K499" i="19"/>
  <c r="L499" i="19" s="1"/>
  <c r="K557" i="19"/>
  <c r="L557" i="19" s="1"/>
  <c r="K556" i="19"/>
  <c r="L556" i="19" s="1"/>
  <c r="P43" i="17"/>
  <c r="Q43" i="17" s="1"/>
  <c r="P36" i="17"/>
  <c r="Q36" i="17" s="1"/>
  <c r="P38" i="17"/>
  <c r="Q38" i="17" s="1"/>
  <c r="P39" i="17"/>
  <c r="Q39" i="17" s="1"/>
  <c r="P40" i="17"/>
  <c r="Q40" i="17" s="1"/>
  <c r="P41" i="17"/>
  <c r="Q41" i="17" s="1"/>
  <c r="P42" i="17"/>
  <c r="Q42" i="17" s="1"/>
  <c r="P44" i="17"/>
  <c r="Q44" i="17" s="1"/>
  <c r="P37" i="17"/>
  <c r="Q37" i="17" s="1"/>
  <c r="K117" i="18"/>
  <c r="L117" i="18" s="1"/>
  <c r="K118" i="18"/>
  <c r="L118" i="18" s="1"/>
  <c r="K127" i="18"/>
  <c r="L127" i="18" s="1"/>
  <c r="L113" i="18"/>
  <c r="K116" i="18"/>
  <c r="L116" i="18" s="1"/>
  <c r="K97" i="18"/>
  <c r="L97" i="18" s="1"/>
  <c r="K111" i="18"/>
  <c r="L111" i="18" s="1"/>
  <c r="K112" i="18"/>
  <c r="L112" i="18" s="1"/>
  <c r="K104" i="18"/>
  <c r="L104" i="18" s="1"/>
  <c r="K110" i="18"/>
  <c r="L110" i="18" s="1"/>
  <c r="K95" i="18"/>
  <c r="L95" i="18" s="1"/>
  <c r="K82" i="18"/>
  <c r="L82" i="18" s="1"/>
  <c r="K85" i="18"/>
  <c r="L85" i="18" s="1"/>
  <c r="K64" i="18"/>
  <c r="L64" i="18" s="1"/>
  <c r="L94" i="18"/>
  <c r="K228" i="19"/>
  <c r="L228" i="19" s="1"/>
  <c r="K227" i="19"/>
  <c r="L227" i="19" s="1"/>
  <c r="K226" i="19"/>
  <c r="L226" i="19" s="1"/>
  <c r="K223" i="19"/>
  <c r="L223" i="19" s="1"/>
  <c r="K225" i="19"/>
  <c r="L225" i="19" s="1"/>
  <c r="K221" i="19"/>
  <c r="L221" i="19" s="1"/>
  <c r="K276" i="19"/>
  <c r="L276" i="19" s="1"/>
  <c r="K277" i="19"/>
  <c r="L277" i="19" s="1"/>
  <c r="K275" i="19"/>
  <c r="L275" i="19" s="1"/>
  <c r="D6" i="14"/>
  <c r="K668" i="19" s="1"/>
  <c r="L668" i="19" s="1"/>
  <c r="K811" i="19"/>
  <c r="L811" i="19" s="1"/>
  <c r="K812" i="19"/>
  <c r="L812" i="19" s="1"/>
  <c r="K813" i="19"/>
  <c r="L813" i="19" s="1"/>
  <c r="L328" i="19"/>
  <c r="K396" i="19"/>
  <c r="L396" i="19" s="1"/>
  <c r="K369" i="19"/>
  <c r="L369" i="19" s="1"/>
  <c r="K327" i="19"/>
  <c r="L327" i="19" s="1"/>
  <c r="K211" i="19"/>
  <c r="L211" i="19" s="1"/>
  <c r="K210" i="19"/>
  <c r="L210" i="19" s="1"/>
  <c r="K216" i="19"/>
  <c r="L216" i="19" s="1"/>
  <c r="K217" i="19"/>
  <c r="L217" i="19" s="1"/>
  <c r="K208" i="19"/>
  <c r="L208" i="19" s="1"/>
  <c r="K209" i="19"/>
  <c r="L209" i="19" s="1"/>
  <c r="K218" i="19"/>
  <c r="L218" i="19" s="1"/>
  <c r="K215" i="19"/>
  <c r="L215" i="19" s="1"/>
  <c r="K978" i="19"/>
  <c r="L978" i="19" s="1"/>
  <c r="K441" i="19"/>
  <c r="L441" i="19" s="1"/>
  <c r="K442" i="19"/>
  <c r="L442" i="19" s="1"/>
  <c r="K443" i="19"/>
  <c r="L443" i="19" s="1"/>
  <c r="K198" i="19"/>
  <c r="L198" i="19" s="1"/>
  <c r="K199" i="19"/>
  <c r="L199" i="19" s="1"/>
  <c r="K200" i="19"/>
  <c r="L200" i="19" s="1"/>
  <c r="K201" i="19"/>
  <c r="L201" i="19" s="1"/>
  <c r="L444" i="19"/>
  <c r="K203" i="19"/>
  <c r="L203" i="19" s="1"/>
  <c r="K202" i="19"/>
  <c r="L202" i="19" s="1"/>
  <c r="K197" i="19"/>
  <c r="L197" i="19" s="1"/>
  <c r="K174" i="19"/>
  <c r="L174" i="19" s="1"/>
  <c r="K34" i="19"/>
  <c r="L34" i="19" s="1"/>
  <c r="K100" i="19"/>
  <c r="L100" i="19" s="1"/>
  <c r="K196" i="19"/>
  <c r="L196" i="19" s="1"/>
  <c r="K194" i="19"/>
  <c r="L194" i="19" s="1"/>
  <c r="K195" i="19"/>
  <c r="L195" i="19" s="1"/>
  <c r="K192" i="19"/>
  <c r="L192" i="19" s="1"/>
  <c r="K191" i="19"/>
  <c r="L191" i="19" s="1"/>
  <c r="K190" i="19"/>
  <c r="L190" i="19" s="1"/>
  <c r="K189" i="19"/>
  <c r="L189" i="19" s="1"/>
  <c r="K188" i="19"/>
  <c r="L188" i="19" s="1"/>
  <c r="K187" i="19"/>
  <c r="L187" i="19" s="1"/>
  <c r="K186" i="19"/>
  <c r="L186" i="19" s="1"/>
  <c r="K185" i="19"/>
  <c r="L185" i="19" s="1"/>
  <c r="K315" i="19"/>
  <c r="L315" i="19" s="1"/>
  <c r="K675" i="19"/>
  <c r="L675" i="19" s="1"/>
  <c r="L78" i="18"/>
  <c r="L79" i="18"/>
  <c r="L80" i="18"/>
  <c r="K155" i="19"/>
  <c r="L155" i="19" s="1"/>
  <c r="K147" i="19"/>
  <c r="L147" i="19" s="1"/>
  <c r="K36" i="18"/>
  <c r="L36" i="18" s="1"/>
  <c r="I184" i="19"/>
  <c r="K184" i="19" s="1"/>
  <c r="L184" i="19" s="1"/>
  <c r="K183" i="19"/>
  <c r="L183" i="19" s="1"/>
  <c r="K182" i="19"/>
  <c r="L182" i="19" s="1"/>
  <c r="K179" i="19"/>
  <c r="L179" i="19" s="1"/>
  <c r="K181" i="19"/>
  <c r="L181" i="19" s="1"/>
  <c r="K178" i="19"/>
  <c r="L178" i="19" s="1"/>
  <c r="K173" i="19"/>
  <c r="L173" i="19" s="1"/>
  <c r="K172" i="19"/>
  <c r="L172" i="19" s="1"/>
  <c r="K171" i="19"/>
  <c r="L171" i="19" s="1"/>
  <c r="K169" i="19"/>
  <c r="L169" i="19" s="1"/>
  <c r="K170" i="19"/>
  <c r="L170" i="19" s="1"/>
  <c r="K168" i="19"/>
  <c r="L168" i="19" s="1"/>
  <c r="K136" i="19"/>
  <c r="L136" i="19" s="1"/>
  <c r="K137" i="19"/>
  <c r="L137" i="19" s="1"/>
  <c r="K135" i="19"/>
  <c r="L135" i="19" s="1"/>
  <c r="K222" i="19"/>
  <c r="L222" i="19" s="1"/>
  <c r="K313" i="19"/>
  <c r="L313" i="19" s="1"/>
  <c r="K77" i="18"/>
  <c r="L77" i="18" s="1"/>
  <c r="K81" i="18"/>
  <c r="L81" i="18" s="1"/>
  <c r="K75" i="18"/>
  <c r="L75" i="18" s="1"/>
  <c r="K76" i="18"/>
  <c r="L76" i="18" s="1"/>
  <c r="K73" i="18"/>
  <c r="L73" i="18" s="1"/>
  <c r="K74" i="18"/>
  <c r="L74" i="18" s="1"/>
  <c r="K69" i="18"/>
  <c r="L69" i="18" s="1"/>
  <c r="K70" i="18"/>
  <c r="L70" i="18" s="1"/>
  <c r="K71" i="18"/>
  <c r="L71" i="18" s="1"/>
  <c r="K72" i="18"/>
  <c r="L72" i="18" s="1"/>
  <c r="K63" i="18"/>
  <c r="L63" i="18" s="1"/>
  <c r="K167" i="19"/>
  <c r="L167" i="19" s="1"/>
  <c r="K180" i="19"/>
  <c r="L180" i="19" s="1"/>
  <c r="K166" i="19"/>
  <c r="L166" i="19" s="1"/>
  <c r="K146" i="19"/>
  <c r="L146" i="19" s="1"/>
  <c r="K159" i="19"/>
  <c r="L159" i="19" s="1"/>
  <c r="K153" i="19"/>
  <c r="L153" i="19" s="1"/>
  <c r="L154" i="19"/>
  <c r="K157" i="19"/>
  <c r="L157" i="19" s="1"/>
  <c r="K158" i="19"/>
  <c r="L158" i="19" s="1"/>
  <c r="K150" i="19"/>
  <c r="L150" i="19" s="1"/>
  <c r="K156" i="19"/>
  <c r="L156" i="19" s="1"/>
  <c r="K151" i="19"/>
  <c r="L151" i="19" s="1"/>
  <c r="K152" i="19"/>
  <c r="L152" i="19" s="1"/>
  <c r="K149" i="19"/>
  <c r="L149" i="19" s="1"/>
  <c r="L148" i="19"/>
  <c r="L139" i="19"/>
  <c r="K138" i="19"/>
  <c r="L138" i="19" s="1"/>
  <c r="K984" i="19"/>
  <c r="L984" i="19" s="1"/>
  <c r="K983" i="19"/>
  <c r="L983" i="19" s="1"/>
  <c r="K982" i="19"/>
  <c r="L982" i="19" s="1"/>
  <c r="K981" i="19"/>
  <c r="L981" i="19" s="1"/>
  <c r="K980" i="19"/>
  <c r="L980" i="19" s="1"/>
  <c r="K1101" i="19"/>
  <c r="L1101" i="19" s="1"/>
  <c r="K193" i="19"/>
  <c r="L193" i="19" s="1"/>
  <c r="K242" i="19"/>
  <c r="L242" i="19" s="1"/>
  <c r="K979" i="19"/>
  <c r="L979" i="19" s="1"/>
  <c r="K1100" i="19"/>
  <c r="L1100" i="19" s="1"/>
  <c r="K62" i="18"/>
  <c r="L62" i="18" s="1"/>
  <c r="K99" i="18"/>
  <c r="L99" i="18" s="1"/>
  <c r="K50" i="18"/>
  <c r="L50" i="18" s="1"/>
  <c r="K56" i="18"/>
  <c r="L56" i="18" s="1"/>
  <c r="K57" i="18"/>
  <c r="L57" i="18" s="1"/>
  <c r="K59" i="18"/>
  <c r="L59" i="18" s="1"/>
  <c r="K60" i="18"/>
  <c r="L60" i="18" s="1"/>
  <c r="K55" i="18"/>
  <c r="L55" i="18" s="1"/>
  <c r="K49" i="18"/>
  <c r="L49" i="18" s="1"/>
  <c r="K48" i="18"/>
  <c r="L48" i="18" s="1"/>
  <c r="K44" i="18"/>
  <c r="L44" i="18" s="1"/>
  <c r="K37" i="18"/>
  <c r="L37" i="18" s="1"/>
  <c r="K125" i="19"/>
  <c r="L125" i="19" s="1"/>
  <c r="K126" i="19"/>
  <c r="L126" i="19" s="1"/>
  <c r="K127" i="19"/>
  <c r="L127" i="19" s="1"/>
  <c r="K129" i="19"/>
  <c r="L129" i="19" s="1"/>
  <c r="K130" i="19"/>
  <c r="L130" i="19" s="1"/>
  <c r="K131" i="19"/>
  <c r="L131" i="19" s="1"/>
  <c r="K132" i="19"/>
  <c r="L132" i="19" s="1"/>
  <c r="K133" i="19"/>
  <c r="L133" i="19" s="1"/>
  <c r="K134" i="19"/>
  <c r="L134" i="19" s="1"/>
  <c r="K117" i="19"/>
  <c r="L117" i="19" s="1"/>
  <c r="K118" i="19"/>
  <c r="L118" i="19" s="1"/>
  <c r="K119" i="19"/>
  <c r="L119" i="19" s="1"/>
  <c r="K120" i="19"/>
  <c r="L120" i="19" s="1"/>
  <c r="K121" i="19"/>
  <c r="L121" i="19" s="1"/>
  <c r="K122" i="19"/>
  <c r="L122" i="19" s="1"/>
  <c r="K123" i="19"/>
  <c r="L123" i="19" s="1"/>
  <c r="K128" i="19"/>
  <c r="L128" i="19" s="1"/>
  <c r="K116" i="19"/>
  <c r="L116" i="19" s="1"/>
  <c r="K115" i="19"/>
  <c r="L115" i="19" s="1"/>
  <c r="K98" i="19"/>
  <c r="L98" i="19" s="1"/>
  <c r="K97" i="19"/>
  <c r="L97" i="19" s="1"/>
  <c r="K110" i="19"/>
  <c r="L110" i="19" s="1"/>
  <c r="K111" i="19"/>
  <c r="L111" i="19" s="1"/>
  <c r="K92" i="19"/>
  <c r="L92" i="19" s="1"/>
  <c r="K93" i="19"/>
  <c r="L93" i="19" s="1"/>
  <c r="K94" i="19"/>
  <c r="L94" i="19" s="1"/>
  <c r="K95" i="19"/>
  <c r="L95" i="19" s="1"/>
  <c r="K96" i="19"/>
  <c r="L96" i="19" s="1"/>
  <c r="K91" i="19"/>
  <c r="L91" i="19" s="1"/>
  <c r="K205" i="19"/>
  <c r="L205" i="19" s="1"/>
  <c r="K206" i="19"/>
  <c r="L206" i="19" s="1"/>
  <c r="K207" i="19"/>
  <c r="L207" i="19" s="1"/>
  <c r="K108" i="19"/>
  <c r="L108" i="19" s="1"/>
  <c r="K109" i="19"/>
  <c r="L109" i="19" s="1"/>
  <c r="K87" i="19"/>
  <c r="L87" i="19" s="1"/>
  <c r="K88" i="19"/>
  <c r="L88" i="19" s="1"/>
  <c r="K99" i="19"/>
  <c r="L99" i="19" s="1"/>
  <c r="K101" i="19"/>
  <c r="L101" i="19" s="1"/>
  <c r="K102" i="19"/>
  <c r="L102" i="19" s="1"/>
  <c r="K112" i="19"/>
  <c r="L112" i="19" s="1"/>
  <c r="K107" i="19"/>
  <c r="L107" i="19" s="1"/>
  <c r="K86" i="19"/>
  <c r="L86" i="19" s="1"/>
  <c r="K165" i="19"/>
  <c r="L165" i="19" s="1"/>
  <c r="K269" i="19"/>
  <c r="L269" i="19" s="1"/>
  <c r="K85" i="19"/>
  <c r="L85" i="19" s="1"/>
  <c r="K46" i="18"/>
  <c r="L46" i="18" s="1"/>
  <c r="K47" i="18"/>
  <c r="L47" i="18" s="1"/>
  <c r="K104" i="19"/>
  <c r="L104" i="19" s="1"/>
  <c r="K103" i="19"/>
  <c r="L103" i="19" s="1"/>
  <c r="K376" i="19"/>
  <c r="L376" i="19" s="1"/>
  <c r="K375" i="19"/>
  <c r="L375" i="19" s="1"/>
  <c r="K374" i="19"/>
  <c r="L374" i="19" s="1"/>
  <c r="K373" i="19"/>
  <c r="L373" i="19" s="1"/>
  <c r="K372" i="19"/>
  <c r="L372" i="19" s="1"/>
  <c r="K371" i="19"/>
  <c r="L371" i="19" s="1"/>
  <c r="K82" i="19"/>
  <c r="L82" i="19" s="1"/>
  <c r="K53" i="19"/>
  <c r="L53" i="19" s="1"/>
  <c r="K145" i="19"/>
  <c r="L145" i="19" s="1"/>
  <c r="K204" i="19"/>
  <c r="L204" i="19" s="1"/>
  <c r="L75" i="19"/>
  <c r="L74" i="19"/>
  <c r="L73" i="19"/>
  <c r="L72" i="19"/>
  <c r="K71" i="19"/>
  <c r="L71" i="19" s="1"/>
  <c r="K70" i="19"/>
  <c r="L70" i="19" s="1"/>
  <c r="K69" i="19"/>
  <c r="L69" i="19" s="1"/>
  <c r="K77" i="19"/>
  <c r="L77" i="19" s="1"/>
  <c r="K270" i="19"/>
  <c r="L270" i="19" s="1"/>
  <c r="I76" i="19"/>
  <c r="K76" i="19" s="1"/>
  <c r="L76" i="19" s="1"/>
  <c r="K81" i="19"/>
  <c r="L81" i="19" s="1"/>
  <c r="K80" i="19"/>
  <c r="L80" i="19" s="1"/>
  <c r="K79" i="19"/>
  <c r="L79" i="19" s="1"/>
  <c r="K78" i="19"/>
  <c r="L78" i="19" s="1"/>
  <c r="K87" i="18"/>
  <c r="L87" i="18" s="1"/>
  <c r="K88" i="18"/>
  <c r="L88" i="18" s="1"/>
  <c r="K89" i="18"/>
  <c r="L89" i="18" s="1"/>
  <c r="K90" i="18"/>
  <c r="L90" i="18" s="1"/>
  <c r="K91" i="18"/>
  <c r="L91" i="18" s="1"/>
  <c r="K92" i="18"/>
  <c r="L92" i="18" s="1"/>
  <c r="K93" i="18"/>
  <c r="L93" i="18" s="1"/>
  <c r="K86" i="18"/>
  <c r="L86" i="18" s="1"/>
  <c r="K42" i="18"/>
  <c r="L42" i="18" s="1"/>
  <c r="K41" i="18"/>
  <c r="L41" i="18" s="1"/>
  <c r="O243" i="17"/>
  <c r="N243" i="17"/>
  <c r="P242" i="17"/>
  <c r="Q242" i="17" s="1"/>
  <c r="K52" i="18"/>
  <c r="L52" i="18" s="1"/>
  <c r="K53" i="18"/>
  <c r="L53" i="18" s="1"/>
  <c r="K54" i="18"/>
  <c r="L54" i="18" s="1"/>
  <c r="K51" i="18"/>
  <c r="L51" i="18" s="1"/>
  <c r="K31" i="18"/>
  <c r="L31" i="18" s="1"/>
  <c r="K40" i="18"/>
  <c r="L40" i="18" s="1"/>
  <c r="K45" i="18"/>
  <c r="L45" i="18" s="1"/>
  <c r="K34" i="18"/>
  <c r="L34" i="18" s="1"/>
  <c r="I114" i="19"/>
  <c r="K114" i="19" s="1"/>
  <c r="L114" i="19" s="1"/>
  <c r="I113" i="19"/>
  <c r="K113" i="19" s="1"/>
  <c r="L113" i="19" s="1"/>
  <c r="K68" i="19"/>
  <c r="L68" i="19" s="1"/>
  <c r="K65" i="19"/>
  <c r="L65" i="19" s="1"/>
  <c r="K63" i="19"/>
  <c r="L63" i="19" s="1"/>
  <c r="K64" i="19"/>
  <c r="L64" i="19" s="1"/>
  <c r="K66" i="19"/>
  <c r="L66" i="19" s="1"/>
  <c r="K67" i="19"/>
  <c r="L67" i="19" s="1"/>
  <c r="K62" i="19"/>
  <c r="L62" i="19" s="1"/>
  <c r="K90" i="19"/>
  <c r="L90" i="19" s="1"/>
  <c r="K61" i="19"/>
  <c r="L61" i="19" s="1"/>
  <c r="K50" i="19"/>
  <c r="L50" i="19" s="1"/>
  <c r="K52" i="19"/>
  <c r="L52" i="19" s="1"/>
  <c r="K141" i="19"/>
  <c r="L141" i="19" s="1"/>
  <c r="K142" i="19"/>
  <c r="L142" i="19" s="1"/>
  <c r="K143" i="19"/>
  <c r="L143" i="19" s="1"/>
  <c r="K144" i="19"/>
  <c r="L144" i="19" s="1"/>
  <c r="K140" i="19"/>
  <c r="L140" i="19" s="1"/>
  <c r="K58" i="19"/>
  <c r="L58" i="19" s="1"/>
  <c r="L60" i="19"/>
  <c r="K59" i="19"/>
  <c r="L59" i="19" s="1"/>
  <c r="K51" i="19"/>
  <c r="L51" i="19" s="1"/>
  <c r="K57" i="19"/>
  <c r="L57" i="19" s="1"/>
  <c r="I56" i="19"/>
  <c r="K56" i="19" s="1"/>
  <c r="L56" i="19" s="1"/>
  <c r="K55" i="19"/>
  <c r="L55" i="19" s="1"/>
  <c r="K54" i="19"/>
  <c r="L54" i="19" s="1"/>
  <c r="K49" i="19"/>
  <c r="L49" i="19" s="1"/>
  <c r="K47" i="19"/>
  <c r="L47" i="19" s="1"/>
  <c r="K46" i="19"/>
  <c r="L46" i="19" s="1"/>
  <c r="K333" i="19"/>
  <c r="L333" i="19" s="1"/>
  <c r="K332" i="19"/>
  <c r="L332" i="19" s="1"/>
  <c r="K331" i="19"/>
  <c r="L331" i="19" s="1"/>
  <c r="K330" i="19"/>
  <c r="L330" i="19" s="1"/>
  <c r="K329" i="19"/>
  <c r="L329" i="19" s="1"/>
  <c r="K45" i="19"/>
  <c r="L45" i="19" s="1"/>
  <c r="K38" i="19"/>
  <c r="L38" i="19" s="1"/>
  <c r="K44" i="19"/>
  <c r="L44" i="19" s="1"/>
  <c r="I43" i="19"/>
  <c r="K43" i="19" s="1"/>
  <c r="L43" i="19" s="1"/>
  <c r="K42" i="19"/>
  <c r="L42" i="19" s="1"/>
  <c r="K23" i="18"/>
  <c r="L23" i="18" s="1"/>
  <c r="K30" i="18"/>
  <c r="L30" i="18" s="1"/>
  <c r="K24" i="18"/>
  <c r="L24" i="18" s="1"/>
  <c r="K25" i="18"/>
  <c r="L25" i="18" s="1"/>
  <c r="K26" i="18"/>
  <c r="L26" i="18" s="1"/>
  <c r="K27" i="18"/>
  <c r="L27" i="18" s="1"/>
  <c r="K28" i="18"/>
  <c r="L28" i="18" s="1"/>
  <c r="K16" i="18"/>
  <c r="L16" i="18" s="1"/>
  <c r="K41" i="19"/>
  <c r="L41" i="19" s="1"/>
  <c r="K40" i="19"/>
  <c r="L40" i="19" s="1"/>
  <c r="K15" i="18"/>
  <c r="L15" i="18" s="1"/>
  <c r="K48" i="19"/>
  <c r="L48" i="19" s="1"/>
  <c r="K26" i="19"/>
  <c r="L26" i="19" s="1"/>
  <c r="K22" i="18"/>
  <c r="L22" i="18" s="1"/>
  <c r="K7" i="18"/>
  <c r="I36" i="19"/>
  <c r="K36" i="19" s="1"/>
  <c r="L36" i="19" s="1"/>
  <c r="K35" i="19"/>
  <c r="L35" i="19" s="1"/>
  <c r="K33" i="19"/>
  <c r="L33" i="19" s="1"/>
  <c r="I32" i="19"/>
  <c r="K32" i="19" s="1"/>
  <c r="L32" i="19" s="1"/>
  <c r="K177" i="19"/>
  <c r="L177" i="19" s="1"/>
  <c r="K176" i="19"/>
  <c r="L176" i="19" s="1"/>
  <c r="K175" i="19"/>
  <c r="L175" i="19" s="1"/>
  <c r="K31" i="19"/>
  <c r="L31" i="19" s="1"/>
  <c r="K25" i="19"/>
  <c r="L25" i="19" s="1"/>
  <c r="K24" i="19"/>
  <c r="L24" i="19" s="1"/>
  <c r="K23" i="19"/>
  <c r="L23" i="19" s="1"/>
  <c r="K84" i="19"/>
  <c r="L84" i="19" s="1"/>
  <c r="K106" i="19"/>
  <c r="L106" i="19" s="1"/>
  <c r="K105" i="19"/>
  <c r="L105" i="19" s="1"/>
  <c r="K22" i="19"/>
  <c r="L22" i="19" s="1"/>
  <c r="K37" i="19"/>
  <c r="L37" i="19" s="1"/>
  <c r="K21" i="18"/>
  <c r="L21" i="18" s="1"/>
  <c r="K29" i="18"/>
  <c r="L29" i="18" s="1"/>
  <c r="K20" i="18"/>
  <c r="L20" i="18" s="1"/>
  <c r="K19" i="18"/>
  <c r="L19" i="18" s="1"/>
  <c r="K18" i="18"/>
  <c r="L18" i="18" s="1"/>
  <c r="K21" i="19"/>
  <c r="L21" i="19" s="1"/>
  <c r="K163" i="19"/>
  <c r="L163" i="19" s="1"/>
  <c r="K164" i="19"/>
  <c r="L164" i="19" s="1"/>
  <c r="I20" i="19"/>
  <c r="K20" i="19" s="1"/>
  <c r="L20" i="19" s="1"/>
  <c r="K19" i="19"/>
  <c r="L19" i="19" s="1"/>
  <c r="K18" i="19"/>
  <c r="L18" i="19" s="1"/>
  <c r="K17" i="19"/>
  <c r="L17" i="19" s="1"/>
  <c r="K14" i="19"/>
  <c r="L14" i="19" s="1"/>
  <c r="K12" i="18"/>
  <c r="L12" i="18" s="1"/>
  <c r="C4" i="14"/>
  <c r="D4" i="14" s="1"/>
  <c r="C2" i="14"/>
  <c r="D2" i="14" s="1"/>
  <c r="K212" i="19"/>
  <c r="L212" i="19" s="1"/>
  <c r="I13" i="19"/>
  <c r="K13" i="19" s="1"/>
  <c r="L13" i="19" s="1"/>
  <c r="K5" i="19"/>
  <c r="K14" i="18"/>
  <c r="L14" i="18" s="1"/>
  <c r="K13" i="18"/>
  <c r="L13" i="18" s="1"/>
  <c r="K9" i="18"/>
  <c r="L9" i="18" s="1"/>
  <c r="K8" i="18"/>
  <c r="L8" i="18" s="1"/>
  <c r="B8" i="16"/>
  <c r="D10" i="14"/>
  <c r="K904" i="19" s="1"/>
  <c r="L904" i="19" s="1"/>
  <c r="D9" i="14"/>
  <c r="D8" i="14"/>
  <c r="D7" i="14"/>
  <c r="K30" i="19" s="1"/>
  <c r="L30" i="19" s="1"/>
  <c r="L496" i="19" l="1"/>
  <c r="L713" i="19"/>
  <c r="K674" i="19"/>
  <c r="L674" i="19" s="1"/>
  <c r="Q77" i="17"/>
  <c r="K419" i="19"/>
  <c r="L419" i="19" s="1"/>
  <c r="K179" i="18"/>
  <c r="K679" i="19"/>
  <c r="L679" i="19" s="1"/>
  <c r="K540" i="19"/>
  <c r="L540" i="19" s="1"/>
  <c r="C1" i="19"/>
  <c r="C1" i="22"/>
  <c r="L299" i="19"/>
  <c r="L7" i="18"/>
  <c r="K304" i="19"/>
  <c r="L304" i="19" s="1"/>
  <c r="K432" i="19"/>
  <c r="L432" i="19" s="1"/>
  <c r="K220" i="19"/>
  <c r="L220" i="19" s="1"/>
  <c r="K142" i="18"/>
  <c r="L142" i="18" s="1"/>
  <c r="K11" i="18"/>
  <c r="L11" i="18" s="1"/>
  <c r="K68" i="18"/>
  <c r="L68" i="18" s="1"/>
  <c r="K67" i="18"/>
  <c r="L67" i="18" s="1"/>
  <c r="K61" i="18"/>
  <c r="L61" i="18" s="1"/>
  <c r="K248" i="19"/>
  <c r="L248" i="19" s="1"/>
  <c r="K115" i="18"/>
  <c r="L115" i="18" s="1"/>
  <c r="L5" i="19"/>
  <c r="K38" i="18"/>
  <c r="L38" i="18" s="1"/>
  <c r="K214" i="19"/>
  <c r="L214" i="19" s="1"/>
  <c r="K96" i="18"/>
  <c r="L96" i="18" s="1"/>
  <c r="K268" i="19"/>
  <c r="L268" i="19" s="1"/>
  <c r="K102" i="18"/>
  <c r="L102" i="18" s="1"/>
  <c r="K65" i="18"/>
  <c r="L65" i="18" s="1"/>
  <c r="K33" i="18"/>
  <c r="L33" i="18" s="1"/>
  <c r="K9" i="19"/>
  <c r="L9" i="19" s="1"/>
  <c r="K32" i="18"/>
  <c r="L32" i="18" s="1"/>
  <c r="K11" i="19"/>
  <c r="L11" i="19" s="1"/>
  <c r="K162" i="19"/>
  <c r="L162" i="19" s="1"/>
  <c r="K39" i="18"/>
  <c r="L39" i="18" s="1"/>
  <c r="K15" i="19"/>
  <c r="L15" i="19" s="1"/>
  <c r="K161" i="19"/>
  <c r="L161" i="19" s="1"/>
  <c r="K6" i="19"/>
  <c r="L6" i="19" s="1"/>
  <c r="J106" i="19"/>
  <c r="K241" i="19"/>
  <c r="L241" i="19" s="1"/>
  <c r="K10" i="18"/>
  <c r="L10" i="18" s="1"/>
  <c r="K12" i="19"/>
  <c r="L12" i="19" s="1"/>
  <c r="K100" i="18"/>
  <c r="L100" i="18" s="1"/>
  <c r="K43" i="18"/>
  <c r="L43" i="18" s="1"/>
  <c r="K84" i="18"/>
  <c r="L84" i="18" s="1"/>
  <c r="K35" i="18"/>
  <c r="L35" i="18" s="1"/>
  <c r="K89" i="19"/>
  <c r="L89" i="19" s="1"/>
  <c r="K29" i="19"/>
  <c r="L29" i="19" s="1"/>
  <c r="K101" i="18"/>
  <c r="L101" i="18" s="1"/>
  <c r="K83" i="19"/>
  <c r="L83" i="19" s="1"/>
  <c r="B7" i="16"/>
  <c r="C4" i="18" s="1"/>
  <c r="K305" i="19"/>
  <c r="L305" i="19" s="1"/>
  <c r="Q35" i="17"/>
  <c r="K160" i="19"/>
  <c r="L160" i="19" s="1"/>
  <c r="K58" i="18"/>
  <c r="L58" i="18" s="1"/>
  <c r="C6" i="16"/>
  <c r="K16" i="19"/>
  <c r="L16" i="19" s="1"/>
  <c r="K66" i="18"/>
  <c r="L66" i="18" s="1"/>
  <c r="K224" i="19"/>
  <c r="L224" i="19" s="1"/>
  <c r="K7" i="19"/>
  <c r="L7" i="19" s="1"/>
  <c r="K28" i="19"/>
  <c r="L28" i="19" s="1"/>
  <c r="K10" i="19"/>
  <c r="L10" i="19" s="1"/>
  <c r="K8" i="19"/>
  <c r="L8" i="19" s="1"/>
  <c r="K17" i="18"/>
  <c r="L17" i="18" s="1"/>
  <c r="K39" i="19"/>
  <c r="L39" i="19" s="1"/>
  <c r="K124" i="19"/>
  <c r="L124" i="19" s="1"/>
  <c r="P243" i="17"/>
  <c r="Q81" i="17"/>
  <c r="Q120" i="17" s="1"/>
  <c r="R120" i="17" s="1"/>
  <c r="K700" i="19" l="1"/>
  <c r="L700" i="19"/>
  <c r="L460" i="19"/>
  <c r="K460" i="19"/>
  <c r="K298" i="19"/>
  <c r="L298" i="19" s="1"/>
  <c r="K120" i="18"/>
  <c r="L120" i="18"/>
  <c r="R77" i="17"/>
  <c r="C7" i="16"/>
  <c r="C8" i="16"/>
  <c r="Q243" i="17" l="1"/>
</calcChain>
</file>

<file path=xl/sharedStrings.xml><?xml version="1.0" encoding="utf-8"?>
<sst xmlns="http://schemas.openxmlformats.org/spreadsheetml/2006/main" count="7485" uniqueCount="3906">
  <si>
    <t>OPERADOR</t>
  </si>
  <si>
    <t>COMISION A LA AGENCIA</t>
  </si>
  <si>
    <t>COMISION AL CLIENTE</t>
  </si>
  <si>
    <t>PORCENTAJE DE COMISION REAL AGENCIA</t>
  </si>
  <si>
    <t>RECORD</t>
  </si>
  <si>
    <t>CHECK IN</t>
  </si>
  <si>
    <t>IMACOP</t>
  </si>
  <si>
    <t>IMACOP CIRCUITOS</t>
  </si>
  <si>
    <t>PROMOSER PARQUES</t>
  </si>
  <si>
    <t>PROMOSER HOTELERIA</t>
  </si>
  <si>
    <t>MEGATRAVEL</t>
  </si>
  <si>
    <t>EUROPAMUNDO</t>
  </si>
  <si>
    <t>CHARTES</t>
  </si>
  <si>
    <t>ISRAEL TRASLADOS</t>
  </si>
  <si>
    <t>COPPER CANYON (CHEPE)</t>
  </si>
  <si>
    <t>TELMEX</t>
  </si>
  <si>
    <t>NEGRITO</t>
  </si>
  <si>
    <t>RENTA</t>
  </si>
  <si>
    <t>CONTADOR</t>
  </si>
  <si>
    <t>SUELDOS</t>
  </si>
  <si>
    <t>MES</t>
  </si>
  <si>
    <t>SEMANA</t>
  </si>
  <si>
    <t>META MENSUAL</t>
  </si>
  <si>
    <t>TIENE OBSERVACION</t>
  </si>
  <si>
    <t>Pendiente de confirmar</t>
  </si>
  <si>
    <t>PENDIENTE DE PAGO CLIENTE</t>
  </si>
  <si>
    <t>Ya esta liquidada</t>
  </si>
  <si>
    <t>CON ANTICIPO</t>
  </si>
  <si>
    <t>TIEMPO LIMITE CLIENTE</t>
  </si>
  <si>
    <t>TIEMPO LIMITE DE PAGO2</t>
  </si>
  <si>
    <t>FECHA DE VENTA</t>
  </si>
  <si>
    <t>FECHA IN</t>
  </si>
  <si>
    <t>FECHA OUT</t>
  </si>
  <si>
    <t xml:space="preserve">Recibos de pago </t>
  </si>
  <si>
    <t>NOMBRE DEL CLIENTE</t>
  </si>
  <si>
    <t>CONCEPTO</t>
  </si>
  <si>
    <t>CANTIDAD PUBLICA</t>
  </si>
  <si>
    <t>PRECIO CLIENTE</t>
  </si>
  <si>
    <t>COMISION AGENCIA</t>
  </si>
  <si>
    <t>COMISION AGENTE</t>
  </si>
  <si>
    <t>TEL CLIENTE</t>
  </si>
  <si>
    <t>LOCALIZADOR</t>
  </si>
  <si>
    <t xml:space="preserve">OPERADOR </t>
  </si>
  <si>
    <t>OBSERVACIONES</t>
  </si>
  <si>
    <t>Naomi Lizeth  Garcia Lopez</t>
  </si>
  <si>
    <t>Vuelos GDL-MDW</t>
  </si>
  <si>
    <t>GYZRGP</t>
  </si>
  <si>
    <t>VOLARIS</t>
  </si>
  <si>
    <t>Emmanuel  Garcia Gonzales</t>
  </si>
  <si>
    <t>Vuelos GDL-CUN</t>
  </si>
  <si>
    <t>J6192L</t>
  </si>
  <si>
    <t xml:space="preserve">jose de jesus ayala lozano </t>
  </si>
  <si>
    <t>vuelo GDL-ORD</t>
  </si>
  <si>
    <t xml:space="preserve"> KHMTVX</t>
  </si>
  <si>
    <t xml:space="preserve">Yesenia navarro lopez </t>
  </si>
  <si>
    <t>VEJMYG</t>
  </si>
  <si>
    <t xml:space="preserve">VOLARIS </t>
  </si>
  <si>
    <t xml:space="preserve">Teresa Lopez Garcia </t>
  </si>
  <si>
    <t>Vuelo de GDL - TIJ</t>
  </si>
  <si>
    <t>KHTIHH</t>
  </si>
  <si>
    <t>Teresa Sancheznavarro</t>
  </si>
  <si>
    <t>Vuelos de ATL - GDL</t>
  </si>
  <si>
    <t>GMHOES</t>
  </si>
  <si>
    <t xml:space="preserve">DELTA </t>
  </si>
  <si>
    <t xml:space="preserve">Alberto Ramirez </t>
  </si>
  <si>
    <t>Reserva Grand Palladium (PNT-MITA)</t>
  </si>
  <si>
    <t>HHVA839180</t>
  </si>
  <si>
    <t>Daniel Guadalupe  Ascencio Garcia</t>
  </si>
  <si>
    <t xml:space="preserve">Vuelos de GDL - CLT </t>
  </si>
  <si>
    <t>YHK64X</t>
  </si>
  <si>
    <t xml:space="preserve">Cesar Ivan  Villagrana </t>
  </si>
  <si>
    <t xml:space="preserve">Vuelos de CUN - DTW </t>
  </si>
  <si>
    <t xml:space="preserve">       OD47MY</t>
  </si>
  <si>
    <t>United States</t>
  </si>
  <si>
    <t>Carolina Herrera Morales</t>
  </si>
  <si>
    <t>Vuelo GDL-DALLAS</t>
  </si>
  <si>
    <t>BHPC9E</t>
  </si>
  <si>
    <t xml:space="preserve">Bigail Oñate Leon </t>
  </si>
  <si>
    <t>Vuelo GDL-VSA</t>
  </si>
  <si>
    <t>EEHT5A</t>
  </si>
  <si>
    <t xml:space="preserve">Gisele Guadalupe Meza Lopez </t>
  </si>
  <si>
    <t>Vuelo GDL-Chicago MDW</t>
  </si>
  <si>
    <t>NEI3YT</t>
  </si>
  <si>
    <t xml:space="preserve">Marta Valades Ortega </t>
  </si>
  <si>
    <t>Vuelo Los Angeles -GDL</t>
  </si>
  <si>
    <t>ZF9T5N</t>
  </si>
  <si>
    <t>VIVAAEROBUS</t>
  </si>
  <si>
    <t>10/472023</t>
  </si>
  <si>
    <t>Marta Valades Ortega</t>
  </si>
  <si>
    <t>Vuelos de GDL - TIJ</t>
  </si>
  <si>
    <t>RHFGMH</t>
  </si>
  <si>
    <t xml:space="preserve">Ofelia Arias Gonzalez </t>
  </si>
  <si>
    <t>Reservacion Iberostar (PNT MITA)</t>
  </si>
  <si>
    <t xml:space="preserve">CHECK IN </t>
  </si>
  <si>
    <t>Cesar Ivan  Villagrana Hernandez</t>
  </si>
  <si>
    <t xml:space="preserve">Vuelos GDL - CUN </t>
  </si>
  <si>
    <t>OFQWNA</t>
  </si>
  <si>
    <t xml:space="preserve">                  </t>
  </si>
  <si>
    <t>Norma Leticia Arriaga</t>
  </si>
  <si>
    <t xml:space="preserve">CARGO DE EMISION </t>
  </si>
  <si>
    <t>KI4G2B</t>
  </si>
  <si>
    <t>24198-24440</t>
  </si>
  <si>
    <t xml:space="preserve">Ramon Orozco Guerrero </t>
  </si>
  <si>
    <t>Reserva Riu Jalisco (NUEVO VALLARTA)</t>
  </si>
  <si>
    <t>24199-24439</t>
  </si>
  <si>
    <t xml:space="preserve">Karina Garcia Esquivias </t>
  </si>
  <si>
    <t xml:space="preserve">Antonio Dominguez </t>
  </si>
  <si>
    <t>Vuelo GDL-Mexicali</t>
  </si>
  <si>
    <t>Q77PJL</t>
  </si>
  <si>
    <t>MARIA DEL CARMEN  BRAVO DE VALLE</t>
  </si>
  <si>
    <t>vuelos de GDL - SAT</t>
  </si>
  <si>
    <t>THGEGK</t>
  </si>
  <si>
    <t>17/472023</t>
  </si>
  <si>
    <t>JUAN M  VALADEZ</t>
  </si>
  <si>
    <t>PF4YWD</t>
  </si>
  <si>
    <t xml:space="preserve">Antonia Angel Bermudez </t>
  </si>
  <si>
    <t>vuelo de GDL - ORD</t>
  </si>
  <si>
    <t>MIC9SH</t>
  </si>
  <si>
    <t xml:space="preserve">Isidro Quiroz </t>
  </si>
  <si>
    <t xml:space="preserve">vuelo GDL - MDW </t>
  </si>
  <si>
    <t>E5P22L</t>
  </si>
  <si>
    <t xml:space="preserve">Jimena Lozano </t>
  </si>
  <si>
    <t>Vuelo DEN-GDL</t>
  </si>
  <si>
    <t>CCB4GW</t>
  </si>
  <si>
    <t xml:space="preserve">Elvira Lezama Herandez </t>
  </si>
  <si>
    <t>vuelos de GDL - MDW</t>
  </si>
  <si>
    <t>ACHDQW</t>
  </si>
  <si>
    <t xml:space="preserve">Luz Maria Moreno </t>
  </si>
  <si>
    <t>Reservacion de Crown Paradise (Cancu)</t>
  </si>
  <si>
    <t>HHVA843919</t>
  </si>
  <si>
    <t xml:space="preserve">IMACOP </t>
  </si>
  <si>
    <t xml:space="preserve">Adelaida Ramirez Cano </t>
  </si>
  <si>
    <t>vuelos de GDL - ORD</t>
  </si>
  <si>
    <t>PY7N8P</t>
  </si>
  <si>
    <t xml:space="preserve">Alejandra Guadalupe Ascencio Aguirre </t>
  </si>
  <si>
    <t>vuelos de GDL - DFW</t>
  </si>
  <si>
    <t>H93DYF</t>
  </si>
  <si>
    <t xml:space="preserve">VOLARIS  </t>
  </si>
  <si>
    <t xml:space="preserve">Leonardo Lozano </t>
  </si>
  <si>
    <t xml:space="preserve">Reservacion de Barcelo Karmina </t>
  </si>
  <si>
    <t>HHVA846753</t>
  </si>
  <si>
    <t xml:space="preserve">Martha Arellano </t>
  </si>
  <si>
    <t>PDRQ9T</t>
  </si>
  <si>
    <t>Maria Francisaca Orozco Perez</t>
  </si>
  <si>
    <t xml:space="preserve">vuelos de SAT - GDL </t>
  </si>
  <si>
    <t>Y9744F</t>
  </si>
  <si>
    <t xml:space="preserve">Catalina Arreaga de Gonzalez </t>
  </si>
  <si>
    <t>vuelos de DFW - GDL</t>
  </si>
  <si>
    <t>W5PY8B</t>
  </si>
  <si>
    <t xml:space="preserve">Judit Tejeda </t>
  </si>
  <si>
    <t xml:space="preserve">Vuelos de OAK - GDL </t>
  </si>
  <si>
    <t>F7G4HI</t>
  </si>
  <si>
    <t>Ricca Dannae  Lopez Aceves</t>
  </si>
  <si>
    <t>Vuelos de MDW - GDL</t>
  </si>
  <si>
    <t>GEKBVD</t>
  </si>
  <si>
    <t xml:space="preserve">Vanessa Garcia </t>
  </si>
  <si>
    <t>Vuelo de GDL - DTW</t>
  </si>
  <si>
    <t xml:space="preserve">     HYTTIG</t>
  </si>
  <si>
    <t>Jorge  Gutierrez Gutierrez</t>
  </si>
  <si>
    <t>Vuelos de GDL - DFW</t>
  </si>
  <si>
    <t>ZFP1QD</t>
  </si>
  <si>
    <t>Teresa  Espinoza Aguirre</t>
  </si>
  <si>
    <t>Vuelos de ORD - GDL</t>
  </si>
  <si>
    <t>JD QRWG</t>
  </si>
  <si>
    <t>RESERVA NICKELODEON RIVIERA MAYA</t>
  </si>
  <si>
    <t>HHVA833170</t>
  </si>
  <si>
    <t xml:space="preserve">MA Guadalupe Lopez Zuñiga </t>
  </si>
  <si>
    <t>Reservacion de Decameron (La Marina)</t>
  </si>
  <si>
    <t>HHVA841365</t>
  </si>
  <si>
    <t xml:space="preserve">Isela Contreras Salcdo </t>
  </si>
  <si>
    <t xml:space="preserve">Reservacion Canto del Sol </t>
  </si>
  <si>
    <t>HHVA8550289</t>
  </si>
  <si>
    <t xml:space="preserve">Maria Guadalupe Huerta Macias </t>
  </si>
  <si>
    <t>Vuelo de SAT - GDL</t>
  </si>
  <si>
    <t>PFD5MQ</t>
  </si>
  <si>
    <t>Ana Karen de Jesus  Asencio Gutierrez</t>
  </si>
  <si>
    <t xml:space="preserve">Vuelo de GDL - CUN </t>
  </si>
  <si>
    <t>RIU44E</t>
  </si>
  <si>
    <t>Juan  Ruiz Barajas</t>
  </si>
  <si>
    <t>Vuelos de GDL - MDW</t>
  </si>
  <si>
    <t>WG7MTQ</t>
  </si>
  <si>
    <t xml:space="preserve"> </t>
  </si>
  <si>
    <t>Nora Leticia  Castañeda Muñoz</t>
  </si>
  <si>
    <t>Vuelos de IAH - GDL</t>
  </si>
  <si>
    <t>C6YMGL</t>
  </si>
  <si>
    <t xml:space="preserve">Esmeralda Garcia Cruz </t>
  </si>
  <si>
    <t xml:space="preserve">Reservacion al conquistador </t>
  </si>
  <si>
    <t>Juan Ruiz Barajas</t>
  </si>
  <si>
    <t xml:space="preserve">Vuelos MDW - DTW </t>
  </si>
  <si>
    <t>HYRVM7</t>
  </si>
  <si>
    <t>Alejandra Ivet  Alejo Castañeda</t>
  </si>
  <si>
    <t xml:space="preserve">Vuelos de GDL - IAH </t>
  </si>
  <si>
    <t>EEE6WD</t>
  </si>
  <si>
    <t xml:space="preserve">Ernesto Reynoso Gonzalez </t>
  </si>
  <si>
    <t>Vuelos de GDL -  BIRMIGHAN</t>
  </si>
  <si>
    <t>DXTYFC</t>
  </si>
  <si>
    <t xml:space="preserve">AMERICAN AIRLINES </t>
  </si>
  <si>
    <t>Maria Guadalupe  Hernandez</t>
  </si>
  <si>
    <t xml:space="preserve">Vuelos de GDL - MDW </t>
  </si>
  <si>
    <t>TGUJRN</t>
  </si>
  <si>
    <t>Vuelos de MDW -DWT</t>
  </si>
  <si>
    <t>3J5K2H</t>
  </si>
  <si>
    <t>SOUTWEST</t>
  </si>
  <si>
    <t>Carolina  Herrera Morales</t>
  </si>
  <si>
    <t>BEUJ7N</t>
  </si>
  <si>
    <t xml:space="preserve">Maria Socorro Aceves Villa </t>
  </si>
  <si>
    <t>WYDVXF</t>
  </si>
  <si>
    <t>15/2023</t>
  </si>
  <si>
    <t>Alfredo  Torres Mundo</t>
  </si>
  <si>
    <t>IDFUNG</t>
  </si>
  <si>
    <t xml:space="preserve">Michael Melendez </t>
  </si>
  <si>
    <t>TI4FFX</t>
  </si>
  <si>
    <t>18/572023</t>
  </si>
  <si>
    <t xml:space="preserve">Raquel Padilla de Gonzalez </t>
  </si>
  <si>
    <t>B92CRS</t>
  </si>
  <si>
    <t xml:space="preserve">J Guadalupe Magaña Cos y Leon </t>
  </si>
  <si>
    <t>Vuelos GDL - LAX</t>
  </si>
  <si>
    <t>D9C8GC</t>
  </si>
  <si>
    <t>Daniel  Gutierrez</t>
  </si>
  <si>
    <t>Vuelos de CUN - GDL</t>
  </si>
  <si>
    <t>SBFLWP</t>
  </si>
  <si>
    <t>Blanca Estela Lopez Hernandez</t>
  </si>
  <si>
    <t xml:space="preserve">Vuelos de GDL - Puerto Vallarta </t>
  </si>
  <si>
    <t>AG183U</t>
  </si>
  <si>
    <t xml:space="preserve">VIVAAEROBUS </t>
  </si>
  <si>
    <t>/2023</t>
  </si>
  <si>
    <t>Ulysses Alexander  Cruz</t>
  </si>
  <si>
    <t>Vuelos de TIJ - GDL</t>
  </si>
  <si>
    <t>KCD4UZ</t>
  </si>
  <si>
    <t>01/06-/2023</t>
  </si>
  <si>
    <t>Salvador  Lopez</t>
  </si>
  <si>
    <t>QEN63Q</t>
  </si>
  <si>
    <t>Emmanuel Amezola Servin</t>
  </si>
  <si>
    <t>ZBRHGZ</t>
  </si>
  <si>
    <t>Jose Isaias  Rodriguez Hernandez</t>
  </si>
  <si>
    <t>Vuelos de GDL - SJC</t>
  </si>
  <si>
    <t>FJ6VXE</t>
  </si>
  <si>
    <t>Maria Elena  Saucedo Lugo</t>
  </si>
  <si>
    <t>EJHKTR</t>
  </si>
  <si>
    <t>Ulises Garcia Flores</t>
  </si>
  <si>
    <t xml:space="preserve">Reservacion Crown Paradise Club </t>
  </si>
  <si>
    <t>HHVA858043</t>
  </si>
  <si>
    <t>Sofia  Navarro</t>
  </si>
  <si>
    <t xml:space="preserve">Vuelo de GDL - LAX </t>
  </si>
  <si>
    <t>I76MGY</t>
  </si>
  <si>
    <t>Vuelo de ONT - GDL</t>
  </si>
  <si>
    <t>V8ND4V</t>
  </si>
  <si>
    <t>5/8/25023</t>
  </si>
  <si>
    <t>Lidia Vianey  Ornelas Fuentes</t>
  </si>
  <si>
    <t xml:space="preserve">Vuelo de GDL - PVR </t>
  </si>
  <si>
    <t xml:space="preserve">Jose Guadalupe Zuñiga Guerra </t>
  </si>
  <si>
    <t xml:space="preserve">Reservacion de Ixtapa Ziguatanejo </t>
  </si>
  <si>
    <t>HHVA843184</t>
  </si>
  <si>
    <t>Daniel  Alvarez Leon</t>
  </si>
  <si>
    <t xml:space="preserve">Vuelos GDL - SAT </t>
  </si>
  <si>
    <t>DBLEGZ</t>
  </si>
  <si>
    <t>Ximena Itzel  Escalera Jimenez</t>
  </si>
  <si>
    <t>QC7YSM</t>
  </si>
  <si>
    <t>Rita  Garcia Sanchez</t>
  </si>
  <si>
    <t xml:space="preserve">Vuelos GDL - DEN </t>
  </si>
  <si>
    <t>SEFMVG</t>
  </si>
  <si>
    <t>Maria de Lourdes  Alvarez Martinez</t>
  </si>
  <si>
    <t>Vuelos de BJX - CUN</t>
  </si>
  <si>
    <t>M8U82S</t>
  </si>
  <si>
    <t>Bianca Lucero  Zuniga</t>
  </si>
  <si>
    <t xml:space="preserve">Vuelos de GDL - CUN </t>
  </si>
  <si>
    <t>MYWNRP</t>
  </si>
  <si>
    <t>Luis Fernando Muñoz Moreno</t>
  </si>
  <si>
    <t>HHVA856865</t>
  </si>
  <si>
    <t>Gabriel  Gamino</t>
  </si>
  <si>
    <t>Vuelos GDL - MDW</t>
  </si>
  <si>
    <t>OE6L5D</t>
  </si>
  <si>
    <t>Malena  Wilcox</t>
  </si>
  <si>
    <t>Vuelos ONT - GDL</t>
  </si>
  <si>
    <t xml:space="preserve">VJULME </t>
  </si>
  <si>
    <t>Evelyn  Lopez Flores</t>
  </si>
  <si>
    <t xml:space="preserve">Vuelos GDL - MEX </t>
  </si>
  <si>
    <t>F8EFSV</t>
  </si>
  <si>
    <t>Olivia  Rodriguez Leon</t>
  </si>
  <si>
    <t xml:space="preserve">Vuelos GDL - PVR </t>
  </si>
  <si>
    <t>A73W3V</t>
  </si>
  <si>
    <t>Salvador  Garcia Garcia</t>
  </si>
  <si>
    <t>Vuelos TIJ - GDL</t>
  </si>
  <si>
    <t>DK1USB</t>
  </si>
  <si>
    <t>Francisco  Hermosillo Avila</t>
  </si>
  <si>
    <t>Vuelos BJX - TIJ</t>
  </si>
  <si>
    <t>ABBQ8J</t>
  </si>
  <si>
    <t>13/6/20233</t>
  </si>
  <si>
    <t>Leobardo Eleazar Garcia Garcia</t>
  </si>
  <si>
    <t>Reservacion 	Now Emerald  (CANCUN)</t>
  </si>
  <si>
    <t>HHVA864269</t>
  </si>
  <si>
    <t>Bianca Lucero Zuniga</t>
  </si>
  <si>
    <t>HHVA864278</t>
  </si>
  <si>
    <t>Arturo Zuniga</t>
  </si>
  <si>
    <t>HHVA864273</t>
  </si>
  <si>
    <t>GUILLERMO LOPEZ OROZCO,</t>
  </si>
  <si>
    <t>Reservacion de Iberostar (Punta Mita)</t>
  </si>
  <si>
    <t>FFM4XA</t>
  </si>
  <si>
    <t>Gisele Guadalupe  Meza Lopez</t>
  </si>
  <si>
    <t>Vuelos MDW - GDL</t>
  </si>
  <si>
    <t>QQF78PD</t>
  </si>
  <si>
    <t>Laura Cristina Dealba Munoz</t>
  </si>
  <si>
    <t>HHVA841715</t>
  </si>
  <si>
    <t>Lupita Elizabeth  Garcia</t>
  </si>
  <si>
    <t>Vuelos GDL - FAT</t>
  </si>
  <si>
    <t>BYYY9M</t>
  </si>
  <si>
    <t>Norma Patricia  Marquez Gutierrez</t>
  </si>
  <si>
    <t>U69YKB</t>
  </si>
  <si>
    <t>Filiberto Torres Flores</t>
  </si>
  <si>
    <t>TDZVFG</t>
  </si>
  <si>
    <t>Norberto  Garcia Guzman</t>
  </si>
  <si>
    <t>Vuelos de FAT - GDL</t>
  </si>
  <si>
    <t>L748HL</t>
  </si>
  <si>
    <t>Israel Morales</t>
  </si>
  <si>
    <t>Vuelo de GDL - BWI</t>
  </si>
  <si>
    <t>YAECMJ</t>
  </si>
  <si>
    <t>Alejandra  Muñoz Jimenez</t>
  </si>
  <si>
    <t>C6RKFY</t>
  </si>
  <si>
    <t>Laura Araceli Morales Mares</t>
  </si>
  <si>
    <t xml:space="preserve">Cargo de mision </t>
  </si>
  <si>
    <t>LF54SN</t>
  </si>
  <si>
    <t>Guillermo Veliz Valle</t>
  </si>
  <si>
    <t xml:space="preserve">Reservacion Krystal Grand </t>
  </si>
  <si>
    <t xml:space="preserve">	HHVA865534</t>
  </si>
  <si>
    <t>FREDDY DEL FINO  GUTIERREZ</t>
  </si>
  <si>
    <t xml:space="preserve">Vuelos de LAX - GDL </t>
  </si>
  <si>
    <t>M81K5V</t>
  </si>
  <si>
    <t>ULYSSES ALEXANDER  CRUZ</t>
  </si>
  <si>
    <t xml:space="preserve">Vuelos de ONT - GDL </t>
  </si>
  <si>
    <t>C7T7WI</t>
  </si>
  <si>
    <t>Valeria  Lopez Ramirez</t>
  </si>
  <si>
    <t>OIG19U</t>
  </si>
  <si>
    <t>.</t>
  </si>
  <si>
    <t>Luis Cuauhtemoc  Hernandez Vargas</t>
  </si>
  <si>
    <t xml:space="preserve">Vuelos de GDL - LAX </t>
  </si>
  <si>
    <t>K8E8XI</t>
  </si>
  <si>
    <t>Arantza Citlalli  Hernandez Corona</t>
  </si>
  <si>
    <t>IHHZYK</t>
  </si>
  <si>
    <t>Carlos Eduardo  Ramirez Parra</t>
  </si>
  <si>
    <t xml:space="preserve">Vuelos de SMF - GDL </t>
  </si>
  <si>
    <t>EC6ZJJ</t>
  </si>
  <si>
    <t>Maria Carmen  Plascencia Rodriguez</t>
  </si>
  <si>
    <t>D7F7WY</t>
  </si>
  <si>
    <t>Juan Bernardo  Hernandez Coronado</t>
  </si>
  <si>
    <t>FC8MKJ</t>
  </si>
  <si>
    <t>Eddy Carlos  Hernandez</t>
  </si>
  <si>
    <t>BEWDRQ</t>
  </si>
  <si>
    <t>Maria Ysabel  Hernandez Lozano</t>
  </si>
  <si>
    <t xml:space="preserve">Vuelos de DFW - GDL </t>
  </si>
  <si>
    <t>UGS1QN</t>
  </si>
  <si>
    <t>Erasmo  Hernandez Garcia</t>
  </si>
  <si>
    <t>WJCDXH</t>
  </si>
  <si>
    <t>Jose Eduardo  Borja Valdivia</t>
  </si>
  <si>
    <t>P6CYWB</t>
  </si>
  <si>
    <t>Guadalupe Alejandro  Lopez Orozco</t>
  </si>
  <si>
    <t>VH6GPN</t>
  </si>
  <si>
    <t xml:space="preserve"> Filiberto Torres Flores </t>
  </si>
  <si>
    <t xml:space="preserve">Reservacion al Riu Jalisco </t>
  </si>
  <si>
    <t xml:space="preserve">	HHVA867459</t>
  </si>
  <si>
    <t>Brayan Guadalupe  Zuñiga Valadez</t>
  </si>
  <si>
    <t>Vuelos de GDL MDW</t>
  </si>
  <si>
    <t>RHT8RK</t>
  </si>
  <si>
    <t xml:space="preserve">Antonio Hernadez </t>
  </si>
  <si>
    <t xml:space="preserve">	HHVA874934</t>
  </si>
  <si>
    <t xml:space="preserve">Martha Llamas </t>
  </si>
  <si>
    <t xml:space="preserve">	HHVA874939</t>
  </si>
  <si>
    <t>Oscar Alonso Serratos De La Cerda</t>
  </si>
  <si>
    <t xml:space="preserve">Reservacion al Dreams Vallarta Bay </t>
  </si>
  <si>
    <t>HHVA865439</t>
  </si>
  <si>
    <t>Jose Francisco Lopez Lopez</t>
  </si>
  <si>
    <t>HHVA865417</t>
  </si>
  <si>
    <t>Luis Adrian Hernandez Ortega</t>
  </si>
  <si>
    <t>Cesar Fernando Gonzalez Leon</t>
  </si>
  <si>
    <t xml:space="preserve">	HHVA865424</t>
  </si>
  <si>
    <t>Ricardo Aldape Hernandez</t>
  </si>
  <si>
    <t xml:space="preserve">	HHVA865426</t>
  </si>
  <si>
    <t>Alejandro Velazquez Torres</t>
  </si>
  <si>
    <t>HHVA867516</t>
  </si>
  <si>
    <t xml:space="preserve">	HHVA865439</t>
  </si>
  <si>
    <t>Edgar Alfonso Rocha Fonseca</t>
  </si>
  <si>
    <t xml:space="preserve">	HHVA865436</t>
  </si>
  <si>
    <t>Abel Alonso Martinez Martinez</t>
  </si>
  <si>
    <t>Vuelos de CJS-GDL</t>
  </si>
  <si>
    <t>Ofelia  Rocha Gutierrez</t>
  </si>
  <si>
    <t>Vuelos de Tij-BJX</t>
  </si>
  <si>
    <t>UGWPJN</t>
  </si>
  <si>
    <t>MA CONSUELO  ROJAS LEON</t>
  </si>
  <si>
    <t>Vuelos de GDL - CJS</t>
  </si>
  <si>
    <t>JFHRKA</t>
  </si>
  <si>
    <t>Anthony Jahir  Martinez Limon</t>
  </si>
  <si>
    <t>Vuelos de GDL-ORD</t>
  </si>
  <si>
    <t>LK7PGB</t>
  </si>
  <si>
    <t>09/08/2023.</t>
  </si>
  <si>
    <t>Lidia Vianey Ornelas Fuentes</t>
  </si>
  <si>
    <t>Reservacion de Wyndham Alltra (Riviera NAY)</t>
  </si>
  <si>
    <t>HHVA860441</t>
  </si>
  <si>
    <t>Ana Maria Servin</t>
  </si>
  <si>
    <t xml:space="preserve">	HHVA859602</t>
  </si>
  <si>
    <t>Salvador Servin</t>
  </si>
  <si>
    <t xml:space="preserve">	HHVA859598</t>
  </si>
  <si>
    <t>J Trinidad Arriaga Flores</t>
  </si>
  <si>
    <t xml:space="preserve">Reservacion Riu Emerald (Mazatlan) </t>
  </si>
  <si>
    <t xml:space="preserve">Alejandra Arriaga Aguirre </t>
  </si>
  <si>
    <t>Alex Rodolfo Lopez</t>
  </si>
  <si>
    <t xml:space="preserve">Reservacion del Riu Jalisco </t>
  </si>
  <si>
    <t>HHVA858375</t>
  </si>
  <si>
    <t xml:space="preserve">Traslados de CUN - Wyndham Grand CUN </t>
  </si>
  <si>
    <t xml:space="preserve">Reservacion de Wyndham Grand CUN </t>
  </si>
  <si>
    <t>HHVA851163</t>
  </si>
  <si>
    <t>Laura Elena   Sanchez Magana</t>
  </si>
  <si>
    <t xml:space="preserve">Reservacion del El Cid El Moro </t>
  </si>
  <si>
    <t xml:space="preserve">Sergio Garcia Sanchez </t>
  </si>
  <si>
    <t>HHVA875949</t>
  </si>
  <si>
    <t>Evelyn Guadalupe  Sanchez Lopez</t>
  </si>
  <si>
    <t>Vuelosde CLT-GDL</t>
  </si>
  <si>
    <t>C83UNV</t>
  </si>
  <si>
    <t>Pgo Total</t>
  </si>
  <si>
    <t>La encontramos mas barata</t>
  </si>
  <si>
    <t>CANCELADO</t>
  </si>
  <si>
    <t>NO PAGADO</t>
  </si>
  <si>
    <t>PAGADO</t>
  </si>
  <si>
    <t>Tiene Observacion</t>
  </si>
  <si>
    <t>SIN ANTICIPO</t>
  </si>
  <si>
    <t>OBSERVACION</t>
  </si>
  <si>
    <t>TIEMPO LIMITE AGENCIA</t>
  </si>
  <si>
    <t>ESTADO/AGENCIA</t>
  </si>
  <si>
    <t>ESTATUS</t>
  </si>
  <si>
    <t>NUM DE FOLIO(S)</t>
  </si>
  <si>
    <t xml:space="preserve">TELEFONO </t>
  </si>
  <si>
    <t>PAGO DE COMISION</t>
  </si>
  <si>
    <t>HGDL767930</t>
  </si>
  <si>
    <t>Maria Guadalupe Lopez Velazquez</t>
  </si>
  <si>
    <t>Reserva Dreams Villamagna</t>
  </si>
  <si>
    <t>SI</t>
  </si>
  <si>
    <t>ROSA ELVIRA  AYALA LOSANO</t>
  </si>
  <si>
    <t>Boleto(s) de avion GDL-MDW</t>
  </si>
  <si>
    <t>ROSA MARIA  LOPEZ ROMO</t>
  </si>
  <si>
    <t>Boleto(s) de avion GDL-O`Hare</t>
  </si>
  <si>
    <t>ANTONIO  OROZCO HERNANDEZ</t>
  </si>
  <si>
    <t>Boleto(s) de avion GDL-Tijuana</t>
  </si>
  <si>
    <t>JORGE LUIS  RAMIREZ BOITES</t>
  </si>
  <si>
    <t>Boleto(s) de avion GDL-San Antonio</t>
  </si>
  <si>
    <t>HHVA773319</t>
  </si>
  <si>
    <t>MARIA ELIZABETH HERNANDEZ</t>
  </si>
  <si>
    <t>Reserva Crown Paradise Club</t>
  </si>
  <si>
    <t>MONICA ROMO ORTEGA</t>
  </si>
  <si>
    <t>Boleto(s) de avion MDW-GDL</t>
  </si>
  <si>
    <t>MARIA HORTENSIA  ALDAPA GARCIA</t>
  </si>
  <si>
    <t>Boleto(s) de avion GDL-Monterrey</t>
  </si>
  <si>
    <t>HHVA773679</t>
  </si>
  <si>
    <t>GRISELDA ALVAREZ GONZALEZ</t>
  </si>
  <si>
    <t>Reserva Samba Vallarta</t>
  </si>
  <si>
    <t>CLAUDIA NOHEMI  RAMIREZ ORNELAS</t>
  </si>
  <si>
    <t>HHVA775544</t>
  </si>
  <si>
    <t>MARTA PATRICIA GONZALEZ CAMARENA</t>
  </si>
  <si>
    <t xml:space="preserve">Reserva Paradise Village Beach </t>
  </si>
  <si>
    <t>CRISTOBAL HERNANDEZ LOZANO</t>
  </si>
  <si>
    <t>Boleto(s) de avion GDL-Kansas</t>
  </si>
  <si>
    <t>ROSA MARIA  HERNANDEZ MONGE</t>
  </si>
  <si>
    <t>Boleto(s) de avion CUL-GDL</t>
  </si>
  <si>
    <t>HHVA770731</t>
  </si>
  <si>
    <t>ROGELIO REINOSO LOZANO</t>
  </si>
  <si>
    <t>Reserva Decameron los cocos</t>
  </si>
  <si>
    <t>MARIA GUADALUPE  GONZALEZ TEJEDA</t>
  </si>
  <si>
    <t>Boleto(s) de avion TIJ-GDL</t>
  </si>
  <si>
    <t>ANA LILIA  GONZALEZ TEJEDA</t>
  </si>
  <si>
    <t>Boleto(s) de avion GDL-TIJ</t>
  </si>
  <si>
    <t>J GUADALUPE  GUZMAN HERNANDEZ</t>
  </si>
  <si>
    <t>Boleto(s) de avion GDL-SJC</t>
  </si>
  <si>
    <t>MARIA ERENDIRA  HERNANDEZ/JOSE LUIS  HERNANDEZ</t>
  </si>
  <si>
    <t>Boleto(s) de avion GDL-Atlanta</t>
  </si>
  <si>
    <t>JESSICA ADRIANA OROZCO PADILLA</t>
  </si>
  <si>
    <t>TERESA SANCHEZ NAVARRO</t>
  </si>
  <si>
    <t>HHVA780465</t>
  </si>
  <si>
    <t>Bernardo Alfonso Perez Villagrana</t>
  </si>
  <si>
    <t>Reserva Canto del Sol Puerto Vallarta</t>
  </si>
  <si>
    <t>Francisco Ramiro Rodriguez Corona</t>
  </si>
  <si>
    <t>Boleto(s) de avion FAT-GDL</t>
  </si>
  <si>
    <t>GRACIELA  MELENDEZ LEON</t>
  </si>
  <si>
    <t>Boleto(s) de avion GDL-IAH</t>
  </si>
  <si>
    <t>ENRIQUE JOZEF  HERNANDEZ JR</t>
  </si>
  <si>
    <t>Boleto(s) de avion ORD-GDL</t>
  </si>
  <si>
    <t>MARIA IRMA  RIVERA MARMOLEJO</t>
  </si>
  <si>
    <t>Boleto(s) de avion GDL-SAT</t>
  </si>
  <si>
    <t>HHVA787012</t>
  </si>
  <si>
    <t>FERNANDO GUZMAN GARCIA</t>
  </si>
  <si>
    <t>ALICIA  PICHARDO DELGADO</t>
  </si>
  <si>
    <t>Boleto(s) de avion GDL-MXL</t>
  </si>
  <si>
    <t>CARMEN  ANGEL DE LEON</t>
  </si>
  <si>
    <t>ERNESTO ALONSO DIAZ TEJEDA</t>
  </si>
  <si>
    <t>Boleto(s) de avion GDL-CDMX</t>
  </si>
  <si>
    <t>JOSE NEPOMUCENO  FERNANDEZ LEON</t>
  </si>
  <si>
    <t>CAROLINA  LEON PLASCENCIA</t>
  </si>
  <si>
    <t>HHVA774517</t>
  </si>
  <si>
    <t>NORA ALMA GUTIERREZ MERCADO</t>
  </si>
  <si>
    <t>Reserva Las Brisas Ixtapa</t>
  </si>
  <si>
    <t>ITALIA ESTHELA SAMANTA  CURIEL PEREZ</t>
  </si>
  <si>
    <t>MARIA GUADALUPE  TEJEDA COS Y LEON</t>
  </si>
  <si>
    <t>OC3FGG</t>
  </si>
  <si>
    <t>MARICELA PLASCENCIA PADILLA</t>
  </si>
  <si>
    <t>Boleto(s) de avion GDL-VSA</t>
  </si>
  <si>
    <t>JUAN CARLOS  ROJO ALATORRE</t>
  </si>
  <si>
    <t>Boleto(s) de avion GDL-CUN</t>
  </si>
  <si>
    <t>EDUARDO ISRAEL  MONTAÑO ANGEL</t>
  </si>
  <si>
    <t>Fernanda Janette  Martinez Del Real</t>
  </si>
  <si>
    <t>Boleto(s) de avion GDL-MEX</t>
  </si>
  <si>
    <t>ANA KAREN  LIZARDI NIETO</t>
  </si>
  <si>
    <t>Boleto(s) de avion GDL-CJS</t>
  </si>
  <si>
    <t>JOSE JUAN  RIZO VILLALPANDO</t>
  </si>
  <si>
    <t>ERNESTO  GUTIERREZ RAMIREZ</t>
  </si>
  <si>
    <t>ROSA ELVIRA  ACEVES LOZANO</t>
  </si>
  <si>
    <t>NORMA ALICIA  SILVA ESPINOZA</t>
  </si>
  <si>
    <t>Maricela  Olivares Huerta</t>
  </si>
  <si>
    <t>MARIA JOSE  MARQUEZ HUERTA</t>
  </si>
  <si>
    <t>Juan Manuel  Rivas Garay</t>
  </si>
  <si>
    <t>Maria del Rosario  Lopez Alvarez</t>
  </si>
  <si>
    <t>Jonatan Alexis  Lara Lopez</t>
  </si>
  <si>
    <t>ROSALBA  CASTILLO</t>
  </si>
  <si>
    <t>Boleto(s) de avion ORD-CJS</t>
  </si>
  <si>
    <t>HHVA793310</t>
  </si>
  <si>
    <t>22842/22971</t>
  </si>
  <si>
    <t>GERARDO LORENZO CONTRERAS</t>
  </si>
  <si>
    <t>Reserva Grand Oasis Palm</t>
  </si>
  <si>
    <t>GERARDO CONTRERAS TORRES//GERARDO LORENZO CONTRERAS</t>
  </si>
  <si>
    <t>HHVA793312</t>
  </si>
  <si>
    <t>GERARDO CONTRERAS TORRES</t>
  </si>
  <si>
    <t>HHVA789751</t>
  </si>
  <si>
    <t>MARIO DE JESUS ENRIQUEZ GONZALEZ</t>
  </si>
  <si>
    <t>HHVA789650</t>
  </si>
  <si>
    <t>JUAN CARLOS ROJO ALATORRE</t>
  </si>
  <si>
    <t>Reserva Xcaret México</t>
  </si>
  <si>
    <t>SI 09/04/2023</t>
  </si>
  <si>
    <t>MIGUEL  HERNANDEZ AGUIRRE</t>
  </si>
  <si>
    <t>510 9569706</t>
  </si>
  <si>
    <t>MADELEIN  LOZANO DIAZ</t>
  </si>
  <si>
    <t>Boleto(s) de avion SMF-GDL</t>
  </si>
  <si>
    <t>209 8081422</t>
  </si>
  <si>
    <t>JOSE DE JESUS  LEON GOMEZ</t>
  </si>
  <si>
    <t>Boleto(s) de avion CJS-GDL</t>
  </si>
  <si>
    <t>806 4019892</t>
  </si>
  <si>
    <t>JUAN M  VALADEZ</t>
  </si>
  <si>
    <t>Frank Anthony  Lopez</t>
  </si>
  <si>
    <t>Boleto(s) de avion CUN-GDL</t>
  </si>
  <si>
    <t>469 890 4762</t>
  </si>
  <si>
    <t>Jocelyn Guadalupe  Lopez</t>
  </si>
  <si>
    <t>636 543 4101</t>
  </si>
  <si>
    <t>HHVA797900</t>
  </si>
  <si>
    <t>DIANA LAURA GONZALEZ RODRIGUEZ</t>
  </si>
  <si>
    <t>Reserva Friendly Fun Vallarta</t>
  </si>
  <si>
    <t xml:space="preserve"> +1 (481) 120 2820</t>
  </si>
  <si>
    <t>ERIKA  MARQUEZ HURTADO</t>
  </si>
  <si>
    <t>JAVIER  VALADEZ ARELLANO</t>
  </si>
  <si>
    <t>Boleto(s) de avion SAT-GDL</t>
  </si>
  <si>
    <t>MARTHA ARACELI  ARELLANO OROZCO</t>
  </si>
  <si>
    <t>AIDA GRICELDA  DE LA CERDA HERNANDEZ</t>
  </si>
  <si>
    <t>Maricela  Plascencia Padilla</t>
  </si>
  <si>
    <t>Boleto(s) de avion VSA-GDL</t>
  </si>
  <si>
    <t>348 181 0892</t>
  </si>
  <si>
    <t>GLORIA VIRGINIA CASTELAN PEREZ</t>
  </si>
  <si>
    <t>+1 (630) 412-2796</t>
  </si>
  <si>
    <t>EDITH VANESSA  REYES GARCIA</t>
  </si>
  <si>
    <t>Boleto(s) de avion GDL-DEN</t>
  </si>
  <si>
    <t>ALEJANDRO  HERNANDEZ GONZALEZ</t>
  </si>
  <si>
    <t>VERONICA  GONZALEZ PLASCENCIA</t>
  </si>
  <si>
    <t>Boleto(s) de avion GDL-LAS</t>
  </si>
  <si>
    <t>+52 1 378 147 6286</t>
  </si>
  <si>
    <t>JOSE RITO TREJO NAVA</t>
  </si>
  <si>
    <t>MARIA TRINIDAD  RODRIGUEZ VAZQUEZ</t>
  </si>
  <si>
    <t>ROBERTO  DIAZ</t>
  </si>
  <si>
    <t>Boleto(s) de avion OAK-GDL</t>
  </si>
  <si>
    <t>ILDEFONSO  DIAZ</t>
  </si>
  <si>
    <t>HHVA806445</t>
  </si>
  <si>
    <t>Sergio Velazquez Hernandez</t>
  </si>
  <si>
    <t>+52 1 348 133 8589</t>
  </si>
  <si>
    <t>CYNTHIA GISSELLE  BASURTO</t>
  </si>
  <si>
    <t>Boleto(s) de avion DEN-GDL</t>
  </si>
  <si>
    <t>+52 1 348 114 6321</t>
  </si>
  <si>
    <t>MARTIN  BASURTO OCANA</t>
  </si>
  <si>
    <t>MARIA DE JESUS  LEON DE RIZO</t>
  </si>
  <si>
    <t>Boleto(s) de avion GDL-LAX</t>
  </si>
  <si>
    <t>ROSINA  GUTIERREZ</t>
  </si>
  <si>
    <t>Boleto(s) de avion DFW-GDL</t>
  </si>
  <si>
    <t>JOSE RAFAEL  HERNANDEZ DAVILA</t>
  </si>
  <si>
    <t>HHVA808757</t>
  </si>
  <si>
    <t>ANA PATRICIA DE LA TORRE MARQUEZ</t>
  </si>
  <si>
    <t>Reserva Dreams Bahia Mita Surf &amp; Spa</t>
  </si>
  <si>
    <t>+52 1 378 114 9188</t>
  </si>
  <si>
    <t>ROGELIO VARGAS LUPERCIO</t>
  </si>
  <si>
    <t>Boleto(s) de avion GDL-ATL</t>
  </si>
  <si>
    <t>Nora Leticia Castañeda Muñoz</t>
  </si>
  <si>
    <t>Maria P Contreras</t>
  </si>
  <si>
    <t>HHVA810949</t>
  </si>
  <si>
    <t>Marco Polo Alvizo Vargas</t>
  </si>
  <si>
    <t>Reserva Moon Palace Cancún</t>
  </si>
  <si>
    <t>+52 1 348 146 0572</t>
  </si>
  <si>
    <t>HHVA811580</t>
  </si>
  <si>
    <t>Hector Alejandro Herrera Perez</t>
  </si>
  <si>
    <t>Reserva RIU PALACE COSTA MUJERES</t>
  </si>
  <si>
    <t>+52 1 348 129 8490</t>
  </si>
  <si>
    <t>J Guadalupe Magaña Coss y Leon</t>
  </si>
  <si>
    <t>Melany Guadalupe Martinez Martinez</t>
  </si>
  <si>
    <t xml:space="preserve">HHVA813792 </t>
  </si>
  <si>
    <t>Gabriel Alejandro Olivares Jimenez</t>
  </si>
  <si>
    <t>Reserva Nickelodeon Hoteles &amp; Resorts Riviera Maya</t>
  </si>
  <si>
    <t>+52 1 33 1155 9702</t>
  </si>
  <si>
    <t>Reserva '34Y7PZ'</t>
  </si>
  <si>
    <t>Reserva Grand Bahia Principe Tulum</t>
  </si>
  <si>
    <t>Eduardo Enriquez Vazquez</t>
  </si>
  <si>
    <t>Gerardo Javier Zavala Guzman</t>
  </si>
  <si>
    <t>SUSANA  VILLASENOR</t>
  </si>
  <si>
    <t>Maria de la Cruz Manzanarez</t>
  </si>
  <si>
    <t>Boleto(s) de avion GDL-SAL</t>
  </si>
  <si>
    <t>HHVA816782</t>
  </si>
  <si>
    <t>Rodolfo Guadalupe Gonzalez Torres</t>
  </si>
  <si>
    <t>Reserva Decameron Los Cocos Guayabitos</t>
  </si>
  <si>
    <t>CRISTIAN ALFONSO  GARCIA PAREDES</t>
  </si>
  <si>
    <t>Boleto(s) de avion GDL-ORD</t>
  </si>
  <si>
    <t>MA LOURDES  PAREDES DE GARCIA</t>
  </si>
  <si>
    <t>CARMEN  MAEDA ENRIQUEZ</t>
  </si>
  <si>
    <t>Boleto(s) de avion TIJ-TPQ</t>
  </si>
  <si>
    <t>L41656</t>
  </si>
  <si>
    <t>CARLOS EDUARDO NAVARRO JIMENEZ</t>
  </si>
  <si>
    <t xml:space="preserve">Reserva DREAMS BAHIA MITA SURF &amp; SPA </t>
  </si>
  <si>
    <t>Alicia Valadez Lopez</t>
  </si>
  <si>
    <t>Servicio de Traslado CHARTER</t>
  </si>
  <si>
    <t>FALTA</t>
  </si>
  <si>
    <t>Angel Joel Juarez</t>
  </si>
  <si>
    <t>Boleto(s) de avion PHX-GDL</t>
  </si>
  <si>
    <t>Jose de Jesus de la Cerda Bustos</t>
  </si>
  <si>
    <t>Boleto(s) de avion GDL-MTY</t>
  </si>
  <si>
    <t>Teresita de Jesus Gutierrez Vazquez</t>
  </si>
  <si>
    <t>David Alejandro Valdivia Coronado</t>
  </si>
  <si>
    <t>Jorge  L Salas</t>
  </si>
  <si>
    <t>Edgar Alfonso Flores Barajas</t>
  </si>
  <si>
    <t>Boleto(s) de avion GDL-CUU</t>
  </si>
  <si>
    <t>23809/23810</t>
  </si>
  <si>
    <t>Oscar Lopez Vera</t>
  </si>
  <si>
    <t>HHVA825219</t>
  </si>
  <si>
    <t>23817/24373</t>
  </si>
  <si>
    <t>Maria Elena Vargas Aguirre</t>
  </si>
  <si>
    <t>Reserva RIU EMERALD BAY</t>
  </si>
  <si>
    <t>Salvador Lezama Elizalde</t>
  </si>
  <si>
    <t>Nora Leticia Alejo Castañeda</t>
  </si>
  <si>
    <t>Boleto(s) de avion IAH-GDL</t>
  </si>
  <si>
    <t>G55LSR</t>
  </si>
  <si>
    <t>Martin Fernando Vazquez</t>
  </si>
  <si>
    <t>FLAVIO  LOZANO DIAZ</t>
  </si>
  <si>
    <t>HHVA827240</t>
  </si>
  <si>
    <t>LEOPOLDO ANDRES GASCON HERNANDEZ</t>
  </si>
  <si>
    <t>Reserva Iberostar Selection Playa Mita</t>
  </si>
  <si>
    <t>GUSTAVO  VALADEZ</t>
  </si>
  <si>
    <t>DAVID  GARCIA BARBA</t>
  </si>
  <si>
    <t>Boleto(s) de avion GDL-FAT</t>
  </si>
  <si>
    <t>HHVA827469</t>
  </si>
  <si>
    <t>RAMIRO GARCIA LOPEZ</t>
  </si>
  <si>
    <t>Reserva Crown Paradise Club Puerto Vallarta</t>
  </si>
  <si>
    <t>FAUSTINO  GARCIA GARCIA</t>
  </si>
  <si>
    <t>Susana Jakelin Gutierrez Lopez</t>
  </si>
  <si>
    <t>Boleto(s) de avion LAX-GDL</t>
  </si>
  <si>
    <t>ADRIANA JIMENEZ  ANACLETO</t>
  </si>
  <si>
    <t>Boleto(s) de avion GDL-DFW</t>
  </si>
  <si>
    <t>MARIA HERLINDA  BERNAN GONZALEZ</t>
  </si>
  <si>
    <t>MARTIN  DE ANDA MIRANDA</t>
  </si>
  <si>
    <t>HHVA829997</t>
  </si>
  <si>
    <t>CRISTINA ISABEL MURILLO</t>
  </si>
  <si>
    <t>Reserva Grand Park Royal Cancún</t>
  </si>
  <si>
    <t>8CL7H3</t>
  </si>
  <si>
    <t>NANCY SANTIAGO HERNANDEZ</t>
  </si>
  <si>
    <t>Reserva Riu Emerald Bay</t>
  </si>
  <si>
    <t>Maria Dolores Quiroz Aguirre</t>
  </si>
  <si>
    <t>Maria Dolores Quiroz Aguirre/Tereseta Arias</t>
  </si>
  <si>
    <t>EDGAR EDUARDO  BECERRA VEGA</t>
  </si>
  <si>
    <t>KEVIN  VILLASENOR</t>
  </si>
  <si>
    <t>8G5RXP</t>
  </si>
  <si>
    <t>CRYSTAL GARCIA</t>
  </si>
  <si>
    <t>Reserva Catalonia Grand Costa Mujeres All Suites &amp; Spa</t>
  </si>
  <si>
    <t>FMB214</t>
  </si>
  <si>
    <t>LIZBETH HERNANDEZ VALDOVINOS</t>
  </si>
  <si>
    <t>3N49LV</t>
  </si>
  <si>
    <t>MARIA ESTELA FLORES MARES</t>
  </si>
  <si>
    <t>JJ6DK9</t>
  </si>
  <si>
    <t>Lorena Rocio Hernandez Villalobos</t>
  </si>
  <si>
    <t>Reserva IBEROSTAR SELECTION PLAYA MITA</t>
  </si>
  <si>
    <t>MA ELENA  IVARRA MONTALVO</t>
  </si>
  <si>
    <t>Boleto(s) de avion GDL-SEA</t>
  </si>
  <si>
    <t>VICTORIANO  BECERRA ALVAREZ</t>
  </si>
  <si>
    <t>HHVA831037</t>
  </si>
  <si>
    <t>MARIA GUADALUPE LOPEZ VELAZQUEZ</t>
  </si>
  <si>
    <t>Reserva RIU CANCUN</t>
  </si>
  <si>
    <t>BERTA ANGELICA  HERNANDEZ TORRES</t>
  </si>
  <si>
    <t>HHVA832168</t>
  </si>
  <si>
    <t>ALMA GRISELADA HERNANDEZ CAMARENA</t>
  </si>
  <si>
    <t>Y1VH9Z/SG4L39/G39DQQ</t>
  </si>
  <si>
    <t>BELEN FATIMA GONZALEZ SERRATOS</t>
  </si>
  <si>
    <t>Reserva Tesoro Manzanillo</t>
  </si>
  <si>
    <t>LIZBETH LETICIA  LOPEZ</t>
  </si>
  <si>
    <t>MA DEL REFUGIO  RAMIREZ HERNANDEZ</t>
  </si>
  <si>
    <t>HHVA834684</t>
  </si>
  <si>
    <t>DANIELA PADILLA GUTIERREZ</t>
  </si>
  <si>
    <t>KYBJQ5</t>
  </si>
  <si>
    <t>23506/25083/ETC</t>
  </si>
  <si>
    <t>Liliana Lizbeth Flores Ramirez</t>
  </si>
  <si>
    <t>Reserva Crown Paradise Club Cancun</t>
  </si>
  <si>
    <t>HHVA835072</t>
  </si>
  <si>
    <t>Fernando  Hernandez Luna</t>
  </si>
  <si>
    <t>JAVIER  TORRES CORDOVA</t>
  </si>
  <si>
    <t>Boleto(s) de avion GDL-HMO</t>
  </si>
  <si>
    <t>Rosa Maria Lopez Romo</t>
  </si>
  <si>
    <t>Cristina Guadalupe Ortega Rivas</t>
  </si>
  <si>
    <t>GUSTAVO  MELENDEZ</t>
  </si>
  <si>
    <t>Maria del Carmen Rizo Lozano</t>
  </si>
  <si>
    <t>Boleto(s) de avion GDL-ONT</t>
  </si>
  <si>
    <t>ALONDRA ESTHER  ALVAREZ MARTINEZ</t>
  </si>
  <si>
    <t>HHVA846403</t>
  </si>
  <si>
    <t>MOISES MORA RAMIREZ</t>
  </si>
  <si>
    <t>Reserva Grand Palladium Vallarta</t>
  </si>
  <si>
    <t>HHVA846407</t>
  </si>
  <si>
    <t>CLAUDIA BECERRA AGUIRRE</t>
  </si>
  <si>
    <t>JUAN CARLOS  JIMENEZ ARRIAGA</t>
  </si>
  <si>
    <t>Miguel Angel Ortega Ayala</t>
  </si>
  <si>
    <t>Boleto(s) de avion GDL-MDW-DTW</t>
  </si>
  <si>
    <t>BLANCA ESTELA  AGUIRRE ESPINOZA</t>
  </si>
  <si>
    <t>HHVA841384</t>
  </si>
  <si>
    <t>24429/24430</t>
  </si>
  <si>
    <t>Miguel Angel Mendez</t>
  </si>
  <si>
    <t>Reserva Krystal Grand Nuevo Vallarta</t>
  </si>
  <si>
    <t>JUAN  GUTIERREZ</t>
  </si>
  <si>
    <t>Boleto(s) de avion LAX-MLM</t>
  </si>
  <si>
    <t>HHVA846745</t>
  </si>
  <si>
    <t>GISELE ROCIO RIVAS LOZANO</t>
  </si>
  <si>
    <t>Reserva RIU JALISCO</t>
  </si>
  <si>
    <t>HHVA846739</t>
  </si>
  <si>
    <t>MARIA GUADALUPE SANCHEZ ALVIZO</t>
  </si>
  <si>
    <t>Fabiola Guadalupe Macias Lozano</t>
  </si>
  <si>
    <t>Apolonia Concepcion Trinidad Cruz</t>
  </si>
  <si>
    <t>Boleto(s) de avion GDL-TGZ</t>
  </si>
  <si>
    <t>Reserva Hilton Garden Inn Cancun Airport</t>
  </si>
  <si>
    <t>Miguel Gutierrez Ramirez</t>
  </si>
  <si>
    <t>Carlos Alberto Gonzalez Muñoz</t>
  </si>
  <si>
    <t>Eusebio Orozco</t>
  </si>
  <si>
    <t>SERGIO GARCIA HERNANDEZ</t>
  </si>
  <si>
    <t>Reserva Dreams Bahia Mita Surf and Spa All Inclusive</t>
  </si>
  <si>
    <t>Maria del Carmen Leon Angel</t>
  </si>
  <si>
    <t>Fernando Lozano Hernandez</t>
  </si>
  <si>
    <t>Reserva Excalibur Hotel &amp; Casino</t>
  </si>
  <si>
    <t>LI7CLMH</t>
  </si>
  <si>
    <t>Maria Guadalupe Mulgado de Aguas</t>
  </si>
  <si>
    <t>Q86ZQY</t>
  </si>
  <si>
    <t>Jeanette Lopez Sanchez</t>
  </si>
  <si>
    <t>Boleto(s) de avion CLT-GDL</t>
  </si>
  <si>
    <t>TJ4QYH</t>
  </si>
  <si>
    <t>24843/24844</t>
  </si>
  <si>
    <t>Martha Esther Diaz Muñoz</t>
  </si>
  <si>
    <t>Boleto(s) de avion GDL-PDX</t>
  </si>
  <si>
    <t>MD7IPT</t>
  </si>
  <si>
    <t>Luz Madelin Garcia Hernandez</t>
  </si>
  <si>
    <t>Boleto(s) de avion PVR-GDL</t>
  </si>
  <si>
    <t>TF6431676</t>
  </si>
  <si>
    <t>Cesar Dante Cazares Chavez</t>
  </si>
  <si>
    <t>Reserva City Express Monterrey Aeropuerto</t>
  </si>
  <si>
    <t>UB27SC</t>
  </si>
  <si>
    <t>Carolina Alejandra Gutierrez Sanchez</t>
  </si>
  <si>
    <t>Boleto(s) de avion ONT-GDL</t>
  </si>
  <si>
    <t>LB2UZ</t>
  </si>
  <si>
    <t>Erica Georgina Aldana Garcia</t>
  </si>
  <si>
    <t>U72S7L</t>
  </si>
  <si>
    <t>Carmen Maeda Enriquez</t>
  </si>
  <si>
    <t>Boleto(s) de avion GDL-OAX</t>
  </si>
  <si>
    <t>HHVA855251</t>
  </si>
  <si>
    <t>SERGIO A MORONES</t>
  </si>
  <si>
    <t>Reserva Paradise Village Beach Resort and Spa</t>
  </si>
  <si>
    <t>JDV78D</t>
  </si>
  <si>
    <t>Maria del Carmen Fernandez</t>
  </si>
  <si>
    <t>Boleto(s) de avion ORD-MLM</t>
  </si>
  <si>
    <t>JJGW7B</t>
  </si>
  <si>
    <t>Lucila Valdez</t>
  </si>
  <si>
    <t>EY2NHP</t>
  </si>
  <si>
    <t>Josefina Beltran Servin</t>
  </si>
  <si>
    <t>24995/25123</t>
  </si>
  <si>
    <t>Ruben Martinez Guzman</t>
  </si>
  <si>
    <t>Reserva Sleep Inn Monterrey San Pedro</t>
  </si>
  <si>
    <t>V4URGB</t>
  </si>
  <si>
    <t>VD4SMG</t>
  </si>
  <si>
    <t>HHVA856864</t>
  </si>
  <si>
    <t>Rosa Isela Villanueva Morales</t>
  </si>
  <si>
    <t>Reserva Paradisus Cancun All Inclusive</t>
  </si>
  <si>
    <t>XHY36K</t>
  </si>
  <si>
    <t>Boleto(s) de avion BXJ-CUN</t>
  </si>
  <si>
    <t>HHVA856901</t>
  </si>
  <si>
    <t>Judith  Hernandez Castellanos</t>
  </si>
  <si>
    <t>Ma Alicia  Castellano Guzman</t>
  </si>
  <si>
    <t>S8FNXY</t>
  </si>
  <si>
    <t>HHVA864025</t>
  </si>
  <si>
    <t>25019/25260</t>
  </si>
  <si>
    <t>Esther Guadalupe Gutierrez Bermudez</t>
  </si>
  <si>
    <t>Reserva Canto del Sol Puerto Vallarta All Inclusive</t>
  </si>
  <si>
    <t>HHVA857802</t>
  </si>
  <si>
    <t>SERGIO ARRIAGA ALVAREZ</t>
  </si>
  <si>
    <t>Reserva Wyndham Alltra Riviera Nayarit</t>
  </si>
  <si>
    <t>HHVA857800</t>
  </si>
  <si>
    <t>Fernando Camacho Gonzalez</t>
  </si>
  <si>
    <t>HHVA857801</t>
  </si>
  <si>
    <t>Sergio Arriaga Tapia</t>
  </si>
  <si>
    <t>ED8TGQ</t>
  </si>
  <si>
    <t>Ricardo Aceves Lara</t>
  </si>
  <si>
    <t>YJ6NVH</t>
  </si>
  <si>
    <t>Alejandro Martinez Limon</t>
  </si>
  <si>
    <t>Boleto(s) de avion GDL-SMF</t>
  </si>
  <si>
    <t>M92HVV</t>
  </si>
  <si>
    <t>Maria del Carmen Leon Loza</t>
  </si>
  <si>
    <t>LBHNJM</t>
  </si>
  <si>
    <t>Maria Raquel Rodriguez de Hernandez</t>
  </si>
  <si>
    <t>M6F23L</t>
  </si>
  <si>
    <t>Manuel Savala Rizo</t>
  </si>
  <si>
    <t>L96SPF</t>
  </si>
  <si>
    <t>Maria Trinidad Rodriguez Vazquez</t>
  </si>
  <si>
    <t>HHVA858989</t>
  </si>
  <si>
    <t>Miguel Angel Huerta Lopez</t>
  </si>
  <si>
    <t>Reserva Las Palmas By The Sea All Inclusive</t>
  </si>
  <si>
    <t>HHVA858943</t>
  </si>
  <si>
    <t>LORENA ARRIAGA</t>
  </si>
  <si>
    <t>Carlos Guillermo Reyes</t>
  </si>
  <si>
    <t>Traslados Chartes</t>
  </si>
  <si>
    <t>HHVA859614</t>
  </si>
  <si>
    <t>Luis Alberto Hernandez Coss y Leon</t>
  </si>
  <si>
    <t>Reserva Emporio Cancun</t>
  </si>
  <si>
    <t>XHZMXA</t>
  </si>
  <si>
    <t>CK5JWB</t>
  </si>
  <si>
    <t>Arturo Vargas Sanchez</t>
  </si>
  <si>
    <t>KGJW7K</t>
  </si>
  <si>
    <t>Cristian Alejandro Valadez</t>
  </si>
  <si>
    <t>S76WUY</t>
  </si>
  <si>
    <t>HHVA862046</t>
  </si>
  <si>
    <t>Maricela Martinez Perez</t>
  </si>
  <si>
    <t>Reserva Azul Ixtapa All Inclusive Beach Resort &amp; Convention Center</t>
  </si>
  <si>
    <t>Arthur Careva Alvarez</t>
  </si>
  <si>
    <t>HHVA863076</t>
  </si>
  <si>
    <t>25199/</t>
  </si>
  <si>
    <t>Angelica Veronica Lopez Rodriguez</t>
  </si>
  <si>
    <t>75TXLB</t>
  </si>
  <si>
    <t>Claudia Lopez Rodriguez</t>
  </si>
  <si>
    <t>B33D9D</t>
  </si>
  <si>
    <t>Maria Gricelda Lopez Rodriguez</t>
  </si>
  <si>
    <t>25213/25278/25279</t>
  </si>
  <si>
    <t>Josceline Arantxa Moreno Mora</t>
  </si>
  <si>
    <t>Reserva Krystal Altitude Vallarta All Inclusive</t>
  </si>
  <si>
    <t>Tiempo limite cliente</t>
  </si>
  <si>
    <t>TIEMPO LIMITE DE PAGO</t>
  </si>
  <si>
    <t>Recibos de pago</t>
  </si>
  <si>
    <t>JOSE GUADALUPE  PLASCENCIA LOMELI</t>
  </si>
  <si>
    <t>RESERVA VUELO ORD-GDL</t>
  </si>
  <si>
    <t>KEBEGQ</t>
  </si>
  <si>
    <t>CRISTINA DE LA CRUZ  ROMO DIAZ//YATZAEL DAMIAN  LUPERCIO</t>
  </si>
  <si>
    <t>VUELO DE AVION GDL-DEN</t>
  </si>
  <si>
    <t>GGE33H/QF3LSQ</t>
  </si>
  <si>
    <t>LLEVA VOLARIS TE ACOMPAÑA</t>
  </si>
  <si>
    <t>DANIEL  SANCHEZ BARAJAS//MARBELLA HERNANDEZ ARRIAGA</t>
  </si>
  <si>
    <t>VUELO DE AVION GDL-CABOS</t>
  </si>
  <si>
    <t>348 129 8578</t>
  </si>
  <si>
    <t>JFHK3K</t>
  </si>
  <si>
    <t>SE PAGO TODO JUNTO</t>
  </si>
  <si>
    <t>MARIA ELENA GARCIA TORRES</t>
  </si>
  <si>
    <t xml:space="preserve">RESERVA ROYAL DECAMERON COMPLEX </t>
  </si>
  <si>
    <t>HHVA767074</t>
  </si>
  <si>
    <t>IMACOP AGS</t>
  </si>
  <si>
    <t>DEJO 1,000</t>
  </si>
  <si>
    <t>RAMIRO GARCIA TORRES</t>
  </si>
  <si>
    <t>HGDL767423</t>
  </si>
  <si>
    <t>IMACOP GDL</t>
  </si>
  <si>
    <t xml:space="preserve">LIQUIDADA </t>
  </si>
  <si>
    <t>GERARDO ZARATE</t>
  </si>
  <si>
    <t>RESERVA COMBI</t>
  </si>
  <si>
    <t>ANGEL TOURS</t>
  </si>
  <si>
    <t>DEJO ANTICIPO $10,000</t>
  </si>
  <si>
    <t>FRANK ANTHONY LOPEZ</t>
  </si>
  <si>
    <t>VUELO DE AVION STL-GDL</t>
  </si>
  <si>
    <t>AMERICAN ARLINES</t>
  </si>
  <si>
    <t>TRANSFERENCIA SIN RECIBO</t>
  </si>
  <si>
    <t>JUAN GARCIA GONZALEZ// VIRGINIA HERNANDEZ SALCIDO</t>
  </si>
  <si>
    <t>VUELO DE AVION GDL-MDW-GDL</t>
  </si>
  <si>
    <t>348-116-21-30</t>
  </si>
  <si>
    <t>UHRT3U</t>
  </si>
  <si>
    <t>JORGE JUAN OLIVA</t>
  </si>
  <si>
    <t>HFHTXN</t>
  </si>
  <si>
    <t>JOSE ALBERTO  VELAZQUEZ CASTRO</t>
  </si>
  <si>
    <t>RESERVA BOLETOS GDL-CUU</t>
  </si>
  <si>
    <t>C921QC</t>
  </si>
  <si>
    <t>RAFAEL HERRERA</t>
  </si>
  <si>
    <t>RESERVA RIU VALLARTA</t>
  </si>
  <si>
    <t>HGDL768810</t>
  </si>
  <si>
    <t>ANTONIO CAMARENA GARNICA</t>
  </si>
  <si>
    <t>RESERVA BOLETOS AVION MDW-GDL</t>
  </si>
  <si>
    <t>A59N2Y</t>
  </si>
  <si>
    <t>MALETA EXTRA MDW-GDL</t>
  </si>
  <si>
    <t>JUANA GONZALEZ GUERRERO</t>
  </si>
  <si>
    <t>RESERVA BOLETO DE AVION GDL-CLT</t>
  </si>
  <si>
    <t>VEIM3Q</t>
  </si>
  <si>
    <t>PERRITO DOCUMENTADO</t>
  </si>
  <si>
    <t xml:space="preserve">RICARDO CAMARENA </t>
  </si>
  <si>
    <t>T86CQI</t>
  </si>
  <si>
    <t>ARMANDO VILLALPANDO</t>
  </si>
  <si>
    <t>RESERVA VUELOS MDW-LEON</t>
  </si>
  <si>
    <t>RG9S5K</t>
  </si>
  <si>
    <t>MARIA DEL ROSARIO GAMIÑO</t>
  </si>
  <si>
    <t>RESERVA VUELOS MDW-GDL</t>
  </si>
  <si>
    <t>XBM57Z</t>
  </si>
  <si>
    <t>HERIBERTO  MEDINA MEDINA</t>
  </si>
  <si>
    <t>BOLETO DE AVION GDL-IAH</t>
  </si>
  <si>
    <t>F887RF</t>
  </si>
  <si>
    <t>MARISOL MESA</t>
  </si>
  <si>
    <t>DDDBYT</t>
  </si>
  <si>
    <t>MARIA DE JESUS TORRES YERENA</t>
  </si>
  <si>
    <t>BOLETOS DE AVION SJC-GDL</t>
  </si>
  <si>
    <t>UJITVE</t>
  </si>
  <si>
    <t>21749, 21750</t>
  </si>
  <si>
    <t xml:space="preserve">JESUS OSVALDO HUERTA SANCHEZ </t>
  </si>
  <si>
    <t>BOLETOS DE AVION GDL-CUN</t>
  </si>
  <si>
    <t>Z9CE6S</t>
  </si>
  <si>
    <t>FABIAN HERNANDEZ ALATORRE</t>
  </si>
  <si>
    <t>RESERVA CROWM PARADISE LUB VALLARTA</t>
  </si>
  <si>
    <t>HHVA768865</t>
  </si>
  <si>
    <t>RESERVA VUELOS LEON-ORD</t>
  </si>
  <si>
    <t>KEFMJQ</t>
  </si>
  <si>
    <t>21839, 21869</t>
  </si>
  <si>
    <t>MICHAEL MELENDEZ</t>
  </si>
  <si>
    <t>RESREVA BOLETO GDL-SAT</t>
  </si>
  <si>
    <t>BCWCGT</t>
  </si>
  <si>
    <t>DANIEL GARCIA ARRIAGA</t>
  </si>
  <si>
    <t>RESREVA RIU VALLARTA</t>
  </si>
  <si>
    <t>HHVA775270</t>
  </si>
  <si>
    <t xml:space="preserve">OLIVIA DELA CERDA PLASCENCIA </t>
  </si>
  <si>
    <t>HHVA775267</t>
  </si>
  <si>
    <t>CRISTINA HERNANDEZ SALCIDO// MARIA DOLORES SALCIDO</t>
  </si>
  <si>
    <t>RESERVA VUELOS GDL-CJS</t>
  </si>
  <si>
    <t>YCPSYZ</t>
  </si>
  <si>
    <t>DANIEL  SANCHEZ BARAJAS</t>
  </si>
  <si>
    <t>RESERVA KRYSTAL GRAND LOS CABOS</t>
  </si>
  <si>
    <t>349 129 8578</t>
  </si>
  <si>
    <t>HHVA766384</t>
  </si>
  <si>
    <t>TRASLADOS RESERVA KRYSTAL GRAND LOS CABOS</t>
  </si>
  <si>
    <t>MARIA DELIA LOZANO GAMIÑO</t>
  </si>
  <si>
    <t xml:space="preserve">RESERVA RIU JALISCO </t>
  </si>
  <si>
    <t>HHVA778401</t>
  </si>
  <si>
    <t>IMACOP AGS// MIRIAM</t>
  </si>
  <si>
    <t>RESERVA CHARTES ARANDAS-RIU JALISCO</t>
  </si>
  <si>
    <t>EDGAR SALVADOR LOPEZ ALVAREZ</t>
  </si>
  <si>
    <t>RESREVA GRAND PALLADIUM</t>
  </si>
  <si>
    <t>HHVA771215</t>
  </si>
  <si>
    <t>MA DE LA LUZ ORTEGA</t>
  </si>
  <si>
    <t>RESERVA MELIA VALLARTA</t>
  </si>
  <si>
    <t>HHVA770484</t>
  </si>
  <si>
    <t>JOCELYN LOPEZ</t>
  </si>
  <si>
    <t>RESERVA VUELOS STL-GDL</t>
  </si>
  <si>
    <t>WIPYFU </t>
  </si>
  <si>
    <t>FRANCISCO RODRIGUEZ</t>
  </si>
  <si>
    <t>RESERVA VUELO GDL-CJS</t>
  </si>
  <si>
    <t>HYZ82M</t>
  </si>
  <si>
    <t>21710 / 22067</t>
  </si>
  <si>
    <t>LIZBETH FLORES RAMIREZ</t>
  </si>
  <si>
    <t>HHVA771131</t>
  </si>
  <si>
    <t>22230/ 22232</t>
  </si>
  <si>
    <t>MANUEL BUSTOS VIVANCO</t>
  </si>
  <si>
    <t xml:space="preserve">RESERVACION HOTEL IBEROSTAR </t>
  </si>
  <si>
    <t>HHVA779959</t>
  </si>
  <si>
    <t>21824/ 22180</t>
  </si>
  <si>
    <t>CRISTIAN GABRIEL LOPEZ BARAJAS</t>
  </si>
  <si>
    <t>RESERVA SAMBA VALLARTA</t>
  </si>
  <si>
    <t>HHVA772704</t>
  </si>
  <si>
    <t xml:space="preserve">JOSE MARIA VELAZQUEZ </t>
  </si>
  <si>
    <t>RESERVA VUELO GDL-TIJ</t>
  </si>
  <si>
    <t>EG158X</t>
  </si>
  <si>
    <t xml:space="preserve">MA LOURDES PAREDES DE GARCIA </t>
  </si>
  <si>
    <t>O9JZ6P</t>
  </si>
  <si>
    <t>22204/ 22259</t>
  </si>
  <si>
    <t xml:space="preserve">ADRIAN ALEJANDRO AYALA BUSTOS </t>
  </si>
  <si>
    <t xml:space="preserve">RESERVA DREAMS BAHIA MITA </t>
  </si>
  <si>
    <t>HHVA779296</t>
  </si>
  <si>
    <t>CARLOS RIVAS</t>
  </si>
  <si>
    <t>RESERVA VUELO GDL-OAK</t>
  </si>
  <si>
    <t>B8QB7P</t>
  </si>
  <si>
    <t>NALLELY JACQUELIN RAMOS NAVARRO</t>
  </si>
  <si>
    <t>RESERVA VUELO YVR-YYC</t>
  </si>
  <si>
    <t>2UGD5U</t>
  </si>
  <si>
    <t>AIR CANADA</t>
  </si>
  <si>
    <t>21833/ 22420/ 22183</t>
  </si>
  <si>
    <t>ESTELA ALVIZO LEON</t>
  </si>
  <si>
    <t>RESERVA CROWN PARADISE CLUB</t>
  </si>
  <si>
    <t>HHVA772960</t>
  </si>
  <si>
    <t xml:space="preserve">JUANA ALEJANDRA CORONADO MACIAS </t>
  </si>
  <si>
    <t>HHVA772968</t>
  </si>
  <si>
    <t>LUIS ANTONIO CANO ALVIZO</t>
  </si>
  <si>
    <t>HHVA772967</t>
  </si>
  <si>
    <t>JAVIER FRANCO ESCOTO</t>
  </si>
  <si>
    <t>HHVA772963</t>
  </si>
  <si>
    <t>JORGE ARMANDO CAMACHO VIVANCO</t>
  </si>
  <si>
    <t>RESERVA VUELOS GDL-PVR</t>
  </si>
  <si>
    <t>YBIQUZ// P5HN8Y</t>
  </si>
  <si>
    <t>VIVA AEROBUS</t>
  </si>
  <si>
    <t>FLAVIO GUZMAN LOPEZ</t>
  </si>
  <si>
    <t>RESERVA VUELO LAS-GDL</t>
  </si>
  <si>
    <t>348 137 9649</t>
  </si>
  <si>
    <t>W5MYWR</t>
  </si>
  <si>
    <t>ARTEMISA LICINA TORRES HERNANDEZ</t>
  </si>
  <si>
    <t>RESERVA VUELOS GDL-TIJ</t>
  </si>
  <si>
    <t>UFD4PQ</t>
  </si>
  <si>
    <t xml:space="preserve">VIOLARIS </t>
  </si>
  <si>
    <t>CELINA HERNANDEZ GUZMAN</t>
  </si>
  <si>
    <t>RESERVA CHARTES ARANDAS-SAMBA VALLARTA</t>
  </si>
  <si>
    <t>EDGAR JONATHAN  ENRIQUEZ</t>
  </si>
  <si>
    <t>RESERVA VUELO OAK-GDL</t>
  </si>
  <si>
    <t>ZYWDTC</t>
  </si>
  <si>
    <t>MARA DE JESUS CERVANTES / ANTONIO GARCIA ARELLAN</t>
  </si>
  <si>
    <t>RESERVA VUELOS  GDL -SMF</t>
  </si>
  <si>
    <t>UE1CTG</t>
  </si>
  <si>
    <t>FRANCISCO SALAS</t>
  </si>
  <si>
    <t>RESERVA RIU PALACE VALLARTA</t>
  </si>
  <si>
    <t>393 131 9407</t>
  </si>
  <si>
    <t>YAJAIRA GUADALUPE  AGUIRRE ALFARO</t>
  </si>
  <si>
    <t>RESERVA VUELOS GDL-MDW</t>
  </si>
  <si>
    <t>N8V23C</t>
  </si>
  <si>
    <t>JUAN ALBERTO ASCENCIO PEREZ</t>
  </si>
  <si>
    <t>RESERVA VUELO GDL-ORD</t>
  </si>
  <si>
    <t>319 212-0728</t>
  </si>
  <si>
    <t>IF283X</t>
  </si>
  <si>
    <t xml:space="preserve">TRASLADOS RESERVA WYNDHOM ALTRA </t>
  </si>
  <si>
    <t>21750 /22479</t>
  </si>
  <si>
    <t xml:space="preserve">RESERVA HOTEL WYNDHOM ALTRA </t>
  </si>
  <si>
    <t>HHVA771823</t>
  </si>
  <si>
    <t>21793/ 21484</t>
  </si>
  <si>
    <t>LESLIE JESELY   ENRIQUEZ HERRERA</t>
  </si>
  <si>
    <t>RESERVA PARADISE VILLAGE</t>
  </si>
  <si>
    <t>348 116 15 18</t>
  </si>
  <si>
    <t>HHVA769738</t>
  </si>
  <si>
    <t>DEJO ANTICIPO $11,000</t>
  </si>
  <si>
    <t>ROGELIO ANTONIO LOPEZ NAVARRO</t>
  </si>
  <si>
    <t>RESERVA LAS HADAS MANZANILLO</t>
  </si>
  <si>
    <t>HHVA787587</t>
  </si>
  <si>
    <t>MARIA CRISTINA LOPEZ NAVARRO</t>
  </si>
  <si>
    <t>HHVA787590</t>
  </si>
  <si>
    <t>TANYA MARIA HERNANDEZ MARTINEZ</t>
  </si>
  <si>
    <t xml:space="preserve">RESERVA VUELOS GDL-TIJ// ASIGNACION DE ASIENTOS </t>
  </si>
  <si>
    <t>348 109 1447</t>
  </si>
  <si>
    <t>MBJZHZ// E8RW6P</t>
  </si>
  <si>
    <t>MARIA DE JESUS AYALA</t>
  </si>
  <si>
    <t>RESERVA VUELOS SAN-GDL</t>
  </si>
  <si>
    <t>512 620-1113</t>
  </si>
  <si>
    <t>M6J58Y</t>
  </si>
  <si>
    <t>DEPOSITO SIN RECIBO</t>
  </si>
  <si>
    <t>MA REFUGIO RAMIREZ</t>
  </si>
  <si>
    <t>RESERVA VUELOS TIJ-GDL</t>
  </si>
  <si>
    <t>33 2022 1672</t>
  </si>
  <si>
    <t>F81C5S// GD6Q9D</t>
  </si>
  <si>
    <t>KARINA HERNANDEZ CHAVEZ</t>
  </si>
  <si>
    <t>RESERVA VUELOS ORD-GDL</t>
  </si>
  <si>
    <t>348 108 3277</t>
  </si>
  <si>
    <t>XFRMGA</t>
  </si>
  <si>
    <t>ALVIN DWAYNE  WALKER</t>
  </si>
  <si>
    <t>RESERVA VUELO SAN-GDL</t>
  </si>
  <si>
    <t>J9248C</t>
  </si>
  <si>
    <t>JOSE ALONSO RIUZ LOZANO</t>
  </si>
  <si>
    <t>RESERVA VUELOS FRESNO-GDL</t>
  </si>
  <si>
    <t>QEDH8Q</t>
  </si>
  <si>
    <t>ALEJANDRO OROZCO GARCIA</t>
  </si>
  <si>
    <t>RESERVA VUELOS GDL-ORD</t>
  </si>
  <si>
    <t>348 104 7606</t>
  </si>
  <si>
    <t>CYCK8Z</t>
  </si>
  <si>
    <t>RESERVA VUELO MTY-GDL</t>
  </si>
  <si>
    <t>RJ4MNE</t>
  </si>
  <si>
    <t xml:space="preserve">CLAUDIA JIMENEZ ESTRADA </t>
  </si>
  <si>
    <t>RESERVA VUELOS GDL-CUN</t>
  </si>
  <si>
    <t>HG7GGK</t>
  </si>
  <si>
    <t>22500/ 22514</t>
  </si>
  <si>
    <t>BLANCA CECILIA BECERRA</t>
  </si>
  <si>
    <t>RESERVA COSTA DE ORO MAZATLAN</t>
  </si>
  <si>
    <t xml:space="preserve">GLENDA LIZ GONZALEZ </t>
  </si>
  <si>
    <t>RESERVA VUELOS LEON-MDW</t>
  </si>
  <si>
    <t>I79PJI</t>
  </si>
  <si>
    <t>GLENDA LIZ  GONZALEZ</t>
  </si>
  <si>
    <t>22536/ 22730</t>
  </si>
  <si>
    <t xml:space="preserve">ALEJANDRO ROCHA </t>
  </si>
  <si>
    <t>HHVA785422</t>
  </si>
  <si>
    <t xml:space="preserve">MANUEL MAGAÑA LOPEZ </t>
  </si>
  <si>
    <t xml:space="preserve">RESERVA CID MARINA </t>
  </si>
  <si>
    <t>HHVA789708</t>
  </si>
  <si>
    <t xml:space="preserve">FILIBERTO ZAVALA TORRES </t>
  </si>
  <si>
    <t xml:space="preserve">VUELOS GDL LOS CABOS// TRASLADOS </t>
  </si>
  <si>
    <t>21942/ 22537</t>
  </si>
  <si>
    <t>RESERVA ROYAL DECAMERON LOS CABOS</t>
  </si>
  <si>
    <t>HHVA775284// QGWG5X</t>
  </si>
  <si>
    <t>IMACOP AGS// VOLARIS</t>
  </si>
  <si>
    <t>SANTOS CAMARENA GARNICA</t>
  </si>
  <si>
    <t>JHFDWX</t>
  </si>
  <si>
    <t>21993/ 21994 /22475/ 22705/ 22709</t>
  </si>
  <si>
    <t>JOAQUIN JIMENEZ MORALES</t>
  </si>
  <si>
    <t>RESERVA HOTEL ROYAL SOLARIS LOS CABOS</t>
  </si>
  <si>
    <t>HHVA775324</t>
  </si>
  <si>
    <t>22705 / 22709</t>
  </si>
  <si>
    <t>ANTONIO GARCIA MORALES</t>
  </si>
  <si>
    <t>MONICA GARCIA HERNANDEZ</t>
  </si>
  <si>
    <t>HHVA775317</t>
  </si>
  <si>
    <t>ARNULFO CLAUDIO PEREZ</t>
  </si>
  <si>
    <t>HHVA775316</t>
  </si>
  <si>
    <t xml:space="preserve">FELIPE MORALES ANDEREZ </t>
  </si>
  <si>
    <t>HHVA775314</t>
  </si>
  <si>
    <t>MAGDALENA ANDERES CASTAÑEDA</t>
  </si>
  <si>
    <t>HHVA775311</t>
  </si>
  <si>
    <t>MARIO ALBERTO JIMENEZ ANGEL</t>
  </si>
  <si>
    <t>HHVA775310</t>
  </si>
  <si>
    <t xml:space="preserve">JOSE AMADO MORALES ANDERES </t>
  </si>
  <si>
    <t>HHVA775307</t>
  </si>
  <si>
    <t>22806/ 22829</t>
  </si>
  <si>
    <t>FELIPE MORALES ANDERES</t>
  </si>
  <si>
    <t>RESERVA TRASLADOS LOS CABOS -ROYAL SOLARIS</t>
  </si>
  <si>
    <t>W9RV7P</t>
  </si>
  <si>
    <t>ADRIANA TINOCO</t>
  </si>
  <si>
    <t xml:space="preserve">VANESSA CANCHOLA RAMIREZ </t>
  </si>
  <si>
    <t>RESERVA VUELOS GDL-JFK</t>
  </si>
  <si>
    <t>F93J5P// B7TZGF</t>
  </si>
  <si>
    <t>22499/ 22670</t>
  </si>
  <si>
    <t xml:space="preserve">LUIS FELIPE SALAZAR GONZALEZ </t>
  </si>
  <si>
    <t>RESERVA GOLDEN CROWN PARADISE CLUB</t>
  </si>
  <si>
    <t xml:space="preserve">CHECK INN </t>
  </si>
  <si>
    <t>RICARDO CAMARENA GARNICA</t>
  </si>
  <si>
    <t xml:space="preserve">RESERVA CANTO DEL SOL </t>
  </si>
  <si>
    <t xml:space="preserve">IMACOP AGS// MIRIAM </t>
  </si>
  <si>
    <t xml:space="preserve">DIEGO AGUIRRE PLASCENCIA </t>
  </si>
  <si>
    <t xml:space="preserve">RESERVA MARIVAL EMOTIONS </t>
  </si>
  <si>
    <t>LUCERO GASCON OROZCO</t>
  </si>
  <si>
    <t>348 114 4529</t>
  </si>
  <si>
    <t>HHVA779937</t>
  </si>
  <si>
    <t xml:space="preserve">IMACOP AGS </t>
  </si>
  <si>
    <t>22868/ DEPOSITO SIN RECIBO</t>
  </si>
  <si>
    <t>CHISTIAN TAVARES</t>
  </si>
  <si>
    <t>RESERVA HILTON RIVIERA VALLARTA</t>
  </si>
  <si>
    <t>HHVA769405</t>
  </si>
  <si>
    <t>MISAEL TAVARES</t>
  </si>
  <si>
    <t>HHVA769402</t>
  </si>
  <si>
    <t>JUAN TAVARES</t>
  </si>
  <si>
    <t>HHAV769400</t>
  </si>
  <si>
    <t xml:space="preserve">MARISSA QUINTERO LEON </t>
  </si>
  <si>
    <t>RESERVA VUELO GDL-LAS</t>
  </si>
  <si>
    <t>GGBS7X</t>
  </si>
  <si>
    <t>ADRIANA CABALLERO SOBERANTES</t>
  </si>
  <si>
    <t xml:space="preserve">RESERVA MARIVAL EMOTIOS </t>
  </si>
  <si>
    <t>HHVA785911</t>
  </si>
  <si>
    <t>RODOLFO TAVAREZ CASTILLO</t>
  </si>
  <si>
    <t>HHVA794480</t>
  </si>
  <si>
    <t xml:space="preserve">GLORIA MEZA ARIAS </t>
  </si>
  <si>
    <t>RESERCA VUELOS ORD-DL</t>
  </si>
  <si>
    <t>D8EW9C</t>
  </si>
  <si>
    <t>MANUEL RODRIGUEZ MELENDEZ</t>
  </si>
  <si>
    <t>RESERVA VUELOS GDL-HMO</t>
  </si>
  <si>
    <t>TG5ERA</t>
  </si>
  <si>
    <t>RESERVA VUELOS HMO-MEX</t>
  </si>
  <si>
    <t>PEDQ8Q</t>
  </si>
  <si>
    <t>JUAN DAVILA CORTES</t>
  </si>
  <si>
    <t>PFNGRA</t>
  </si>
  <si>
    <t>22741/ 22756</t>
  </si>
  <si>
    <t xml:space="preserve">ANA LILIA GONZALEZ TEJEDA </t>
  </si>
  <si>
    <t xml:space="preserve">RESERVA ROYAL DECAMERON </t>
  </si>
  <si>
    <t>HHVA789883</t>
  </si>
  <si>
    <t xml:space="preserve">JESUS HURTADO GONZALEZ </t>
  </si>
  <si>
    <t>HHVA789886</t>
  </si>
  <si>
    <t xml:space="preserve">JOSE LUIS HURTADO GONZALEZ </t>
  </si>
  <si>
    <t>HHVA789879</t>
  </si>
  <si>
    <t>22556/22923 /22981</t>
  </si>
  <si>
    <t xml:space="preserve">MIRIAM RODRIGUEZ CHOLICO </t>
  </si>
  <si>
    <t>RESERVA GRUPO TESORO MANZANILLO</t>
  </si>
  <si>
    <t xml:space="preserve">IMACOP GDL MARIA </t>
  </si>
  <si>
    <t>DEJO ANTICIPO $</t>
  </si>
  <si>
    <t>ABEL ALONSO MARTINEZ MARTINEZ</t>
  </si>
  <si>
    <t>RESERVA VUELO CJS-GDL</t>
  </si>
  <si>
    <t>SCGGTZ</t>
  </si>
  <si>
    <t>GABRIELA HERNANDEZ</t>
  </si>
  <si>
    <t>RESERVA TRASLADOS ARANDAS-GDL</t>
  </si>
  <si>
    <t>ISRAEL</t>
  </si>
  <si>
    <t xml:space="preserve">VANESSA HERNANDEZ RODRIGUEZ </t>
  </si>
  <si>
    <t>RESERVA VAMAR VALLARTA</t>
  </si>
  <si>
    <t>HHVA790604</t>
  </si>
  <si>
    <t>22744 /22896 /22999</t>
  </si>
  <si>
    <t>DIANA TERESITA AGUAYO HERNANDEZ</t>
  </si>
  <si>
    <t>HHVA790606</t>
  </si>
  <si>
    <t>OSCAR GUADALUPE AGUAYO ANGEL</t>
  </si>
  <si>
    <t>HHVA790608</t>
  </si>
  <si>
    <t>MIGUAL ANGEL PLASCENCIA</t>
  </si>
  <si>
    <t>RESERVA VUELOS GDL-SAT</t>
  </si>
  <si>
    <t>NCYEHJ</t>
  </si>
  <si>
    <t>REVISADAS COMISIONES</t>
  </si>
  <si>
    <t>MA EDUVIGES GONZALEZ BERNAL</t>
  </si>
  <si>
    <t>X9UUWF</t>
  </si>
  <si>
    <t>JUAN CARLOS ANGEL ROMO</t>
  </si>
  <si>
    <t>RESERVA VUELO GDL-SMF</t>
  </si>
  <si>
    <t>VGDLJN</t>
  </si>
  <si>
    <t>GUSTAVO HERNANDEZ</t>
  </si>
  <si>
    <t xml:space="preserve">RESERVA VUELOS GDL-DALLAS </t>
  </si>
  <si>
    <t>FGYFJK</t>
  </si>
  <si>
    <t>ADRIANA DIAZ RODRIGUEZ</t>
  </si>
  <si>
    <t>RESERVA VUELO GDL-MEX</t>
  </si>
  <si>
    <t>ABTYFW</t>
  </si>
  <si>
    <t>BLANCA JAZMIN MARTINEZ</t>
  </si>
  <si>
    <t>RESERVA PELICANOS CLUB</t>
  </si>
  <si>
    <t>DARLENE LIZBETH LOPEZ</t>
  </si>
  <si>
    <t>RESERVA VUELO STL-GDL</t>
  </si>
  <si>
    <t>EKFM20</t>
  </si>
  <si>
    <t>UNITED/ EXPEDIA</t>
  </si>
  <si>
    <t>22173 / 22319/ 23086 /23172</t>
  </si>
  <si>
    <t xml:space="preserve">PAOLA PATRICIA ARIAS RUIZ </t>
  </si>
  <si>
    <t>RESERVA RIU PALACE PENINSULA CANCUN</t>
  </si>
  <si>
    <t>HHVA778565</t>
  </si>
  <si>
    <t>MARIZA LOPEZ V</t>
  </si>
  <si>
    <t>RESERVA VUELO GDL-AHI</t>
  </si>
  <si>
    <t>KYH35M</t>
  </si>
  <si>
    <t xml:space="preserve">GAEL DE ANDA DE LA PAZ </t>
  </si>
  <si>
    <t>RESERVA VUELO GDL-DEN</t>
  </si>
  <si>
    <t>Y7TU8L</t>
  </si>
  <si>
    <t>DIANA MARLENE SEVILLA GARCIA</t>
  </si>
  <si>
    <t>RESERVA VUELO GDL-TGZ</t>
  </si>
  <si>
    <t>ADE3HD</t>
  </si>
  <si>
    <t>23278/23279</t>
  </si>
  <si>
    <t>ROCIO LOZANO GUZMAN/ GUADALUE LOZANO GUZMAN</t>
  </si>
  <si>
    <t>RESERVA VUELOS GDL-CLT</t>
  </si>
  <si>
    <t>SFL34N</t>
  </si>
  <si>
    <t>MARIA DEL ROSARIO  PLASCENCIA HERNANDEZ</t>
  </si>
  <si>
    <t>ODID8T</t>
  </si>
  <si>
    <t>JUAN ALVARO HERNANDEZ DE LA CERDA</t>
  </si>
  <si>
    <t>RESERVA GDL-HMO</t>
  </si>
  <si>
    <t>H8YCWV</t>
  </si>
  <si>
    <t>LUZ ELENA LOPEZ ACEVES</t>
  </si>
  <si>
    <t>RESERVA VUELO GDL-MDW</t>
  </si>
  <si>
    <t>XY69PS</t>
  </si>
  <si>
    <t>23425 / 23430</t>
  </si>
  <si>
    <t xml:space="preserve">SALVADOR CONCHAS CARDENAS </t>
  </si>
  <si>
    <t xml:space="preserve">RESERVA TESORO MANZANILLO </t>
  </si>
  <si>
    <t xml:space="preserve">NANCY HERNANDEZ GONZALEZ </t>
  </si>
  <si>
    <t xml:space="preserve">RESERVA VUELO GDL- LOS ANGELES </t>
  </si>
  <si>
    <t>Z9I3GF</t>
  </si>
  <si>
    <t>CRISTINA SALCIDO</t>
  </si>
  <si>
    <t>RYEHRC</t>
  </si>
  <si>
    <t>BLANCA MIREYA OLIVA</t>
  </si>
  <si>
    <t>MDDIXW</t>
  </si>
  <si>
    <t>RESERVA VUELO GDL-CUN</t>
  </si>
  <si>
    <t>Z93Y6F</t>
  </si>
  <si>
    <t>RESERVACION HOTEL RIU PALACE NUEVO VALLARTA</t>
  </si>
  <si>
    <t>HHVA814762</t>
  </si>
  <si>
    <t>OLGA MARGARITA GONZALEZ HERNANDEZ</t>
  </si>
  <si>
    <t>W7J9JL</t>
  </si>
  <si>
    <t xml:space="preserve">OSCAR FERNANDO VALADEZ GAITAN </t>
  </si>
  <si>
    <t>RESERVA PARQUE XCARET PLUS // CHICHEN ITZA</t>
  </si>
  <si>
    <t>ARNULFO RAYGOZA VALDES</t>
  </si>
  <si>
    <t>F76R2V</t>
  </si>
  <si>
    <t>ALFREDO ASCENCIO</t>
  </si>
  <si>
    <t>RESERVA VUELO GDL-HERMOSILLO</t>
  </si>
  <si>
    <t>DE6Y2A</t>
  </si>
  <si>
    <t xml:space="preserve">ADALBERTO PEREZ OCHOA </t>
  </si>
  <si>
    <t>NJF7TE</t>
  </si>
  <si>
    <t>STEPHANIE GUADALUPE  ARRIAGA</t>
  </si>
  <si>
    <t>RESERVA VUELO MDW-GDL</t>
  </si>
  <si>
    <t>LBN84J</t>
  </si>
  <si>
    <t xml:space="preserve">JENNIFER GUADALUPE JIMENEZ MUÑOZ </t>
  </si>
  <si>
    <t>RESERVA VUELO GDL-MXL</t>
  </si>
  <si>
    <t>CDW68Q</t>
  </si>
  <si>
    <t xml:space="preserve">JUAN IGNACIO JIMENEZ GUTIERREZ </t>
  </si>
  <si>
    <t>RESERVA VUELOS GDL-SJD</t>
  </si>
  <si>
    <t>W8FNSY</t>
  </si>
  <si>
    <t>FERNANDO HERNANDEZ GOMEZ</t>
  </si>
  <si>
    <t>GKQYNV</t>
  </si>
  <si>
    <t>AEROMEXICO</t>
  </si>
  <si>
    <t>23602, 23720</t>
  </si>
  <si>
    <t xml:space="preserve">RESERVA BLUEBAY GRAND ESMERALDA </t>
  </si>
  <si>
    <t>HHVA817576</t>
  </si>
  <si>
    <t>ENRIQUE JOZEF HERNANDEZ JR</t>
  </si>
  <si>
    <t>NC1HHZ</t>
  </si>
  <si>
    <t>22516/ 23293/ 23331/ 23292/ 23382/ 23605/ 23657/ 23666/ 23582/ 23404/ 23412</t>
  </si>
  <si>
    <t xml:space="preserve">JAZMIN GUADALUPE FLORES VARELA </t>
  </si>
  <si>
    <t xml:space="preserve">RESERVA GRUPO HOLIDAY INN IXTAPA </t>
  </si>
  <si>
    <t>JUAN FUENTES OROZCO</t>
  </si>
  <si>
    <t>HHVA813216</t>
  </si>
  <si>
    <t>VIRGINIA HERNANDEZ SALCIDO</t>
  </si>
  <si>
    <t>CGPNYK</t>
  </si>
  <si>
    <t xml:space="preserve">PAOLA MONSERRAT GARCIA HERNANDEZ </t>
  </si>
  <si>
    <t>XG5M6N</t>
  </si>
  <si>
    <t xml:space="preserve">NOEMI GUADALUPE HERNANDEZ VAZQUEZ </t>
  </si>
  <si>
    <t xml:space="preserve">RESERVA GUADALUPE HERNANDEZ VAZQUEZ </t>
  </si>
  <si>
    <t xml:space="preserve">IMACOP AGS/ ALEX </t>
  </si>
  <si>
    <t>JUAN ANTONIO LOZA GOMEZ</t>
  </si>
  <si>
    <t>XYUBRC</t>
  </si>
  <si>
    <t xml:space="preserve">MARIA LUISA MUÑOZ RODROGUEZ </t>
  </si>
  <si>
    <t>RESERVA VUELO GDL -TIJ</t>
  </si>
  <si>
    <t>XG2D3N</t>
  </si>
  <si>
    <t>CRISTINA VIVANCO OROZCO</t>
  </si>
  <si>
    <t>VUELOS GDL-CUN</t>
  </si>
  <si>
    <t>G6RJGY</t>
  </si>
  <si>
    <t>ERNESTO ALONSO LOPEZ</t>
  </si>
  <si>
    <t>RESERVA VUELOS TIJ- GDL</t>
  </si>
  <si>
    <t>CG779U</t>
  </si>
  <si>
    <t>ALEXIS PEÑA HERNANDEZ</t>
  </si>
  <si>
    <t>RESERVA KRYSTAL CANCUN</t>
  </si>
  <si>
    <t>HHVA825786</t>
  </si>
  <si>
    <t>QJPM7B</t>
  </si>
  <si>
    <t>TRASLADOS CANCUN-KRYSTAL CANCUN</t>
  </si>
  <si>
    <t>JOCELYN GUADALUPE  LOPEZ</t>
  </si>
  <si>
    <t>ACDNQW</t>
  </si>
  <si>
    <t xml:space="preserve">LUIS RAMOS </t>
  </si>
  <si>
    <t>RESERVA VUELOS GDL-DFW</t>
  </si>
  <si>
    <t>IHJDUT</t>
  </si>
  <si>
    <t xml:space="preserve">ROSA ISELA VILLANUEVA </t>
  </si>
  <si>
    <t>VUELOS ORD-LEON</t>
  </si>
  <si>
    <t>M5HRRB</t>
  </si>
  <si>
    <t xml:space="preserve">JAZMIN MONSERRAT TAPIAS </t>
  </si>
  <si>
    <t>ZJUM7R</t>
  </si>
  <si>
    <t>24222 /23930</t>
  </si>
  <si>
    <t xml:space="preserve">HECTOR MANUEL GONZALEZ HUERTA </t>
  </si>
  <si>
    <t>HHVA823519</t>
  </si>
  <si>
    <t>JUAN GONZALEZ GARCIA</t>
  </si>
  <si>
    <t>B8S9MS</t>
  </si>
  <si>
    <t>LORENA GONZALEZ BERNAL</t>
  </si>
  <si>
    <t>T952PV</t>
  </si>
  <si>
    <t>MARIA GUADALUPE CERVANTES MARCIAL</t>
  </si>
  <si>
    <t>RESERVA VUELO DTW-GDL</t>
  </si>
  <si>
    <t>VYECWW</t>
  </si>
  <si>
    <t>ROSARIO GAMIÑO</t>
  </si>
  <si>
    <t>CDFKPT</t>
  </si>
  <si>
    <t>24111 / 24109</t>
  </si>
  <si>
    <t>JESICA LOPEZ RIZO</t>
  </si>
  <si>
    <t>RESERVA VUELOS SJC-GDL</t>
  </si>
  <si>
    <t>FCNFQW / NYT7TP / PJKL3B</t>
  </si>
  <si>
    <t>24130 / 24131 / 24132</t>
  </si>
  <si>
    <t>OLIRA GUADALUPE  SALCIDO RODRIGUEZ</t>
  </si>
  <si>
    <t>UFSPSQ</t>
  </si>
  <si>
    <t>24175 / 24176</t>
  </si>
  <si>
    <t>DIANA SANCHEZ ZARATE</t>
  </si>
  <si>
    <t>RESERVA VUELO PVR-YVR</t>
  </si>
  <si>
    <t>VNVWBC</t>
  </si>
  <si>
    <t xml:space="preserve">HECTOR LOPEZ </t>
  </si>
  <si>
    <t>RESERVA VUELOS CUN-GDL</t>
  </si>
  <si>
    <t>M7Z6HL</t>
  </si>
  <si>
    <t>JESSE JOHN  LOPEZ</t>
  </si>
  <si>
    <t>RESERVA VUELO</t>
  </si>
  <si>
    <t>U6V66L</t>
  </si>
  <si>
    <t>APOLONIA CONCEPCION  TRINIDAD CRUZ</t>
  </si>
  <si>
    <t>RESERVA VUELOS HMO-GDL</t>
  </si>
  <si>
    <t>EEGLYD</t>
  </si>
  <si>
    <t xml:space="preserve">RAMONA PADILLA MUÑOZ </t>
  </si>
  <si>
    <t>RESERVA CHARTER ARANDAS-VALLARTA</t>
  </si>
  <si>
    <t>CHARTER</t>
  </si>
  <si>
    <t>CARMEN ELIZABETH  PADILLA RIZO</t>
  </si>
  <si>
    <t>RESERVA VUELO TIJ-GDL</t>
  </si>
  <si>
    <t>A9FISC</t>
  </si>
  <si>
    <t>JAIME ALBERTO  GUTIERREZ</t>
  </si>
  <si>
    <t>HDM9JT</t>
  </si>
  <si>
    <t>N8F4WI</t>
  </si>
  <si>
    <t>ROBERTO  VARGAS VALADEZ</t>
  </si>
  <si>
    <t>RESERVA VUELO GDL-MTY</t>
  </si>
  <si>
    <t>MY1BKC</t>
  </si>
  <si>
    <t>LUIS  MARTINEZ MORENO</t>
  </si>
  <si>
    <t>RESERVA VUELOS GDL-SJC</t>
  </si>
  <si>
    <t>ICKJ3G</t>
  </si>
  <si>
    <t>JOSE LUIS  GOMEZ</t>
  </si>
  <si>
    <t>UK516B</t>
  </si>
  <si>
    <t>JORGE  LEON MURILLO</t>
  </si>
  <si>
    <t>VYZP3C</t>
  </si>
  <si>
    <t xml:space="preserve">MARIA DE JESUS AYALA ANGEL </t>
  </si>
  <si>
    <t>RESERVA VUELO SAT-GDL</t>
  </si>
  <si>
    <t>NEKYHD</t>
  </si>
  <si>
    <t>PATRICIA GONZALEZ RIZO</t>
  </si>
  <si>
    <t>HHVA811759</t>
  </si>
  <si>
    <t>MARIA DE JESUS RIZO AYALA</t>
  </si>
  <si>
    <t>HHVA811766</t>
  </si>
  <si>
    <t xml:space="preserve">ALFREDO GOMEZ LARA </t>
  </si>
  <si>
    <t>HHVA784642</t>
  </si>
  <si>
    <t>ALFREDO DE JESUS GOMEZ MORENO</t>
  </si>
  <si>
    <t>HHVA784640</t>
  </si>
  <si>
    <t>MIRZA VERONICA GOMEZ MORENO</t>
  </si>
  <si>
    <t>HHVA784636</t>
  </si>
  <si>
    <t>JOSE MANUEL DIAZ DE LEON SANCHEZ</t>
  </si>
  <si>
    <t>HHVA784634</t>
  </si>
  <si>
    <t xml:space="preserve">YESENIA GUADALUPE JAUREGUI GONZALEZ </t>
  </si>
  <si>
    <t xml:space="preserve">RESERVA RIU PALACE NUEVO VALLARTA </t>
  </si>
  <si>
    <t xml:space="preserve">MARIA GUADALUPE GONZALEZ MARTINEZ </t>
  </si>
  <si>
    <t>JUAN GABRIEL SAINZ MARQUEZ</t>
  </si>
  <si>
    <t>RESERV VUELOS GDL-LOS ANGELES</t>
  </si>
  <si>
    <t>YJ2HHH</t>
  </si>
  <si>
    <t>JOSE FERNANDO PLASCENCIA</t>
  </si>
  <si>
    <t>RESERVA KRYSTAL VALLARTA</t>
  </si>
  <si>
    <t>HHVA869954</t>
  </si>
  <si>
    <t>IMACOP AGS JOHANA</t>
  </si>
  <si>
    <t>JUAN MANUEL HERNANDEZ</t>
  </si>
  <si>
    <t>RESERVA VUELO GDL-VILLAHERMOSA</t>
  </si>
  <si>
    <t>W78KYL</t>
  </si>
  <si>
    <t>CAROLINA ALEJANDRA GUTIERREZ</t>
  </si>
  <si>
    <t>XGC84N</t>
  </si>
  <si>
    <t>NORMA ROJAS</t>
  </si>
  <si>
    <t>RH2TVN</t>
  </si>
  <si>
    <t>CLAUDIA ESTEPHANIE RODRIGUEZ ZARATE</t>
  </si>
  <si>
    <t>RESERVA VUELOS GDL-LOS CABOS</t>
  </si>
  <si>
    <t>VF2GRT</t>
  </si>
  <si>
    <t>ARACELI HERNANDEZ RODRIGUEZ</t>
  </si>
  <si>
    <t>RESERVA HOTEL GRAN ISLA NAVIDAD</t>
  </si>
  <si>
    <t>HHVA874676</t>
  </si>
  <si>
    <t>MIGUEL HERNANDEZ RODRIGUEZ</t>
  </si>
  <si>
    <t>RESERVA VUELO DETROIT-SACRAMENTO</t>
  </si>
  <si>
    <t>IYDXV2</t>
  </si>
  <si>
    <t>ANDRES LOPEZ GUZMAN</t>
  </si>
  <si>
    <t xml:space="preserve">RESERVA VUELO GDL-LOS ANGELES </t>
  </si>
  <si>
    <t>N8UW9F</t>
  </si>
  <si>
    <t>25/27/23</t>
  </si>
  <si>
    <t xml:space="preserve">FILIBERTO AVALOS </t>
  </si>
  <si>
    <t>RESERVA VUELOS GDL - MDW</t>
  </si>
  <si>
    <t>VFPPKQ/ X8U69V</t>
  </si>
  <si>
    <t>BRYAN JESUS GUTIERREZ HERNANDEZ</t>
  </si>
  <si>
    <t>RESERVA VUELO GDL-ONT</t>
  </si>
  <si>
    <t>VBWDWP</t>
  </si>
  <si>
    <t>REMIGIA GONZALEZ ROBLES</t>
  </si>
  <si>
    <t>XYIUPS</t>
  </si>
  <si>
    <t>25729/ 25738</t>
  </si>
  <si>
    <t>LUIS FERNANDO HUERTA</t>
  </si>
  <si>
    <t>HHVA876009</t>
  </si>
  <si>
    <t>IMACOP ALEJANDRO</t>
  </si>
  <si>
    <t>ANA ROSA HUERTA ALVAREZ</t>
  </si>
  <si>
    <t>HHVA876007</t>
  </si>
  <si>
    <t>25743/ 25744</t>
  </si>
  <si>
    <t>LUZ ADRIANA CASTILLO ALCARAZ</t>
  </si>
  <si>
    <t>RESERVA VUELOS GDL- LOS CABOS</t>
  </si>
  <si>
    <t>JJJMHR</t>
  </si>
  <si>
    <t>LEONARDO ENRIQUEZ GONZALEZ</t>
  </si>
  <si>
    <t>NYCKGM</t>
  </si>
  <si>
    <t>KARLA PAULINA BARRIGAN HERNANDEZ</t>
  </si>
  <si>
    <t>RESERVA IBEROSTAR OUNTA MITA</t>
  </si>
  <si>
    <t>FATIMA TAVARES</t>
  </si>
  <si>
    <t>RESERVA WYNDHAM ALTRA RIVIERA NAYARIT</t>
  </si>
  <si>
    <t>5C3854</t>
  </si>
  <si>
    <t xml:space="preserve">RECORD  </t>
  </si>
  <si>
    <t>LG1MQT</t>
  </si>
  <si>
    <t>RODOLFO  TAVAREZ</t>
  </si>
  <si>
    <t>C8R4GN</t>
  </si>
  <si>
    <t>VT62TS</t>
  </si>
  <si>
    <t>JOSE FRANCISCO RUIZ GUZMAN</t>
  </si>
  <si>
    <t>HHVA844867</t>
  </si>
  <si>
    <t>NALLELY RUIZ GUZMAN</t>
  </si>
  <si>
    <t>HHVA844858</t>
  </si>
  <si>
    <t>cancelado 12 enero 2023</t>
  </si>
  <si>
    <t xml:space="preserve">MARTHA GARCIA </t>
  </si>
  <si>
    <t>RESERVA GRUPO TESORO IXTAPA</t>
  </si>
  <si>
    <t>IMACOP GDL// LILIANA</t>
  </si>
  <si>
    <t>OMAR GOMEZ VELAZQUEZ</t>
  </si>
  <si>
    <t xml:space="preserve">RESERVA PARADISE VILLAGE </t>
  </si>
  <si>
    <t>HHVA877500</t>
  </si>
  <si>
    <t>RESERVA CROWN PARADISE CLUB CANCUN</t>
  </si>
  <si>
    <t>HHVA829115</t>
  </si>
  <si>
    <t>HHVA829127</t>
  </si>
  <si>
    <t>MARISOL ALVIZO LEON</t>
  </si>
  <si>
    <t>HHVA829130</t>
  </si>
  <si>
    <t>ALICIA ALVIZO LEON</t>
  </si>
  <si>
    <t>HHVA829137</t>
  </si>
  <si>
    <t>CELINA LEON ASCENCIO</t>
  </si>
  <si>
    <t>HHVA829142</t>
  </si>
  <si>
    <t xml:space="preserve">JAVIER FRANCO ESCOTO </t>
  </si>
  <si>
    <t>HHVA829147</t>
  </si>
  <si>
    <t>GUILLERMO ZAVALA RAMIREZ</t>
  </si>
  <si>
    <t>HHVA851385</t>
  </si>
  <si>
    <t>DELIA LOZANO</t>
  </si>
  <si>
    <t xml:space="preserve">RESERVA GRUPO AZUL IXTAPA </t>
  </si>
  <si>
    <t>IMACOP AGS// ALONDRA</t>
  </si>
  <si>
    <t>IMELDA GARCIA</t>
  </si>
  <si>
    <t xml:space="preserve">RESERVA GRUPO CROWN PARADISE CLUB </t>
  </si>
  <si>
    <t>RECORD // CINTHYA</t>
  </si>
  <si>
    <t>cancelado 25 febrero 2023</t>
  </si>
  <si>
    <t xml:space="preserve">TANIA GUADALUPE ACEVES BERNAL </t>
  </si>
  <si>
    <t xml:space="preserve">RESERVA KRYSTAL GRAND VALLARTA </t>
  </si>
  <si>
    <t>HHVA820178</t>
  </si>
  <si>
    <t>RESERVA TRASLADOS CHARTER</t>
  </si>
  <si>
    <t>BRENDA RAMIREZ</t>
  </si>
  <si>
    <t>RESERVA GRUPO QUALTON IXTAPA</t>
  </si>
  <si>
    <t>IMACOP AGS// GUSTAVO</t>
  </si>
  <si>
    <t>VERONICA MONTIEL ESPONIZA</t>
  </si>
  <si>
    <t>RESERVA GRUPO FIESTA MEXICANA</t>
  </si>
  <si>
    <t>SELECCIÓN  // LIZ GZL</t>
  </si>
  <si>
    <t xml:space="preserve">ERICKA GUADALUPE AYALA BUSTOS </t>
  </si>
  <si>
    <t>RESERVA SUSNCAPE VALLARTA</t>
  </si>
  <si>
    <t>HHVA808995</t>
  </si>
  <si>
    <t xml:space="preserve">ADRIANA ALEJANDRO AYALA BUSTOS </t>
  </si>
  <si>
    <t>HHVA808997</t>
  </si>
  <si>
    <t xml:space="preserve">JUAN CARLOS AYALA BUSTOS </t>
  </si>
  <si>
    <t>HHAV809392</t>
  </si>
  <si>
    <t>VANESA PAOLA HERNANDEZ TORRES</t>
  </si>
  <si>
    <t>HHVA809394</t>
  </si>
  <si>
    <t>JAVIER JIMENEZ</t>
  </si>
  <si>
    <t>RESERVA GRUPO  TESORO IXTAPA</t>
  </si>
  <si>
    <t xml:space="preserve">RESERVA HOTEL KRYSTAL GRAND LOS CABOS </t>
  </si>
  <si>
    <t>HHVA820267</t>
  </si>
  <si>
    <t>RESERVA TRASLADOS LOS CABOS -KRYSTAL GRAND</t>
  </si>
  <si>
    <t>SANDRA RAMIREZ</t>
  </si>
  <si>
    <t>IMACOP GDL// MARIA</t>
  </si>
  <si>
    <t>ANDREA GUADALUPE SANCHEZ SEPULVEDA</t>
  </si>
  <si>
    <t>RESERVA XCARET MEXICO</t>
  </si>
  <si>
    <t>HHVA796675</t>
  </si>
  <si>
    <t>TERESA ARMINDA RAYGOZA</t>
  </si>
  <si>
    <t>FLAVIO RAYGOZA</t>
  </si>
  <si>
    <t>MAYRA ALEJANDRA DEL CARMEN</t>
  </si>
  <si>
    <t>YESSICA GARCIA</t>
  </si>
  <si>
    <t xml:space="preserve">ELEUTERIO RAYGOZA </t>
  </si>
  <si>
    <t>JUAN CARLOS RAIGOZA</t>
  </si>
  <si>
    <t>MARCOS VALERIO</t>
  </si>
  <si>
    <t>VERONICA RAYGOZA</t>
  </si>
  <si>
    <t>CARMEN RAYGOZA</t>
  </si>
  <si>
    <t>RESERVA RIU SANTA FE</t>
  </si>
  <si>
    <t>ALAN JAIR VALENZUELA CASTILLO</t>
  </si>
  <si>
    <t>RESERVA TRASLADOS LOS CABOS- RIU SANTA FE</t>
  </si>
  <si>
    <t>RESERVA TRASLADOS  LOS CABOS - ROYAL SOLARIS</t>
  </si>
  <si>
    <t>15//09/23</t>
  </si>
  <si>
    <t>RESERVA HOTEL BUENAVENTURA GRAND</t>
  </si>
  <si>
    <t>HHVA875826</t>
  </si>
  <si>
    <t>21463 y 21492</t>
  </si>
  <si>
    <t>YESENIA  TAVARES GARCIA</t>
  </si>
  <si>
    <t>VUELOS GDL-CANCUN</t>
  </si>
  <si>
    <t>T8RPFF</t>
  </si>
  <si>
    <t>MA. DE LOS ANGELES ALATORRE HERNANDEZ</t>
  </si>
  <si>
    <t>RESERVA RIU PALACE PACIFICO</t>
  </si>
  <si>
    <t>HHVA766699</t>
  </si>
  <si>
    <t>CLAUDIA AMEZOLA ALATORRE</t>
  </si>
  <si>
    <t>HHVA766702</t>
  </si>
  <si>
    <t>RICARDO AMEZOLA ALATORRE</t>
  </si>
  <si>
    <t>HHVA766706</t>
  </si>
  <si>
    <t>DANIEL AMEZOLA ALATORRE</t>
  </si>
  <si>
    <t>HHVA766709</t>
  </si>
  <si>
    <t>LETICIA ALATORRE AMEZOLA</t>
  </si>
  <si>
    <t>HHVA766720</t>
  </si>
  <si>
    <t>AVELINA AMEZOLA MENDEZ</t>
  </si>
  <si>
    <t>HHVA766723</t>
  </si>
  <si>
    <t>ADRIANA AMEZOLA ALATORRE</t>
  </si>
  <si>
    <t>HHVA766724</t>
  </si>
  <si>
    <t>ANDREA MELISSA  CAMARENA LEON//JOSE MARIA  CAMARENA LOZANO</t>
  </si>
  <si>
    <t>VUELOS GDL-ORD</t>
  </si>
  <si>
    <t>O892QV//Z75P6Y</t>
  </si>
  <si>
    <t>VUELOS SERGIO PARA 6 PERSONAS</t>
  </si>
  <si>
    <t>VUELOS GDL-HERMOSILLO</t>
  </si>
  <si>
    <t>D75GYF</t>
  </si>
  <si>
    <t>EDGAR OCTAVIO ALVIZO LOPEZ</t>
  </si>
  <si>
    <t>HHVA768020</t>
  </si>
  <si>
    <t>TRASLADO CHARTES</t>
  </si>
  <si>
    <t>MIGUEL  MENDOZA RIOS//ANTONIA  ANGEL BERMUDEZ</t>
  </si>
  <si>
    <t>VUELOS GDL-MDW</t>
  </si>
  <si>
    <t>KC6M5G</t>
  </si>
  <si>
    <t>CLAUDIA  JIMENEZ ESTRADA</t>
  </si>
  <si>
    <t>VUELOS GDL-LAX</t>
  </si>
  <si>
    <t>33 1046 4184</t>
  </si>
  <si>
    <t>SHWWUX</t>
  </si>
  <si>
    <t xml:space="preserve">DEPOSITO BANCOMER SIN RECIBO </t>
  </si>
  <si>
    <t>ELIOT IBARRA MIRAMONTES//ANGELICA YAILIN IBARRA MIRAMONTES</t>
  </si>
  <si>
    <t>VUELOS GDL-MSY</t>
  </si>
  <si>
    <t xml:space="preserve">WNRQNX </t>
  </si>
  <si>
    <t>EXPEDIA//AMERICAN</t>
  </si>
  <si>
    <t>DEPOSITO OXXO SIN RECIBO</t>
  </si>
  <si>
    <t>MA DEL REFUGIO  RAMIREZ HERNANDEZ//LIZBETH LETICIA  LOPEZ</t>
  </si>
  <si>
    <t>VUELOS GDL-TIJ/LAX-GDL</t>
  </si>
  <si>
    <t>EYWSKW//B7M5WV</t>
  </si>
  <si>
    <t>1VIVAAEROBUS//2VOLARIS</t>
  </si>
  <si>
    <t>BRAULIO FABRICIO  LEON SALCIDO//ERIK JOVIAN  LEON SALCIDO</t>
  </si>
  <si>
    <t>VUELOS GDL-CJS</t>
  </si>
  <si>
    <t>S9U5NC</t>
  </si>
  <si>
    <t>JUAN FERNANDO GUZMAN LEON</t>
  </si>
  <si>
    <t>VUELO GDL-SAT</t>
  </si>
  <si>
    <t>Y671XB</t>
  </si>
  <si>
    <t>MARTIN  MAGAÑA</t>
  </si>
  <si>
    <t>VUELO GDL-LAX</t>
  </si>
  <si>
    <t>JCEHNW</t>
  </si>
  <si>
    <t>MARIANA  TORRES GUTIERREZ</t>
  </si>
  <si>
    <t>VUELO SMF-GDL</t>
  </si>
  <si>
    <t>YEJV7Q</t>
  </si>
  <si>
    <t>ALICIA SERRATOS TORRES</t>
  </si>
  <si>
    <t>VUELO GDL-TORONTO</t>
  </si>
  <si>
    <t xml:space="preserve">QFQBOU </t>
  </si>
  <si>
    <t>EXPEDIA//AEROMEXICO</t>
  </si>
  <si>
    <t>SAMUEL OROZCO</t>
  </si>
  <si>
    <t>RESERVA HILTON VALLARTA</t>
  </si>
  <si>
    <t>HGDL769518</t>
  </si>
  <si>
    <t xml:space="preserve">LUIS ENRIQUE TORRES GARCIA </t>
  </si>
  <si>
    <t>NOS SALIO MAS BARATO QUE LA RESERVA ORIGINAL QUE HICE EN IMACOP $785</t>
  </si>
  <si>
    <t>OMAR NAVARRO GOMEZ</t>
  </si>
  <si>
    <t>MA. GUADALUPE CASTAÑEDA DIAZ</t>
  </si>
  <si>
    <t>ABRAHAM TORRES VALDIVIA</t>
  </si>
  <si>
    <t>NOS SALIO MAS BARATO QUE LA RESERVA ORIGINAL QUE HICE EN IMACOP $2,195</t>
  </si>
  <si>
    <t>JOSE DE JESUS  DE LA CERDA BUSTOS//RAMIRO  HERRERA RODRIGUEZ</t>
  </si>
  <si>
    <t>VUELO ORD-GDL</t>
  </si>
  <si>
    <t>LEUN7N</t>
  </si>
  <si>
    <t>MONICA  VELAZQUEZ AMEZOLA</t>
  </si>
  <si>
    <t>VUELO GDL-ORD</t>
  </si>
  <si>
    <t>Q72SGY/QDJ12D</t>
  </si>
  <si>
    <t>BELEN FATIMA  GONZALEZ SERRATOS</t>
  </si>
  <si>
    <t>VUELO GDL-LAS</t>
  </si>
  <si>
    <t>AD96ND</t>
  </si>
  <si>
    <t>LUPITA ELIZABETH  GARCIA</t>
  </si>
  <si>
    <t>VUELO GDL-FAT</t>
  </si>
  <si>
    <t>C8MC4P</t>
  </si>
  <si>
    <t>MARITZA GUADALUPE  OROZCO</t>
  </si>
  <si>
    <t>VUELO GDL-MDW</t>
  </si>
  <si>
    <t>W5FFXR</t>
  </si>
  <si>
    <t>MARIA GUADALUPE  TORRES GARCIA (Pancho)</t>
  </si>
  <si>
    <t>WH9P3E</t>
  </si>
  <si>
    <t>JOSE ALONSO TORRES GARCIA</t>
  </si>
  <si>
    <t>NOS SALIO MAS BARATO QUE LA RESERVA ORIGINAL QUE HICE EN IMACOP $255</t>
  </si>
  <si>
    <t>RAMON MARTINEZ FRANCO</t>
  </si>
  <si>
    <t>RESERVA CANTO DEL SOL</t>
  </si>
  <si>
    <t>HHVA771857</t>
  </si>
  <si>
    <t>NOS SALIO MAS BARATO QUE LA RESERVA ORIGINAL QUE HICE EN IMACOP $1775</t>
  </si>
  <si>
    <t>HEATHER LOPEZ</t>
  </si>
  <si>
    <t>S82ISI</t>
  </si>
  <si>
    <t>LUCINA TORRES CURIEL</t>
  </si>
  <si>
    <t>VUELO CDMX-GDL</t>
  </si>
  <si>
    <t>A6QN3C</t>
  </si>
  <si>
    <t>MARIA DEL CARMEN  ROJO MARES</t>
  </si>
  <si>
    <t>VUELOS GDL-MID</t>
  </si>
  <si>
    <t>R5YPQB</t>
  </si>
  <si>
    <t>DANIEL  HERNANDEZ RIVERA//JUDITH ESMIRNA  ROBLEDO OROZCO</t>
  </si>
  <si>
    <t>VUELOS GDL-DFW</t>
  </si>
  <si>
    <t>BCUBQT/GCYTPW</t>
  </si>
  <si>
    <t>MARTHA  ARELLANO</t>
  </si>
  <si>
    <t>UE319D</t>
  </si>
  <si>
    <t>MA REFUGIO PEREZ CORDERO</t>
  </si>
  <si>
    <t>RESERVA SUNSCAPE PUERTO VALLARTA</t>
  </si>
  <si>
    <t>HGDL772330</t>
  </si>
  <si>
    <t>MARGARITA  GUTIERREZ DE ZUÑIGA</t>
  </si>
  <si>
    <t>VUELOS GDL-ONTARIO</t>
  </si>
  <si>
    <t>U9GN7C</t>
  </si>
  <si>
    <t>MA ANGELICA  GUTIERREZ DE SANCHEZ</t>
  </si>
  <si>
    <t>VUELOS GDL-TIJ</t>
  </si>
  <si>
    <t>R8PI4S</t>
  </si>
  <si>
    <t>FROYLAN DE LA PAZ</t>
  </si>
  <si>
    <t>RESERVA DREAMS BAHIA MITA</t>
  </si>
  <si>
    <t>HHVA769083</t>
  </si>
  <si>
    <t>REYNA MARIA  RODRIGUEZ MARQUEZ</t>
  </si>
  <si>
    <t>VUELOS SAT-GDL</t>
  </si>
  <si>
    <t>YIYZ7U</t>
  </si>
  <si>
    <t>CARLOS ADOLFO OROZCO GAZCON</t>
  </si>
  <si>
    <t>HHVA774832</t>
  </si>
  <si>
    <t>21870 y 21871</t>
  </si>
  <si>
    <t>JOSE RODRIGO  HERNANDEZ GONZALEZ</t>
  </si>
  <si>
    <t>VUELOS GDL-HOUSTON</t>
  </si>
  <si>
    <t>D9H9MP</t>
  </si>
  <si>
    <t>JESSI JONH  LOPEZ</t>
  </si>
  <si>
    <t>VUELO GDL-DALLAS</t>
  </si>
  <si>
    <t>C6Z5TL</t>
  </si>
  <si>
    <t>ROSARIO RODRIGUEZ VEGA</t>
  </si>
  <si>
    <t>RESERVA DECAMERON LA MARINA</t>
  </si>
  <si>
    <t>HHVA776031</t>
  </si>
  <si>
    <t>ALEJANDRA VIVIANA  BARAJAS ALVAREZ</t>
  </si>
  <si>
    <t>VUELOS GDL-DALLAS</t>
  </si>
  <si>
    <t>OY48KP</t>
  </si>
  <si>
    <t>EVANGELINA  MONTAÑEZ LIMON</t>
  </si>
  <si>
    <t>D79I3F</t>
  </si>
  <si>
    <t>MIRIAM JAQUELINE  CAMARENA GONZALEZ</t>
  </si>
  <si>
    <t>VUELOS GDL-LAX//LAS-GDL</t>
  </si>
  <si>
    <t>D7VDMF//LCDFFW</t>
  </si>
  <si>
    <t>GUADALUPE JAHAIRA  MARTINEZ GUTIERREZ</t>
  </si>
  <si>
    <t>VUELOS GDL-TUXTLA</t>
  </si>
  <si>
    <t>PIJG2R</t>
  </si>
  <si>
    <t>VUELO GDL-MISSURI</t>
  </si>
  <si>
    <t>SHLCCJ</t>
  </si>
  <si>
    <t>CHRISTOPHER  GARCIA</t>
  </si>
  <si>
    <t>MCJGJW</t>
  </si>
  <si>
    <t>VANESSA SARAHI LOPEZ RAMIREZ</t>
  </si>
  <si>
    <t>VUELO FICTICIO</t>
  </si>
  <si>
    <t>CLAUDIA LOZANO MENDES</t>
  </si>
  <si>
    <t>VUELO GDL-TIJ</t>
  </si>
  <si>
    <t>A4RYTL</t>
  </si>
  <si>
    <t>Maria Dolores  Velazquez Hernandez</t>
  </si>
  <si>
    <t>VUELO GDL-CUN</t>
  </si>
  <si>
    <t>YCB8FZ</t>
  </si>
  <si>
    <t>JAZMIN DEL CARMEN  SERVIN HERNANDEZ</t>
  </si>
  <si>
    <t>VUELO LEON-CUN</t>
  </si>
  <si>
    <t>SYV6XP</t>
  </si>
  <si>
    <t>AHGU2R</t>
  </si>
  <si>
    <t>MANUEL  JIMENEZ ESTRADA</t>
  </si>
  <si>
    <t>EYCV6Z</t>
  </si>
  <si>
    <t>NORBERTO  GARCIA GUZMAN</t>
  </si>
  <si>
    <t>VUELO FAT-GDL</t>
  </si>
  <si>
    <t>H7N38F</t>
  </si>
  <si>
    <t>TERESA DE JESUS  ENRIQUEZ VILLAGRANA</t>
  </si>
  <si>
    <t>VUELO MDW-GDL</t>
  </si>
  <si>
    <t>QDR8JT</t>
  </si>
  <si>
    <t>AGUSTIN  MORALES MORALES</t>
  </si>
  <si>
    <t>J9P9VC</t>
  </si>
  <si>
    <t>EDGAR AMEZOLA HERNANDEZ</t>
  </si>
  <si>
    <t>RESERVA KRYSTAL GRAND VALLARTA</t>
  </si>
  <si>
    <t>HGDL775068</t>
  </si>
  <si>
    <t>NOS SALIO $1,000.00 MAS BARATA</t>
  </si>
  <si>
    <t>JOSE MANUEL AMEZOLA HERNANDEZ</t>
  </si>
  <si>
    <t>HGDL775066</t>
  </si>
  <si>
    <t>LETICIA MENDEZ GUZMAN</t>
  </si>
  <si>
    <t>HGDL775064</t>
  </si>
  <si>
    <t>GERARDO MENDEZ DONOZA</t>
  </si>
  <si>
    <t>HGDL775099</t>
  </si>
  <si>
    <t>AUMENTO, LA AGENCIA SOLO GANO $142.89</t>
  </si>
  <si>
    <t>GERARDO GUADALUPE MENDEZ GUZMAN</t>
  </si>
  <si>
    <t>HGDL775098</t>
  </si>
  <si>
    <t>MANUEL AMEZOLA HERNANDEZ</t>
  </si>
  <si>
    <t>HGDL775103</t>
  </si>
  <si>
    <t>MARIA GUADALUPE AMEZOLA HERNANDEZ</t>
  </si>
  <si>
    <t>HGDL775106</t>
  </si>
  <si>
    <t>22050 Y 22051</t>
  </si>
  <si>
    <t>MARLEN BERENICE  DE LA RIVA</t>
  </si>
  <si>
    <t>EE8Z3N</t>
  </si>
  <si>
    <t>MARICELA GARCIA RIOS</t>
  </si>
  <si>
    <t>RESERVA CROWN PARADISE CLUB VALLARTA</t>
  </si>
  <si>
    <t>HHVA776624</t>
  </si>
  <si>
    <t>CAROLINA JAZMIN  LOPEZ PLASCENCIA</t>
  </si>
  <si>
    <t>VUELO GDL-SJD</t>
  </si>
  <si>
    <t>LHTFVH</t>
  </si>
  <si>
    <t>ENEIDA  LOPEZ DE PEREZ</t>
  </si>
  <si>
    <t>VUELO TIJ-CUL</t>
  </si>
  <si>
    <t>LDTHFD</t>
  </si>
  <si>
    <t>SALVADOR  GARCIA GARCIA</t>
  </si>
  <si>
    <t>VUELO TIJ-GDL</t>
  </si>
  <si>
    <t>BGP55U</t>
  </si>
  <si>
    <t>EVELYN  RORIGUEZ GUZMAN</t>
  </si>
  <si>
    <t>VUELO ONT-GDL</t>
  </si>
  <si>
    <t>D689PL</t>
  </si>
  <si>
    <t>ALEJANDRO  LOPEZ</t>
  </si>
  <si>
    <t>JIGIJE</t>
  </si>
  <si>
    <t>21577 Y 22092</t>
  </si>
  <si>
    <t>IRMA OLIVARES MACIAS</t>
  </si>
  <si>
    <t>HHVA768409</t>
  </si>
  <si>
    <t>TRASLADO RESERVA CROWN PARADISE CLUB</t>
  </si>
  <si>
    <t>JUAN RAMON COSS Y LEON LOPEZ</t>
  </si>
  <si>
    <t>HHVA777834</t>
  </si>
  <si>
    <t>OSMAR ALDO  LOPEZ RIZO</t>
  </si>
  <si>
    <t>VUELOS CJS-GDL</t>
  </si>
  <si>
    <t>J9NJYC</t>
  </si>
  <si>
    <t>MONICA  LEON OÑATE</t>
  </si>
  <si>
    <t>ZC7B2J</t>
  </si>
  <si>
    <t>DIEGO OROZCO  GONZALEZ</t>
  </si>
  <si>
    <t>VUELOS GDL-MTY</t>
  </si>
  <si>
    <t>VJ5Q8R</t>
  </si>
  <si>
    <t>21522, 22102, 22103, 22105, 22124</t>
  </si>
  <si>
    <t>JOSE LUIS ROMO RIZO</t>
  </si>
  <si>
    <t>HHVA767939</t>
  </si>
  <si>
    <t>LUIS JESUS ROMO RIZO</t>
  </si>
  <si>
    <t xml:space="preserve">RESERVA RIU VALLARTA </t>
  </si>
  <si>
    <t>HHVA767937</t>
  </si>
  <si>
    <t>MARIA CELINA  LAIS VALENCIA</t>
  </si>
  <si>
    <t xml:space="preserve">VUELOS VERACRUZ-GDL </t>
  </si>
  <si>
    <t>D9IGJP</t>
  </si>
  <si>
    <t>JOSE LUIS  GOMEZ LEON</t>
  </si>
  <si>
    <t>VUELOS ORD-GDL</t>
  </si>
  <si>
    <t>NB4LJM</t>
  </si>
  <si>
    <t>VHVSSX</t>
  </si>
  <si>
    <t>CRISTINA GUADALUPE  ORTEGA RIVAS</t>
  </si>
  <si>
    <t>L7FZ6V</t>
  </si>
  <si>
    <t>ROSA MARIA  LEON CANCHOLA</t>
  </si>
  <si>
    <t>O6S3UL</t>
  </si>
  <si>
    <t>OLIVIA MICHEL  RANGEL</t>
  </si>
  <si>
    <t>A8NE9P</t>
  </si>
  <si>
    <t>Leonardo Jafet  Lombrera perez</t>
  </si>
  <si>
    <t>VUELOS CDMX-HERMOSILLO</t>
  </si>
  <si>
    <t>TSJWAH</t>
  </si>
  <si>
    <t>GERARDO HERRERA RIVAS</t>
  </si>
  <si>
    <t>HHVA779789</t>
  </si>
  <si>
    <t>JOSE MANUEL  HERNANDEZ DAVILA</t>
  </si>
  <si>
    <t>F7359V</t>
  </si>
  <si>
    <t>MARIA DE JESUS  RIZO VAZQUEZ</t>
  </si>
  <si>
    <t>SYC2HP</t>
  </si>
  <si>
    <t>22203, 22207</t>
  </si>
  <si>
    <t>MARTHA ELENA  MACIAS HERNANDEZ</t>
  </si>
  <si>
    <t>QISK9R</t>
  </si>
  <si>
    <t>MONICA  HERNANDEZ RIVERA</t>
  </si>
  <si>
    <t>VUELOS  GDL-TIJ</t>
  </si>
  <si>
    <t>O8NEGF</t>
  </si>
  <si>
    <t>SINTHYA JANET GUZMAN MARTINEZ</t>
  </si>
  <si>
    <t>HHVA774915</t>
  </si>
  <si>
    <t>ENTRE LAS DOS RESERVAS NOS SALIO MAS BARATO 930 PESOS</t>
  </si>
  <si>
    <t>JANET MARTINEZ ALDANA</t>
  </si>
  <si>
    <t>HHVA774918</t>
  </si>
  <si>
    <t>JORGE TORRES HERNANDEZ</t>
  </si>
  <si>
    <t>RESERVA RIU JALISCO</t>
  </si>
  <si>
    <t>HHVA769025</t>
  </si>
  <si>
    <t>TRASLADO RESERVA RIU JALISCO</t>
  </si>
  <si>
    <t>LESLIE JESELY  ENRIQUEZ HERRERA</t>
  </si>
  <si>
    <t>VUELO GDL-OAK</t>
  </si>
  <si>
    <t>F6C4VL</t>
  </si>
  <si>
    <t>JUAN JOSE  GUZMAN SANCHEZ</t>
  </si>
  <si>
    <t>VUELO GDL-SACRAMENTO</t>
  </si>
  <si>
    <t>ZFGGHQ</t>
  </si>
  <si>
    <t>REYNA GUADALUPE  MENDOZA</t>
  </si>
  <si>
    <t>VUELO OAK-GDL</t>
  </si>
  <si>
    <t>FEYNQQ</t>
  </si>
  <si>
    <t>LORENA  ARIAS</t>
  </si>
  <si>
    <t>P9N18P</t>
  </si>
  <si>
    <t>NORMA FABIOLA  HERRERA RODRIGUEZ</t>
  </si>
  <si>
    <t>VUELOS MDW-GDL</t>
  </si>
  <si>
    <t>X6H62L</t>
  </si>
  <si>
    <t>MARIA GUADALUPE  TAVARES VITAL</t>
  </si>
  <si>
    <t>VUELOS MEXICALI-CDMX</t>
  </si>
  <si>
    <t>MCCRWJ</t>
  </si>
  <si>
    <t>21524, 22233</t>
  </si>
  <si>
    <t>MARIO CESAR HURTADO ANGEL</t>
  </si>
  <si>
    <t>RESERVA ROYAL DECAMERON</t>
  </si>
  <si>
    <t>HHVA767525</t>
  </si>
  <si>
    <t>JOSE JULIAN QUIROZ RODRIGUEZ</t>
  </si>
  <si>
    <t>HHVA767528</t>
  </si>
  <si>
    <t>GUSTAVO  TORRES GARCIA</t>
  </si>
  <si>
    <t>VUELO GDL-CDJ</t>
  </si>
  <si>
    <t>BE7T3N</t>
  </si>
  <si>
    <t>XCU6NJ</t>
  </si>
  <si>
    <t>22266 y 22269</t>
  </si>
  <si>
    <t>GLORIA CATALINA LOZANO MAGANA</t>
  </si>
  <si>
    <t>VUELOS GDL-MEX</t>
  </si>
  <si>
    <t>GBFKJG</t>
  </si>
  <si>
    <t>MARIA P  CONTRERAS</t>
  </si>
  <si>
    <t>VUELOS TIJ-GDL</t>
  </si>
  <si>
    <t>SG9B2K</t>
  </si>
  <si>
    <t>DANIEL DE JESUS  MENDOZA PAEZ</t>
  </si>
  <si>
    <t>VUELOS OAK-GDL</t>
  </si>
  <si>
    <t>E66IPL</t>
  </si>
  <si>
    <t>OSCAR  MARTINEZ MORALES</t>
  </si>
  <si>
    <t>J9QYKP</t>
  </si>
  <si>
    <t>ALICE  LEON</t>
  </si>
  <si>
    <t>VUELOS HOUSTON-MEX</t>
  </si>
  <si>
    <t>VJY7GE</t>
  </si>
  <si>
    <t>LUIS MIGUEL  MORALES GARCIA</t>
  </si>
  <si>
    <t>RDRYYG</t>
  </si>
  <si>
    <t>CLAUDIA JANETH  RUIZ GONZALEZ</t>
  </si>
  <si>
    <t>VUELOS SJC-GDL</t>
  </si>
  <si>
    <t>ABHNQJ</t>
  </si>
  <si>
    <t>ANISABEL SERRANO GONZALEZ (PATO)</t>
  </si>
  <si>
    <t>ENTRADAS XCARET PLUS</t>
  </si>
  <si>
    <t>AO129919</t>
  </si>
  <si>
    <t>PROMOSER</t>
  </si>
  <si>
    <t>RAQUEL  LOPEZ TORRES</t>
  </si>
  <si>
    <t>NE869Q</t>
  </si>
  <si>
    <t>RAMON  LOPEZ TORRES</t>
  </si>
  <si>
    <t>MJE9PR</t>
  </si>
  <si>
    <t>22333 y 22334</t>
  </si>
  <si>
    <t>HECTOR JONATHAN  LOPEZ BARAJAS</t>
  </si>
  <si>
    <t>VUELOS GDL-SAT</t>
  </si>
  <si>
    <t>BCQBJT</t>
  </si>
  <si>
    <t>V556YE</t>
  </si>
  <si>
    <t>GRISELDA  GARCIA LOPEZ</t>
  </si>
  <si>
    <t>VUELOS GDL-SJC</t>
  </si>
  <si>
    <t>KIZF5E</t>
  </si>
  <si>
    <t>LUZ GABRIELA  URRUTIA SANCHEZ</t>
  </si>
  <si>
    <t>VELYFD</t>
  </si>
  <si>
    <t>JIMENA  BARBA</t>
  </si>
  <si>
    <t>AI2RQE</t>
  </si>
  <si>
    <t>VUELOS MDW-LEON</t>
  </si>
  <si>
    <t>R7DKHY</t>
  </si>
  <si>
    <t>LUIS CARLOS  SALCEDO JIMENEZ</t>
  </si>
  <si>
    <t>VUELOS FAT-GDL</t>
  </si>
  <si>
    <t>M9HQ8P</t>
  </si>
  <si>
    <t>VICTORIA ELIZABETH  ARREDONDO VAZQUEZ</t>
  </si>
  <si>
    <t>NF1NWQ</t>
  </si>
  <si>
    <t>GISELLE ALEJANDRA GALVEZ RUIZ</t>
  </si>
  <si>
    <t>RESERVA FIESTA AMERICANA</t>
  </si>
  <si>
    <t>HHVA783346</t>
  </si>
  <si>
    <t>BEATRIZ RAMONA CARATACHEA VALADEZ</t>
  </si>
  <si>
    <t>HHVA783353</t>
  </si>
  <si>
    <t>CYNTHIA JAIME VALADEZ</t>
  </si>
  <si>
    <t>HHVA784355</t>
  </si>
  <si>
    <t>CARMEN ALEXANDRA  HERNANDEZ GARCIA</t>
  </si>
  <si>
    <t>VUELOS GDL-ORLANDO</t>
  </si>
  <si>
    <t>Y8ULJV</t>
  </si>
  <si>
    <t>MARICARMEN SANCHEZ</t>
  </si>
  <si>
    <t>CARGO DE EMISION</t>
  </si>
  <si>
    <t xml:space="preserve">NMS4HH </t>
  </si>
  <si>
    <t>EXPIDIA</t>
  </si>
  <si>
    <t>22404,22408, 22376, 22371, 22009, 22405</t>
  </si>
  <si>
    <t>MARTIN SERVIN MARES</t>
  </si>
  <si>
    <t>RESERVA PUEBLO BONITO MAZATLAN</t>
  </si>
  <si>
    <t>HGDL773304</t>
  </si>
  <si>
    <t>ROGELIO GARCIA MARTINEZ</t>
  </si>
  <si>
    <t>HDGL773311</t>
  </si>
  <si>
    <t>GRISELDA GARCIA MARTINEZ</t>
  </si>
  <si>
    <t>HGDL773312</t>
  </si>
  <si>
    <t>EDITH GARCIA GUTIERREZ</t>
  </si>
  <si>
    <t>HGDL773317</t>
  </si>
  <si>
    <t>ROSA AMPARO GARCIA</t>
  </si>
  <si>
    <t>HGDL773318</t>
  </si>
  <si>
    <t>ROCIO GUADALUPE GARCIA MARTINEZ</t>
  </si>
  <si>
    <t>HGDL776018</t>
  </si>
  <si>
    <t>22311, 22314, 22325, 22415, 22416, 22421, 22429, 22438, 22447, 22448</t>
  </si>
  <si>
    <t>JUDITH LUCERO LEDESMA GUZMAN</t>
  </si>
  <si>
    <t>RESERVA RIU PALACE CABO SAN LUCAS</t>
  </si>
  <si>
    <t>HHVA780834</t>
  </si>
  <si>
    <t>TRASLADOS RIU PALACE CABO SAN LUCAS</t>
  </si>
  <si>
    <t>Alice  Leon</t>
  </si>
  <si>
    <t>SKANAB</t>
  </si>
  <si>
    <t>MARTHA ARACELI  ARELLANO OROZCO</t>
  </si>
  <si>
    <t>NDFJ3D</t>
  </si>
  <si>
    <t>GUSTAVO  VALADEZ LOPEZ</t>
  </si>
  <si>
    <t>VBVZQM</t>
  </si>
  <si>
    <t>SILVIA GUADALUPE  RAMIREZ BOITES</t>
  </si>
  <si>
    <t>O81RYI</t>
  </si>
  <si>
    <t>MARIA TRINIDAD  RODRIGUEZ VAZQUEZ</t>
  </si>
  <si>
    <t>F9CVPC</t>
  </si>
  <si>
    <t>ANDREA  GUTIERREZ SALCIDO</t>
  </si>
  <si>
    <t>IHGTKH</t>
  </si>
  <si>
    <t>SAMUEL DE LA CERDA VAZQUEZ</t>
  </si>
  <si>
    <t>JBTFNG</t>
  </si>
  <si>
    <t>DORA JUDITH GONZALEZ LOZANO</t>
  </si>
  <si>
    <t>ALEJANDRA  PADILLA GONZALEZ</t>
  </si>
  <si>
    <t>R8U28S</t>
  </si>
  <si>
    <t>GUADALUPE  ROMO LOPEZ</t>
  </si>
  <si>
    <t>VUELOS SACRAMENTO-GDL</t>
  </si>
  <si>
    <t>ZBQTFM</t>
  </si>
  <si>
    <t>JESSI JOHN  LOPEZ</t>
  </si>
  <si>
    <t>H6I8RL</t>
  </si>
  <si>
    <t>ALEJANDRO  VELAZQUEZ DOMINGUEZ</t>
  </si>
  <si>
    <t>VUELOS LAX-GDL</t>
  </si>
  <si>
    <t>Z9YCGF</t>
  </si>
  <si>
    <t>HUMBERTO HERNANDEZ SERVIN</t>
  </si>
  <si>
    <t>RESERVA HOTEL DE LA PAZ GUANAJUATO</t>
  </si>
  <si>
    <t>58A3KK</t>
  </si>
  <si>
    <t>22211 y 22345</t>
  </si>
  <si>
    <t>JORGE LUIS CORONADO BUSTOS</t>
  </si>
  <si>
    <t>HHVA779444</t>
  </si>
  <si>
    <t>MINERVA NAVARRO RIZO</t>
  </si>
  <si>
    <t>HHVA767508</t>
  </si>
  <si>
    <t>DULCE MAGALI MARTINEZ NAVARRO</t>
  </si>
  <si>
    <t>HHVA767509</t>
  </si>
  <si>
    <t>JOSUE NAVARRO ALVAREZ</t>
  </si>
  <si>
    <t>HHVA767513</t>
  </si>
  <si>
    <t>22231 y 22569</t>
  </si>
  <si>
    <t>ROCIO IVET HERNANDEZ GARCIA</t>
  </si>
  <si>
    <t>HHVA776872</t>
  </si>
  <si>
    <t>FILEMON LOPEZ SALAZAR</t>
  </si>
  <si>
    <t>RESERVA CAPITAL O POSADA DE LA TIA OAXACA</t>
  </si>
  <si>
    <t>WVAO2764</t>
  </si>
  <si>
    <t>DIRECTO HOTEL</t>
  </si>
  <si>
    <t>JACOB MUÑOZ GOMEZ</t>
  </si>
  <si>
    <t>HHVA783094</t>
  </si>
  <si>
    <t>ANGEL JOEL  JUAREZ</t>
  </si>
  <si>
    <t>VUELOS PHX-GDL</t>
  </si>
  <si>
    <t>WB5Z3M</t>
  </si>
  <si>
    <t>ALVARO  HERNANDEZ</t>
  </si>
  <si>
    <t>OH6CXK</t>
  </si>
  <si>
    <t>J JESUS  SEVILLA RAMIREZ</t>
  </si>
  <si>
    <t>VUELOS GDL-MEXICALI</t>
  </si>
  <si>
    <t>RDIJ6T</t>
  </si>
  <si>
    <t>LUIS FERNANDO DIAZ CANO</t>
  </si>
  <si>
    <t>VUELOS GDL-CD JUAREZ</t>
  </si>
  <si>
    <t>PF6EWN</t>
  </si>
  <si>
    <t>JOSE GUADALUPE  POPOCA HERNANDEZ</t>
  </si>
  <si>
    <t>VUELOS GDL-TOLUCA</t>
  </si>
  <si>
    <t>UJ7L6R</t>
  </si>
  <si>
    <t>JUAN LUIS  ENRIQUEZ VASQUEZ</t>
  </si>
  <si>
    <t>LBFIGZ</t>
  </si>
  <si>
    <t>22549 y 22550</t>
  </si>
  <si>
    <t>SAUL OROZCO OROZCO</t>
  </si>
  <si>
    <t>HHVA774396</t>
  </si>
  <si>
    <t>RAMIRO HERRERA RIVAS</t>
  </si>
  <si>
    <t>HHVA769748</t>
  </si>
  <si>
    <t>SALVADOR HERNANDEZ GONZALEZ</t>
  </si>
  <si>
    <t>HHVA769736</t>
  </si>
  <si>
    <t>LUIS ENRIQUE HERRERA RODRIGUEZ</t>
  </si>
  <si>
    <t>HHVA769734</t>
  </si>
  <si>
    <t>EDGAR JONATHAN  ENRIQUEZ</t>
  </si>
  <si>
    <t>VUELOS GDL-OAK</t>
  </si>
  <si>
    <t>YJFS8R</t>
  </si>
  <si>
    <t>ULISES QUIROZ LOPEZ</t>
  </si>
  <si>
    <t>VUELOS REYNOSA-GDL</t>
  </si>
  <si>
    <t>O8U7FP</t>
  </si>
  <si>
    <t>22444 y 22599</t>
  </si>
  <si>
    <t>RESERVA SECRETS BAHIA MITA</t>
  </si>
  <si>
    <t>HHVA783129</t>
  </si>
  <si>
    <t>EDMUNDO  TORRES NERI JR</t>
  </si>
  <si>
    <t>MF3SXQ</t>
  </si>
  <si>
    <t>MARIA FERNANDA  LEON GUZMAN</t>
  </si>
  <si>
    <t>QHPMRX</t>
  </si>
  <si>
    <t>MAXIMILIANO  GARCIA PRADO</t>
  </si>
  <si>
    <t>DI6MJE</t>
  </si>
  <si>
    <t>ALEJANDRO  DOMINGUEZ DE LA TORRE//MARTHA ALICIA  GUTIERREZ SANCHEZ</t>
  </si>
  <si>
    <t>H7I2UI//D5YY2L</t>
  </si>
  <si>
    <t>ANTONIO  ARELLANO LOPEZ</t>
  </si>
  <si>
    <t>E81JHF</t>
  </si>
  <si>
    <t>ALONDRA  GUTIERREZ ORNELAS</t>
  </si>
  <si>
    <t>DI6RJE</t>
  </si>
  <si>
    <t>MARIA IRENE  MARTINEZ GONZALEZ</t>
  </si>
  <si>
    <t>VUELOS BJX-SMF</t>
  </si>
  <si>
    <t>H8BRKF</t>
  </si>
  <si>
    <t>ORALIA  LOPEZ CAMARENA</t>
  </si>
  <si>
    <t>VUELOS GDL-SMF</t>
  </si>
  <si>
    <t>JGS4FX</t>
  </si>
  <si>
    <t>VUELOS SMD-GDL</t>
  </si>
  <si>
    <t>S5YEWR</t>
  </si>
  <si>
    <t>MAURICIO  GONZALEZ GAZCON</t>
  </si>
  <si>
    <t>ND8ZGG</t>
  </si>
  <si>
    <t>JULIA  GASCON DE GONZALEZ</t>
  </si>
  <si>
    <t>AD89FD</t>
  </si>
  <si>
    <t>FLOR BERTHA  VILLARRUEL TABARES</t>
  </si>
  <si>
    <t>WBZYNP</t>
  </si>
  <si>
    <t xml:space="preserve">JOSE DE JESUS CONCHAS </t>
  </si>
  <si>
    <t>RESERVA IBEROSTAR</t>
  </si>
  <si>
    <t>HHVA781662</t>
  </si>
  <si>
    <t>JUDITH LUCERO  LEDESMA GUZMAN</t>
  </si>
  <si>
    <t>OCNNJW</t>
  </si>
  <si>
    <t>ANA BELEN  LEDESMA GUZMAN</t>
  </si>
  <si>
    <t>A748XI</t>
  </si>
  <si>
    <t>ROSA GUADALUPE  HERNANDEZ LOZANO</t>
  </si>
  <si>
    <t>K7P8RI</t>
  </si>
  <si>
    <t>ALFONSO  HERNANDEZ JIMENEZ</t>
  </si>
  <si>
    <t>VHKDRK</t>
  </si>
  <si>
    <t>ALONSO  ZAVALA MARTINEZ</t>
  </si>
  <si>
    <t>UF2T4A</t>
  </si>
  <si>
    <t>VUELOS GDL-PHX</t>
  </si>
  <si>
    <t>XHF7KK</t>
  </si>
  <si>
    <t>KYQU2Z</t>
  </si>
  <si>
    <t>MARIA CELIA  MUÑOZ PEREZ</t>
  </si>
  <si>
    <t>H7MK4F</t>
  </si>
  <si>
    <t>MARIA LUCIA  LEON OÑATE</t>
  </si>
  <si>
    <t>J9TBKP</t>
  </si>
  <si>
    <t>SAIDA YOMEIDA  GARCIA FLORES</t>
  </si>
  <si>
    <t>VUELOS GDL-SJD</t>
  </si>
  <si>
    <t>AGV87U</t>
  </si>
  <si>
    <t>22778, 22013, 22440</t>
  </si>
  <si>
    <t>HILDA CAMARENA GARNICA</t>
  </si>
  <si>
    <t>HHVA776011</t>
  </si>
  <si>
    <t>CARLOS DANIEL HERNANDEZ GONZALEZ.</t>
  </si>
  <si>
    <t>HHVA778547</t>
  </si>
  <si>
    <t>FABIOLA HERNANDEZ GONZALEZ</t>
  </si>
  <si>
    <t>HHVA778552</t>
  </si>
  <si>
    <t>CLAUDIA HERNANDEZ GONZALEZ.</t>
  </si>
  <si>
    <t>HHVA778562</t>
  </si>
  <si>
    <t>ADALBERTO  GARCIA POPOCA</t>
  </si>
  <si>
    <t>M6345L</t>
  </si>
  <si>
    <t>RICARDO  CONTRERAS LOPEZ</t>
  </si>
  <si>
    <t>PFT9WA</t>
  </si>
  <si>
    <t>ANA KARINA FONSECA LOPEZ</t>
  </si>
  <si>
    <t>VUELOS GDL-TORONTO</t>
  </si>
  <si>
    <t xml:space="preserve">QUIUZM </t>
  </si>
  <si>
    <t>ANA ROSA  HUERTA ALVAREZ</t>
  </si>
  <si>
    <t>ID9NHT</t>
  </si>
  <si>
    <t>21493, 22652 y 22443</t>
  </si>
  <si>
    <t>RESERVA BARCELO MAYA BEACH</t>
  </si>
  <si>
    <t> HHVA766586</t>
  </si>
  <si>
    <t>TRASLADO BARCELO MAYA BEACH</t>
  </si>
  <si>
    <t>MARIA IRMA RIVERA MARMOLEJO</t>
  </si>
  <si>
    <t>TRASLADO ISRAEL</t>
  </si>
  <si>
    <t>ELENO  HERMOSILLO MUÑOZ</t>
  </si>
  <si>
    <t>VUELOS GDL-FAT</t>
  </si>
  <si>
    <t>EYRJRM</t>
  </si>
  <si>
    <t>LITZY MARIANA  HERMOSILLO GARCIA</t>
  </si>
  <si>
    <t>HESGHA</t>
  </si>
  <si>
    <t>JOSE DE JESUS  LOPEZ AYALA</t>
  </si>
  <si>
    <t>LIKN7R</t>
  </si>
  <si>
    <t>LUIS ALBERTO  RAMOS RODRIGUEZ</t>
  </si>
  <si>
    <t>FD5V2D</t>
  </si>
  <si>
    <t>AYLIN POLEETE NAVARRO CASTELLANOS</t>
  </si>
  <si>
    <t>RESERVA GRAND PARK ROYAL COZUMEL</t>
  </si>
  <si>
    <t>HHVA791492//HHVA792776</t>
  </si>
  <si>
    <t>SALIO 1,455.00 MAS BARATA</t>
  </si>
  <si>
    <t>AO131899</t>
  </si>
  <si>
    <t>AYLIN POLEETE  NAVARRO CASTELLANOS</t>
  </si>
  <si>
    <t>VJ756R</t>
  </si>
  <si>
    <t>22455 y 22563</t>
  </si>
  <si>
    <t>LUCIA MARTINEZ</t>
  </si>
  <si>
    <t>RESERVA SUNSCAPE IXTAPA</t>
  </si>
  <si>
    <t>HHVA786044</t>
  </si>
  <si>
    <t>GEORGINA ELIDETH  GARCIA GARCIA</t>
  </si>
  <si>
    <t>C8JRKS</t>
  </si>
  <si>
    <t>V</t>
  </si>
  <si>
    <t>22623 y 22017</t>
  </si>
  <si>
    <t>RESERVA CITY PLUS GUADALAJARA EXPO</t>
  </si>
  <si>
    <t>JOSE GUADALUPE QUIROZ LOPEZ</t>
  </si>
  <si>
    <t>BLVSID</t>
  </si>
  <si>
    <t>VUELOS ORD-TAMPA</t>
  </si>
  <si>
    <t xml:space="preserve">HW1YL7 </t>
  </si>
  <si>
    <t>EXPEDIA//UNITED</t>
  </si>
  <si>
    <t>VUELOS TAMPA-GDL</t>
  </si>
  <si>
    <t>I7GTME//I76E57</t>
  </si>
  <si>
    <t>UNITED</t>
  </si>
  <si>
    <t>MIGUEL ANGEL  ARRIAGA</t>
  </si>
  <si>
    <t>RCZKJZ</t>
  </si>
  <si>
    <t>JESUS  GUTIERREZ</t>
  </si>
  <si>
    <t>QBTMWM</t>
  </si>
  <si>
    <t>ERIKA LIZETTE  GUTIERREZ</t>
  </si>
  <si>
    <t>VUELOS CLT-GDL</t>
  </si>
  <si>
    <t>LBIPXM</t>
  </si>
  <si>
    <t>DOLORES LUCERITO  PLASCENCIA TORRES</t>
  </si>
  <si>
    <t>V5LNXR</t>
  </si>
  <si>
    <t>FILIBERTO ALEJANDRO  ALVAREZ ALVAREZ</t>
  </si>
  <si>
    <t>M87FYI</t>
  </si>
  <si>
    <t>CINTHYA ALEJANDRA  QUIROZ GONZALEZ</t>
  </si>
  <si>
    <t>QJ3QKE</t>
  </si>
  <si>
    <t xml:space="preserve">H6PW6Y </t>
  </si>
  <si>
    <t>22877, 22881, 22883, 22884, 22885, 22886</t>
  </si>
  <si>
    <t>Hector Ulises  Garcia Hernandez</t>
  </si>
  <si>
    <t>VUELOS CDMX-COZUMEL</t>
  </si>
  <si>
    <t>Z9BU2S</t>
  </si>
  <si>
    <t>Ana Karina  Guzman Hernandez</t>
  </si>
  <si>
    <t>W9R9WF</t>
  </si>
  <si>
    <t>Marlen Anahi  Rojo Garcia</t>
  </si>
  <si>
    <t>J7EM3V</t>
  </si>
  <si>
    <t>Bilma Lizbeth  garcia flores</t>
  </si>
  <si>
    <t>ZEZC3T</t>
  </si>
  <si>
    <t>Maria Elena  Garcia Hernandez</t>
  </si>
  <si>
    <t>VCB56J</t>
  </si>
  <si>
    <t>Perla Yoselin  Rojo Garcia</t>
  </si>
  <si>
    <t>B9BPYC</t>
  </si>
  <si>
    <t>RESERVA HILTON GARDEN INN LAX EL SEGUNDO</t>
  </si>
  <si>
    <t>LUPITA CHECK IN</t>
  </si>
  <si>
    <t>22831, 22832, 22377, 22914, 22919</t>
  </si>
  <si>
    <t>HUGO GUZMAN SANCHEZ//ROSA ALICIA ESTRADA AGUILAR</t>
  </si>
  <si>
    <t>RESERVA VIAGGIO MAZATLAN</t>
  </si>
  <si>
    <t>HHVA780839</t>
  </si>
  <si>
    <t>VIRIDIANA  LOPEZ GARCIA</t>
  </si>
  <si>
    <t>KBF5FZ</t>
  </si>
  <si>
    <t>OMAR ALEJANDRO  GONZALEZ BARBA</t>
  </si>
  <si>
    <t>JE9LTD</t>
  </si>
  <si>
    <t>MARIA ELENA  RAMIREZ GUZMAN</t>
  </si>
  <si>
    <t>VUELOS IAH-GDL</t>
  </si>
  <si>
    <t>KBGUXM</t>
  </si>
  <si>
    <t>JUAN VALENTIN  BLANCO RUIZ</t>
  </si>
  <si>
    <t>II9P4R</t>
  </si>
  <si>
    <t>JESUS  DE LA CERDA</t>
  </si>
  <si>
    <t>Jose Vazquez Vazquez</t>
  </si>
  <si>
    <t>YOQBEY</t>
  </si>
  <si>
    <t>AMERICAN AIRLINES</t>
  </si>
  <si>
    <t>Armando  Farias Carapia</t>
  </si>
  <si>
    <t>VUELO CJS-GDL</t>
  </si>
  <si>
    <t>VHT77H</t>
  </si>
  <si>
    <t>22940, 22941</t>
  </si>
  <si>
    <t>JOANNA  DEANDA</t>
  </si>
  <si>
    <t>VUELOS GDL-DENVER</t>
  </si>
  <si>
    <t>SHD1PK//IYMH3Z//NYF8PP</t>
  </si>
  <si>
    <t>CRISTIAN PALOMARES MEDINA</t>
  </si>
  <si>
    <t>VD41UG</t>
  </si>
  <si>
    <t>HECTOR MAURICIO RIZO LOPEZ</t>
  </si>
  <si>
    <t>G6N96F</t>
  </si>
  <si>
    <t>22866 y 22959</t>
  </si>
  <si>
    <t>EMMANUEL HERNANDEZ</t>
  </si>
  <si>
    <t>RESERVA MARIVAL EMOTIONS</t>
  </si>
  <si>
    <t>HHVA794435</t>
  </si>
  <si>
    <t>ELSA FAVIOLA  DIAZ</t>
  </si>
  <si>
    <t>YISGPH</t>
  </si>
  <si>
    <t>22960 y 22961</t>
  </si>
  <si>
    <t>MA LETICIA  AMEZOLA DE GONZALEZ</t>
  </si>
  <si>
    <t>ZEV5UT</t>
  </si>
  <si>
    <t>SALDO A FAVOR ERICKA PLASCENCIA</t>
  </si>
  <si>
    <t>FABIOLA VERONICA  GONZALEZ DE LOZA</t>
  </si>
  <si>
    <t>BJ8LRB</t>
  </si>
  <si>
    <t>BRENDA JAKELINE  LOZANO CORONADO</t>
  </si>
  <si>
    <t>HDQUXT</t>
  </si>
  <si>
    <t>LUIS ANTONIO  ORTIZ VELAZQUEZ</t>
  </si>
  <si>
    <t>EBVVUJ</t>
  </si>
  <si>
    <t>DIEGO  GONZALEZ ROMO</t>
  </si>
  <si>
    <t>VUELOS GDL-LAS</t>
  </si>
  <si>
    <t>IDC55D</t>
  </si>
  <si>
    <t>UC5YFZ</t>
  </si>
  <si>
    <t>CONRRADO  ASCENCIO RAMIREZ</t>
  </si>
  <si>
    <t>XBIZ9M</t>
  </si>
  <si>
    <t>TERESA VIRIDIANA  MORALES MACIAS</t>
  </si>
  <si>
    <t>IF4VPA</t>
  </si>
  <si>
    <t>22978 Y 22979</t>
  </si>
  <si>
    <t>GLORIA NALLELY  LOPEZ VILLA</t>
  </si>
  <si>
    <t>C9H7YC</t>
  </si>
  <si>
    <t>LETICIA PEREZ BARRIOS</t>
  </si>
  <si>
    <t>RESERVA BARCELO KARMINA</t>
  </si>
  <si>
    <t>HHVA798212</t>
  </si>
  <si>
    <t>MAYRA IMACOP AGS</t>
  </si>
  <si>
    <t>ROSALIA  NAVARRETE DE ROMO</t>
  </si>
  <si>
    <t>VUELOS ONT-GDL</t>
  </si>
  <si>
    <t>PED46Q</t>
  </si>
  <si>
    <t>SELECCIÓN DE ASIENTOS</t>
  </si>
  <si>
    <t>YOLANDA  SAINZ DE GONZALEZ</t>
  </si>
  <si>
    <t>VUELOS PARA TREN CHEPE</t>
  </si>
  <si>
    <t>UJYQ7R//SY1STS</t>
  </si>
  <si>
    <t>22138, 22997</t>
  </si>
  <si>
    <t>TERESA ESMERALDA ANGEL ORTEGA</t>
  </si>
  <si>
    <t>RESERVA RIU EMERALD BAY</t>
  </si>
  <si>
    <t>HHVA777784</t>
  </si>
  <si>
    <t>22094, 22996</t>
  </si>
  <si>
    <t>ARMANDO ANGEL ORTEGA</t>
  </si>
  <si>
    <t>HHVA777196</t>
  </si>
  <si>
    <t>22956 Y 23005</t>
  </si>
  <si>
    <t>SILVIA HERNANDEZ MAYORQUIN</t>
  </si>
  <si>
    <t>HHVA796436</t>
  </si>
  <si>
    <t>PAULO CESAR RAMIREZ HERNANDEZ</t>
  </si>
  <si>
    <t>HHVA796434</t>
  </si>
  <si>
    <t>JOSE ANGEL AGUIRRE OÑATE</t>
  </si>
  <si>
    <t>HHVA797728</t>
  </si>
  <si>
    <t>22958 y 23018</t>
  </si>
  <si>
    <t>OSCAR ALONSO LOZANO MULGADO</t>
  </si>
  <si>
    <t>RESERVA GRAND PALLADIUM</t>
  </si>
  <si>
    <t>HHVA797487</t>
  </si>
  <si>
    <t>22766 y 23012</t>
  </si>
  <si>
    <t>ANGELICA CAMPOS GARCIA</t>
  </si>
  <si>
    <t>RESERVA AZUL IXTAPA</t>
  </si>
  <si>
    <t>HHVA781085</t>
  </si>
  <si>
    <t>JOSE RODRIGO CABRERA CONCHAS</t>
  </si>
  <si>
    <t>HHVA791087</t>
  </si>
  <si>
    <t>ERIKA CONTRERAS CAMPOS//SILVIA KAREN CONTRERAS</t>
  </si>
  <si>
    <t>HHVA791106</t>
  </si>
  <si>
    <t>JUAN FERNANDO  GARCIA LEON</t>
  </si>
  <si>
    <t>ZI57GX</t>
  </si>
  <si>
    <t>FATIMA  JIMENEZ ARRIAGA</t>
  </si>
  <si>
    <t>NJG87B</t>
  </si>
  <si>
    <t>CARMEN ELIZABETH  PADILLA RIZO</t>
  </si>
  <si>
    <t>L7GJWY</t>
  </si>
  <si>
    <t>JOSE SALVADOR  GONZALEZ SAINZ</t>
  </si>
  <si>
    <t>CECC6N//WDWNUW</t>
  </si>
  <si>
    <t>KARLA IRAZU  RAMIREZ ANDRADE</t>
  </si>
  <si>
    <t>I8G39S</t>
  </si>
  <si>
    <t>ELENA  GARCIA LEON</t>
  </si>
  <si>
    <t>UI17MX</t>
  </si>
  <si>
    <t>MARTHA ELENA  CONZ Y LEON MACIAS</t>
  </si>
  <si>
    <t>W9UPHS</t>
  </si>
  <si>
    <t>RESERVA VILLA DEL PALMAR LOS CABOS</t>
  </si>
  <si>
    <t>HHVA799543</t>
  </si>
  <si>
    <t>TRASLADOS 2 PERSONAS VILLA DEL PALMAR CABOS</t>
  </si>
  <si>
    <t>ADRIAN AGUAS PADILLA</t>
  </si>
  <si>
    <t xml:space="preserve">BHD2RH//E83F7G </t>
  </si>
  <si>
    <t>FRONTIER//UNITED</t>
  </si>
  <si>
    <t>GONZALO  FERNANDEZ MARQUEZ</t>
  </si>
  <si>
    <t>XBK1YP</t>
  </si>
  <si>
    <t>VUELOS HOUSTON-GDL</t>
  </si>
  <si>
    <t>BJ33JB</t>
  </si>
  <si>
    <t>FATIMA SOFIA  BECERRA AGUIRRE</t>
  </si>
  <si>
    <t>B874VF</t>
  </si>
  <si>
    <t>ZJKWFE</t>
  </si>
  <si>
    <t>CLAUDIA JIMENEZ ESTRADA</t>
  </si>
  <si>
    <t>PAGO VUELOS CUN-GDL</t>
  </si>
  <si>
    <t>D81D9S</t>
  </si>
  <si>
    <t>TRASLADOS</t>
  </si>
  <si>
    <t>RESERVA IBEROSTAR SELECTION CANCUN</t>
  </si>
  <si>
    <t>HHVA800122</t>
  </si>
  <si>
    <t>RIGOBERTO LOZANO RIZO</t>
  </si>
  <si>
    <t>RESERVAS MARIVAL EMOTIONS</t>
  </si>
  <si>
    <t>HHVA800029</t>
  </si>
  <si>
    <t>MIRIAM JOCELYN MARTINEZ ACEVES</t>
  </si>
  <si>
    <t>HHVA800187</t>
  </si>
  <si>
    <t>HHVA800191</t>
  </si>
  <si>
    <t>REVISADAS</t>
  </si>
  <si>
    <t>META $49,372</t>
  </si>
  <si>
    <t>REVISADAS EL 18/2/2023</t>
  </si>
  <si>
    <t>OSCAR STEVEN GARCIA ZUÑIGA</t>
  </si>
  <si>
    <t>HHVA795765</t>
  </si>
  <si>
    <t>B631KL</t>
  </si>
  <si>
    <t>RICARDO GARCIA  GUZMAN</t>
  </si>
  <si>
    <t>IFCUFN</t>
  </si>
  <si>
    <t>MARTHA DEL CARMEN  ORTIZ VELAZQUEZ</t>
  </si>
  <si>
    <t>TG8PHN</t>
  </si>
  <si>
    <t>MARIA REYNOSO  ALCALA</t>
  </si>
  <si>
    <t>SJLH2B</t>
  </si>
  <si>
    <t>TOUR CHIAPAS</t>
  </si>
  <si>
    <t>ALONDRA IMACOP AGS</t>
  </si>
  <si>
    <t>DAVID JOEL  ESQUIBEL HERNANDEZ</t>
  </si>
  <si>
    <t>VUELOS ORD/GDL/ORD Y MORELIA/MDW</t>
  </si>
  <si>
    <t>PD11GW//G676HL//ZG7DKA</t>
  </si>
  <si>
    <t>22992, 23042, 23100, 23140</t>
  </si>
  <si>
    <t>TOUR CHEPE</t>
  </si>
  <si>
    <t>PABLO COPPER CANYON</t>
  </si>
  <si>
    <t>SALVADOR  LOPEZ</t>
  </si>
  <si>
    <t>O72GSL</t>
  </si>
  <si>
    <t>ANA MARIA  GUZMAN GUTIERREZ</t>
  </si>
  <si>
    <t>VUELOS GDL-ONT</t>
  </si>
  <si>
    <t>U8PMYI</t>
  </si>
  <si>
    <t>AARON  GARCIA FLORES</t>
  </si>
  <si>
    <t>VUELOS GDL-MERIDA</t>
  </si>
  <si>
    <t>AIV2UR</t>
  </si>
  <si>
    <t>Eulalio Solorzano Díaz</t>
  </si>
  <si>
    <t>VUELOS TUXTLA-GDL</t>
  </si>
  <si>
    <t>EIH8UB</t>
  </si>
  <si>
    <t>AARON GARCIA FLORES</t>
  </si>
  <si>
    <t>RESERVA HOLIDAY INN EXPRES MERIDA</t>
  </si>
  <si>
    <t>22643, 22696, 22441, 23009, 23010, 2305</t>
  </si>
  <si>
    <t>JESUS ALBERTO TABAREZ GARCIA</t>
  </si>
  <si>
    <t>RESERVA RIU CANCUN</t>
  </si>
  <si>
    <t>HHVA783245</t>
  </si>
  <si>
    <t>NOS SALIO $3,340.00 MAS BARATA</t>
  </si>
  <si>
    <t>JUAN FRANCISCO TABAREZ GARCIA</t>
  </si>
  <si>
    <t>HHVA783162</t>
  </si>
  <si>
    <t>TRASLADOS 7 PERSONAS</t>
  </si>
  <si>
    <t>JUAN JOSE OROZCO ALVAREZ</t>
  </si>
  <si>
    <t>HHVA788464</t>
  </si>
  <si>
    <t>23138 y 23139</t>
  </si>
  <si>
    <t>BRENDA ARLEY  ASCENCIO SALAZAR</t>
  </si>
  <si>
    <t>KJ6Z8B</t>
  </si>
  <si>
    <t>DANIEL  HERNANDEZ</t>
  </si>
  <si>
    <t>VUELOS DALLAS-GDL</t>
  </si>
  <si>
    <t>K5YUUB</t>
  </si>
  <si>
    <t>MARINA  VILLASEÑOR DE LOZA</t>
  </si>
  <si>
    <t>OCS9JW</t>
  </si>
  <si>
    <t>MALETA 10 KG EXTRA</t>
  </si>
  <si>
    <t>Juan Manuel Ayala Gallegos</t>
  </si>
  <si>
    <t>VUELOS GDL-TUL</t>
  </si>
  <si>
    <t>IBYWUV</t>
  </si>
  <si>
    <t>ANA MARIA SAINZ HERNANDEZ</t>
  </si>
  <si>
    <t>VUELOS GDL-PVR</t>
  </si>
  <si>
    <t>WB9MTM</t>
  </si>
  <si>
    <t>ALEJANDRO  HERNANDEZ HERNANDEZ</t>
  </si>
  <si>
    <t>VUELOS GDL-RENO</t>
  </si>
  <si>
    <t>ZYNBPC</t>
  </si>
  <si>
    <t>RUBEN CASTELAN PEREZ</t>
  </si>
  <si>
    <t>WIG2ME</t>
  </si>
  <si>
    <t>MARIELA ROCHA FONSECA</t>
  </si>
  <si>
    <t>RESERVA COUTYARD BY MARRIOT TORONTO AIRPORT</t>
  </si>
  <si>
    <t>EDGAR ALFONSO ROCHA FONSECA</t>
  </si>
  <si>
    <t>LUIS ABRAHAM DIAZ SERVIN</t>
  </si>
  <si>
    <t>22749, 22859, 23026</t>
  </si>
  <si>
    <t>RICARDO CONTRERAS LOPEZ</t>
  </si>
  <si>
    <t>RESERVA KRYSTAL ALTITUDE CANCUN</t>
  </si>
  <si>
    <t>HHVA790628</t>
  </si>
  <si>
    <t>TRASLADOS RESERVA KRYSTAL ALTITUDE CANCUN</t>
  </si>
  <si>
    <t>22658, 22935, 22936, 22937, 23056 y 23185</t>
  </si>
  <si>
    <t>SERGIO GONZALEZ TABARES</t>
  </si>
  <si>
    <t>HHVA771751</t>
  </si>
  <si>
    <t>ANSELMO HUERTA MELENDEZ</t>
  </si>
  <si>
    <t>HHVA771754</t>
  </si>
  <si>
    <t>ARACELI LOPEZ HERNANDEZ</t>
  </si>
  <si>
    <t>HHVA771760</t>
  </si>
  <si>
    <t>LUZ ELBA HUERTA LOPEZ</t>
  </si>
  <si>
    <t>HHVA771761</t>
  </si>
  <si>
    <t>MARIA VERONICA HUERTA</t>
  </si>
  <si>
    <t>HHVA771757</t>
  </si>
  <si>
    <t>TRASLADO A RIU JALISCO</t>
  </si>
  <si>
    <t>CRISTIAN</t>
  </si>
  <si>
    <t>AHCC5E</t>
  </si>
  <si>
    <t>KAREN BERENICE  RAMIREZ SEVILLA</t>
  </si>
  <si>
    <t>ICV69T</t>
  </si>
  <si>
    <t>VIRIDIANA SUHEI  RAMIREZ SEVILLA</t>
  </si>
  <si>
    <t>C81MVV</t>
  </si>
  <si>
    <t>JOVANI  PLASCENCIA GONZALEZ</t>
  </si>
  <si>
    <t>A77B4F</t>
  </si>
  <si>
    <t>BRAULIO  GARCIA CHAVEZ</t>
  </si>
  <si>
    <t>O92PKF</t>
  </si>
  <si>
    <t xml:space="preserve">
SERGIO LOPEZ LOPEZ</t>
  </si>
  <si>
    <t>YDQ5TT</t>
  </si>
  <si>
    <t>RESERVA HOLIDAY INN TORONTO DOWNTOWN</t>
  </si>
  <si>
    <t>22907, 23064, 23149, 23206, 23245, 23277, 23285</t>
  </si>
  <si>
    <t>LORENA ARRIAGA</t>
  </si>
  <si>
    <t>RESERVA AZUL IXTAPA GRAND</t>
  </si>
  <si>
    <t>HHVA795110</t>
  </si>
  <si>
    <t>EVA ANGELINA ASCENCIO</t>
  </si>
  <si>
    <t>HHVA795113</t>
  </si>
  <si>
    <t>HHVA799506</t>
  </si>
  <si>
    <t>ULYSSES ALEXANDER  CRUZ</t>
  </si>
  <si>
    <t>OC6UQZ</t>
  </si>
  <si>
    <t>Liliana Janeth Olivares Díaz</t>
  </si>
  <si>
    <t>GABRIEL  VAZQUEZ SERRATOS</t>
  </si>
  <si>
    <t>IITR2B</t>
  </si>
  <si>
    <t>GUILLERMO  LOPEZ OROZCO</t>
  </si>
  <si>
    <t>RESERVA HARD ROCK RIVIERA MAYA</t>
  </si>
  <si>
    <t>HHVA807817</t>
  </si>
  <si>
    <t>TRASLADOS HARD ROCK RIVIERA MAYA</t>
  </si>
  <si>
    <t>DFLFXN</t>
  </si>
  <si>
    <t>NANCY  HERNANDEZ GONZALEZ</t>
  </si>
  <si>
    <t>XBI87M</t>
  </si>
  <si>
    <t>EDUARDO  TEJEDA GARCIA</t>
  </si>
  <si>
    <t>N99TVF</t>
  </si>
  <si>
    <t>MIGUEL ANGEL  PLASCENCIA</t>
  </si>
  <si>
    <t>C8RNSS</t>
  </si>
  <si>
    <t>REGINA GARCIA GONZALEZ</t>
  </si>
  <si>
    <t>OGV8HH</t>
  </si>
  <si>
    <t>TERESA RIZO VAZQUEZ</t>
  </si>
  <si>
    <t>18/4/232</t>
  </si>
  <si>
    <t>23312 y 23313</t>
  </si>
  <si>
    <t>LUIS EUSTACIO  GARCIA MIRANDA</t>
  </si>
  <si>
    <t>QFZI4A</t>
  </si>
  <si>
    <t>EUSEBIO  FONSECA LOPEZ</t>
  </si>
  <si>
    <t>M8YTFV</t>
  </si>
  <si>
    <t>VUELOS MDW-DET</t>
  </si>
  <si>
    <t xml:space="preserve">GU3638 </t>
  </si>
  <si>
    <t>MARIA DEL CARMEN  PADILLA GONZALEZ</t>
  </si>
  <si>
    <t>X694QB</t>
  </si>
  <si>
    <t>GJ37MR</t>
  </si>
  <si>
    <t>VUELOS LAS-LAX</t>
  </si>
  <si>
    <t>2KXMHZ</t>
  </si>
  <si>
    <t>SOUTHWEST</t>
  </si>
  <si>
    <t>ABC3YZ</t>
  </si>
  <si>
    <t>FACTURA</t>
  </si>
  <si>
    <t>Claudia Jimenez Estrada</t>
  </si>
  <si>
    <t>4LZX7T</t>
  </si>
  <si>
    <t>MDYEYW</t>
  </si>
  <si>
    <t>FILIBERTO DE JESUS  AVALOS LOPEZ</t>
  </si>
  <si>
    <t>I7KPMI</t>
  </si>
  <si>
    <t>BHVNHE</t>
  </si>
  <si>
    <t>22746, 22983, 23291</t>
  </si>
  <si>
    <t>NANCY EDITH FLORES GUZMAN</t>
  </si>
  <si>
    <t>RESERVA VILLA VARADERO</t>
  </si>
  <si>
    <t>HHVA790610</t>
  </si>
  <si>
    <t>JUAN MANUEL HURTADO HURTADO</t>
  </si>
  <si>
    <t>HHVA804104</t>
  </si>
  <si>
    <t>22048, 23457, 22048</t>
  </si>
  <si>
    <t>MONICA RAMIREZ HERNANDEZ</t>
  </si>
  <si>
    <t>HHVA776604</t>
  </si>
  <si>
    <t>JOSE LUIS RAMIREZ OROZCO</t>
  </si>
  <si>
    <t>HHVA776600</t>
  </si>
  <si>
    <t>DAMIAN RAMIREZ HERNANDEZ</t>
  </si>
  <si>
    <t>IVAN ALEJANDRO RAMIREZ HERNANDEZ</t>
  </si>
  <si>
    <t>HHVA776606</t>
  </si>
  <si>
    <t>MARIA GUADALUPE OROZCO</t>
  </si>
  <si>
    <t>HHVA776607</t>
  </si>
  <si>
    <t>JOSE LUIS RAMIREZ HERNANDEZ</t>
  </si>
  <si>
    <t>HHVA776611</t>
  </si>
  <si>
    <t>VUELOS OAKLAND-MEXICO</t>
  </si>
  <si>
    <t>PJLYGR</t>
  </si>
  <si>
    <t>JOSE MANUEL GAMBOA VILLALPANDO</t>
  </si>
  <si>
    <t>VUELOS GDL-MYT</t>
  </si>
  <si>
    <t>YVSRXP</t>
  </si>
  <si>
    <t>BIANCA KARINA  CASTRO</t>
  </si>
  <si>
    <t>VUELOS DENVER-GDL</t>
  </si>
  <si>
    <t>TFINTQ</t>
  </si>
  <si>
    <t>EDUARDO GUADALUPE  QUEZADA ENRIQUEZ</t>
  </si>
  <si>
    <t>VUELOS CUU-GDL</t>
  </si>
  <si>
    <t>M795GY</t>
  </si>
  <si>
    <t>EYQ6FM</t>
  </si>
  <si>
    <t>LEONARDO YAHVE  ALVAREZ CONCHAS</t>
  </si>
  <si>
    <t>O9VH7P</t>
  </si>
  <si>
    <t>DANIEL  ALVAREZ LEON</t>
  </si>
  <si>
    <t>ZE6FVW</t>
  </si>
  <si>
    <t>XF5L5Q</t>
  </si>
  <si>
    <t>SERGIO OROZCO GARCIA</t>
  </si>
  <si>
    <t>RESERVA DECAMERON LOS COCOS</t>
  </si>
  <si>
    <t>HHVA813843</t>
  </si>
  <si>
    <t>JOSEFINA  TAVARES VITAL</t>
  </si>
  <si>
    <t>FJESJB</t>
  </si>
  <si>
    <t>CLAUDIA EUGENIA  LOPEZ TAVARES</t>
  </si>
  <si>
    <t>E81MSV</t>
  </si>
  <si>
    <t>CHRISTIAN  FLORES</t>
  </si>
  <si>
    <t>FCMI4T</t>
  </si>
  <si>
    <t>23487 Y 23501</t>
  </si>
  <si>
    <t>CRISTINA LOPEZ</t>
  </si>
  <si>
    <t>23475 y 23511</t>
  </si>
  <si>
    <t>BRENDA VILLAGRANA VELAZQUEZ</t>
  </si>
  <si>
    <t>VUELOS GDL-HUATULCO</t>
  </si>
  <si>
    <t>FCQ28Q</t>
  </si>
  <si>
    <t>JUAN LOPEZ RAMIREZ</t>
  </si>
  <si>
    <t>PG84NK</t>
  </si>
  <si>
    <t>MARTIN TORRES LARA</t>
  </si>
  <si>
    <t>S5J9FB</t>
  </si>
  <si>
    <t>CLAUDIA ESMERALDA HERNANDEZ AYALA</t>
  </si>
  <si>
    <t>JBG3RM</t>
  </si>
  <si>
    <t>LETICIA  SANCHEZ</t>
  </si>
  <si>
    <t>J8157F</t>
  </si>
  <si>
    <t>VICENTE  GUZMAN CABRERA</t>
  </si>
  <si>
    <t>EJSFVB</t>
  </si>
  <si>
    <t>23011, 23209</t>
  </si>
  <si>
    <t>ANA CELINA GONZALEZ RIZO</t>
  </si>
  <si>
    <t>RESERVA FLAMINGO CANCUN</t>
  </si>
  <si>
    <t>HHVA790463</t>
  </si>
  <si>
    <t>23158, 23593</t>
  </si>
  <si>
    <t>HHVA802889</t>
  </si>
  <si>
    <t>GUSTAVO  SERRATOS GUZMAN</t>
  </si>
  <si>
    <t>OJHYVE</t>
  </si>
  <si>
    <t>RESERVA CHN MONTERREY CENTRO TRADEMARK</t>
  </si>
  <si>
    <t>EGY55X</t>
  </si>
  <si>
    <t>GGUR8H</t>
  </si>
  <si>
    <t>MARTIN  LOPEZ MARTINEZ</t>
  </si>
  <si>
    <t>TEC7YG</t>
  </si>
  <si>
    <t>J JESUS  AGUIRRE ZUÑIGA</t>
  </si>
  <si>
    <t>VUELOS TIJ-COLIMA</t>
  </si>
  <si>
    <t>EDLZFD</t>
  </si>
  <si>
    <t>JUAN FRANCISCO  GARCIA PAREDES</t>
  </si>
  <si>
    <t>JG3QXN</t>
  </si>
  <si>
    <t>FRANCISCO  PEREZ LEON</t>
  </si>
  <si>
    <t>B7Z2KI</t>
  </si>
  <si>
    <t>LYZKRC</t>
  </si>
  <si>
    <t>23138, 23139, 23547 Y 23549</t>
  </si>
  <si>
    <t>HHVA802402</t>
  </si>
  <si>
    <t>TRASLADO KRYSTAL GRAND LOS CABOS</t>
  </si>
  <si>
    <t>CARMEN ALICIA  VALADEZ LOPEZ</t>
  </si>
  <si>
    <t>DCL9GG</t>
  </si>
  <si>
    <t>JAZMIN MONSERRAT  TAPIAS NAVARRO</t>
  </si>
  <si>
    <t>H8I5NF</t>
  </si>
  <si>
    <t>RAFAEL  HERNANDEZ GUTIERREZ</t>
  </si>
  <si>
    <t>K83KYI</t>
  </si>
  <si>
    <t>Maria Guadalupe Torres Vazquez</t>
  </si>
  <si>
    <t>VUELOS GDL-HSV</t>
  </si>
  <si>
    <t>EVZQFB</t>
  </si>
  <si>
    <t>NO REEMBOLSABLE</t>
  </si>
  <si>
    <t>23576 Y 23577</t>
  </si>
  <si>
    <t>FRANCISCO PEREZ LEON</t>
  </si>
  <si>
    <t>RESERVA CITY EXPRESS JUNIOR CIUDAD JUAREZ</t>
  </si>
  <si>
    <t>JOSE MARROQUIN VEGA</t>
  </si>
  <si>
    <t>HHVA818104</t>
  </si>
  <si>
    <t>YDNUVJ</t>
  </si>
  <si>
    <t>ANDREA HERNANDEZ HERNANDEZ</t>
  </si>
  <si>
    <t>VUELOS CD JUAREZ-CUN</t>
  </si>
  <si>
    <t>JIKR2R</t>
  </si>
  <si>
    <t>OHJ87H</t>
  </si>
  <si>
    <t>SALVADOR LEZAMA ELIZALDE</t>
  </si>
  <si>
    <t>RESERVA SUNSET PLAZA</t>
  </si>
  <si>
    <t>HGDL819259</t>
  </si>
  <si>
    <t>CINTHYA IMACOP GDL</t>
  </si>
  <si>
    <t>DIEGO LOPEZ HERNANDEZ</t>
  </si>
  <si>
    <t>RESERVA BLUE BAY GRAND ESMERALDA</t>
  </si>
  <si>
    <t>HHVA790400</t>
  </si>
  <si>
    <t>SE CAMBIO PARA AGOSTO</t>
  </si>
  <si>
    <t>TRASLADOS 2 PERSONAS BLUE BAY GRAND ESMERALDA</t>
  </si>
  <si>
    <t>IGNACIO  LEON LEON</t>
  </si>
  <si>
    <t>I7FZ3V</t>
  </si>
  <si>
    <t>CARMEN  ANGEL DE LEON</t>
  </si>
  <si>
    <t>OFFHYQ</t>
  </si>
  <si>
    <t>ROSA ANDREA  ORNELAS ZARATE</t>
  </si>
  <si>
    <t>I64E8L</t>
  </si>
  <si>
    <t>GUSTAVO  VILLASENOR MUNOZ</t>
  </si>
  <si>
    <t>TJY13R</t>
  </si>
  <si>
    <t>SAMUEL  DE LA CERDA VAZQUEZ</t>
  </si>
  <si>
    <t>C73UHI</t>
  </si>
  <si>
    <t>ALFONSO  FLORES HERNANDEZ</t>
  </si>
  <si>
    <t>VUELOS GDL-CUU</t>
  </si>
  <si>
    <t>W9H2TV</t>
  </si>
  <si>
    <t>JOSE GUADALUPE  ZAMUDIO</t>
  </si>
  <si>
    <t>VFYITD</t>
  </si>
  <si>
    <t>ELODIA  LOZANO HERNANDEZ</t>
  </si>
  <si>
    <t>X5LPHR</t>
  </si>
  <si>
    <t>PRISCILA AIDA  LOPEZ RAMIREZ</t>
  </si>
  <si>
    <t>I6G75Y</t>
  </si>
  <si>
    <t>HVA820634</t>
  </si>
  <si>
    <t>JENNIFER  CARRILLO ESTRADA</t>
  </si>
  <si>
    <t>X5UPSR</t>
  </si>
  <si>
    <t>23683, 24103</t>
  </si>
  <si>
    <t>MIRIAM  VALVERDE VALLEJO</t>
  </si>
  <si>
    <t>VDD7RJ</t>
  </si>
  <si>
    <t>23652 23653 Y 23736</t>
  </si>
  <si>
    <t>MONICA LEON OÑATE</t>
  </si>
  <si>
    <t>HHVA819733</t>
  </si>
  <si>
    <t>JOSE JAVIER LEON LOPEZ</t>
  </si>
  <si>
    <t>HHVA819729</t>
  </si>
  <si>
    <t>HHVA819736</t>
  </si>
  <si>
    <t>BIGAIL LEON OÑATE</t>
  </si>
  <si>
    <t>HHVA819739</t>
  </si>
  <si>
    <t>MARISELA  SERRANO GAMIÑO</t>
  </si>
  <si>
    <t>V9RW3C</t>
  </si>
  <si>
    <t>23700 Y 23701</t>
  </si>
  <si>
    <t>MARIELA GUTIERREZ DE LA TORRE</t>
  </si>
  <si>
    <t>RESERVA MARIVAL DISTINCT</t>
  </si>
  <si>
    <t>HHVA820080</t>
  </si>
  <si>
    <t>SAIDA YOMEIDA GARCIA FLORES</t>
  </si>
  <si>
    <t>HHVA780152</t>
  </si>
  <si>
    <t>JUAN GERARDO GARCIA SERVIN</t>
  </si>
  <si>
    <t>HHVA780154</t>
  </si>
  <si>
    <t>HHVA780155</t>
  </si>
  <si>
    <t>TRASLADOS 8 PERSONAS</t>
  </si>
  <si>
    <t>LIZBETH GUADALUPE GONZALEZ FIGUEROA</t>
  </si>
  <si>
    <t>CAMIONETA A TEQUILA</t>
  </si>
  <si>
    <t>23697 y 23699</t>
  </si>
  <si>
    <t>OSCAR GUSTAVO PLASCENCIA TEJEDA</t>
  </si>
  <si>
    <t>RESERVA SEADUST CANCUN</t>
  </si>
  <si>
    <t>HHVA821131</t>
  </si>
  <si>
    <t>RAFAEL HERNANDEZ GUTIERREZ</t>
  </si>
  <si>
    <t>RESERVA NOW EMERALD CANCUN</t>
  </si>
  <si>
    <t>HHVA817782</t>
  </si>
  <si>
    <t>TRASLADO RESERVA NOW EMERALD CANCUN</t>
  </si>
  <si>
    <t>MELISSA  LOPEZ VALADEZ</t>
  </si>
  <si>
    <t>WC8FPM</t>
  </si>
  <si>
    <t>GUILLERMO  OROZCO GAMIÑO</t>
  </si>
  <si>
    <t>LCC7MJ</t>
  </si>
  <si>
    <t>ANGEL AGUSTIN  JIMENEZ</t>
  </si>
  <si>
    <t>O9E77C</t>
  </si>
  <si>
    <t>Q7S7NY</t>
  </si>
  <si>
    <t>23746 y 23747</t>
  </si>
  <si>
    <t>HILDA NERI HERRERA</t>
  </si>
  <si>
    <t>HHVA822574</t>
  </si>
  <si>
    <t>ROBERTO ALVAREZ ROMO</t>
  </si>
  <si>
    <t>HHVA814323</t>
  </si>
  <si>
    <t>cambio a HHVA816672</t>
  </si>
  <si>
    <t>ROBERTO FONSECA ESCOTO</t>
  </si>
  <si>
    <t>HHVA814322</t>
  </si>
  <si>
    <t>cambio a HHVA816671</t>
  </si>
  <si>
    <t>23709 Y 23742</t>
  </si>
  <si>
    <t>JUAN JOSE ROMERO MORALES</t>
  </si>
  <si>
    <t>HHVA821349</t>
  </si>
  <si>
    <t>LUIS FERNANDO ROMERO GONZALEZ</t>
  </si>
  <si>
    <t>HHVA821351</t>
  </si>
  <si>
    <t>RAFAEL GUADALUPE ROMERO GOZALEZ</t>
  </si>
  <si>
    <t>HHVA821364</t>
  </si>
  <si>
    <t>23766, 23767 y 23768</t>
  </si>
  <si>
    <t>IVAN ALEJANDRO  GARCIA GONZALEZ</t>
  </si>
  <si>
    <t>XY3WKS</t>
  </si>
  <si>
    <t>META $24,686</t>
  </si>
  <si>
    <t>JAZMIN VALERIA  GARCIA ROMO</t>
  </si>
  <si>
    <t>VUELOS SMF-GDL</t>
  </si>
  <si>
    <t>RDRWXW</t>
  </si>
  <si>
    <t>HILDA CECILIA  NAVARRO TEJEDA</t>
  </si>
  <si>
    <t>TYYVXS</t>
  </si>
  <si>
    <t>Julietha  De La Paz Orozco</t>
  </si>
  <si>
    <t>GDRVTT</t>
  </si>
  <si>
    <t>VALERIA LOPEZ RAMIREZ</t>
  </si>
  <si>
    <t>RESERVA KRYSTAL MONTERREY</t>
  </si>
  <si>
    <t>23612 y 23615</t>
  </si>
  <si>
    <t>RESERVA ROYALTON CHIC CANCUN</t>
  </si>
  <si>
    <t>HHVA818678</t>
  </si>
  <si>
    <t>KARLA NALLELY VALDEZ</t>
  </si>
  <si>
    <t>HHVA818647</t>
  </si>
  <si>
    <t>TRASLADOS RESERVA ROYALTON CHIC CANCUN</t>
  </si>
  <si>
    <t>SERGIO EDUARDO  GUZMAN</t>
  </si>
  <si>
    <t>X5KD7B</t>
  </si>
  <si>
    <t>MARIA DEL CARMEN  LEON LOZA</t>
  </si>
  <si>
    <t>SYSPXC</t>
  </si>
  <si>
    <t>MARIA FRANCISCA  OROZCO PEREZ</t>
  </si>
  <si>
    <t>NHY4QK</t>
  </si>
  <si>
    <t>JAVIER  VELASQUEZ</t>
  </si>
  <si>
    <t>SJ642R</t>
  </si>
  <si>
    <t>MARIA DE LA LUZ TORRES RODRIGUEZ</t>
  </si>
  <si>
    <t>Q8CRTF</t>
  </si>
  <si>
    <t>23725 y 23873</t>
  </si>
  <si>
    <t>GEMA JAZMIN LOPEZ GOMEZ</t>
  </si>
  <si>
    <t>RESERVA WYNDHAM ALLTRA RIVIERA NAYARIT</t>
  </si>
  <si>
    <t>HHVA821938</t>
  </si>
  <si>
    <t>MARIA GUADALUPE  DE LA TORRE BARAJAS</t>
  </si>
  <si>
    <t>FDEH3D</t>
  </si>
  <si>
    <t>BLANCA CELINA  HERNANDEZ AGUAYO</t>
  </si>
  <si>
    <t>RE8IMT</t>
  </si>
  <si>
    <t>ALEJANDRO  SANCHEZ NAVARRO</t>
  </si>
  <si>
    <t>J8VF3C</t>
  </si>
  <si>
    <t>ALFREDO  OROZCO CERVANTES</t>
  </si>
  <si>
    <t>VUELOS LEON-LAX</t>
  </si>
  <si>
    <t>HBIYYM</t>
  </si>
  <si>
    <t>MARIA CAMILA  PARRA MAGAÑA</t>
  </si>
  <si>
    <t>V67BUB</t>
  </si>
  <si>
    <t>LUIS MARTIN  AGUIRRE CORONADO</t>
  </si>
  <si>
    <t>VUELOS LEON-MDW</t>
  </si>
  <si>
    <t>HCUU7T</t>
  </si>
  <si>
    <t>MARTIN VELAZQUEZ VILLAGRANA</t>
  </si>
  <si>
    <t>HHVA826715</t>
  </si>
  <si>
    <t>FRANCISCO RODRIGUEZ SOTELO</t>
  </si>
  <si>
    <t>GUADALUPE JOCELYN VELAZQUEZ HERNANDEZ</t>
  </si>
  <si>
    <t>MARGARITA  CORONADO DE AGUIRRE</t>
  </si>
  <si>
    <t>PEJ4VT</t>
  </si>
  <si>
    <t>CLAUDIO CAMACHO VIVANCO</t>
  </si>
  <si>
    <t>HHVA826835</t>
  </si>
  <si>
    <t>PAGO SRA SANDRA A MAYE</t>
  </si>
  <si>
    <t>M5JGPB</t>
  </si>
  <si>
    <t>TOMAS  COVARRUBIAS RENTERIA</t>
  </si>
  <si>
    <t>QCVPPJ</t>
  </si>
  <si>
    <t>ALFONSO JIMENEZ  HERNANDEZ</t>
  </si>
  <si>
    <t>OG4MWA</t>
  </si>
  <si>
    <t>KARLA MARIA ACEVES OROZCO</t>
  </si>
  <si>
    <t>A5WP3V</t>
  </si>
  <si>
    <t>OCTAVIO  MEZA SALAZAR</t>
  </si>
  <si>
    <t>Z7NN5Y</t>
  </si>
  <si>
    <t>BBG9XW</t>
  </si>
  <si>
    <t>SCARLETT  LOPEZ</t>
  </si>
  <si>
    <t>O5QKQB</t>
  </si>
  <si>
    <t>PAGO SRA GLENDA A MAYE</t>
  </si>
  <si>
    <t>JOSE ANTONIO  GONZALEZ</t>
  </si>
  <si>
    <t>HD7RNG</t>
  </si>
  <si>
    <t>GLENDA LIZ  GONZALEZ</t>
  </si>
  <si>
    <t>BJ23VR</t>
  </si>
  <si>
    <t>ESTEVAN  VILLARUEL ENRIQUEZ</t>
  </si>
  <si>
    <t>VB41XC</t>
  </si>
  <si>
    <t>MARIA D RIVAS DE HERNANDEZ</t>
  </si>
  <si>
    <t>FII4NB</t>
  </si>
  <si>
    <t>RESERVA EXCALIBUR HOTEL Y CASINO</t>
  </si>
  <si>
    <t>TC 19.94</t>
  </si>
  <si>
    <t>SALVADOR SANCHEZ ROCHA</t>
  </si>
  <si>
    <t>HHVA813711</t>
  </si>
  <si>
    <t>DANIELA VICTORIA SANCHEZ SANCHEZ</t>
  </si>
  <si>
    <t>HHVA813718</t>
  </si>
  <si>
    <t>JESUS GUTIERREZ</t>
  </si>
  <si>
    <t>RESERVA DREAMS RIVIERA CANCUN</t>
  </si>
  <si>
    <t>HHVA792350</t>
  </si>
  <si>
    <t>TRASLADOS 4 PERSONAS DREAMS RIVIERA CANCUN</t>
  </si>
  <si>
    <t>MARIA TERESA  HERRRERA BOITES</t>
  </si>
  <si>
    <t>IYTV3Z</t>
  </si>
  <si>
    <t>LEGSND</t>
  </si>
  <si>
    <t>MA GUADALUPE  RUIZ BOLAÑOS</t>
  </si>
  <si>
    <t>E9962P</t>
  </si>
  <si>
    <t>PAOLA  MARQUEZ</t>
  </si>
  <si>
    <t>Y7NWJL</t>
  </si>
  <si>
    <t>WF3CYT</t>
  </si>
  <si>
    <t>23977 y 23996</t>
  </si>
  <si>
    <t>ESTELA  ALVIZO LEON</t>
  </si>
  <si>
    <t>I8ZH3F</t>
  </si>
  <si>
    <t>LUIS ANTONIO  CANO ALVIZO</t>
  </si>
  <si>
    <t>GYZTKP</t>
  </si>
  <si>
    <t>CARLOS EDUARDO  LOPEZ LEON</t>
  </si>
  <si>
    <t>GITDSE</t>
  </si>
  <si>
    <t>ROSA MARIA  QUIROZ SERRATOS</t>
  </si>
  <si>
    <t>RDRLWW</t>
  </si>
  <si>
    <t>HHVA799475</t>
  </si>
  <si>
    <t>TRASLADOS 2 PERSONAS</t>
  </si>
  <si>
    <t>FERNANDA LUCIA  SANCHEZ RIZO</t>
  </si>
  <si>
    <t>NEDS4Q</t>
  </si>
  <si>
    <t>RAUL  RIZO TABAREZ</t>
  </si>
  <si>
    <t>FY74TP</t>
  </si>
  <si>
    <t>EDUARDO  SANCHEZ TAVAREZ</t>
  </si>
  <si>
    <t>XEG9RG</t>
  </si>
  <si>
    <t>TERESA  RIZO VAZQUEZ</t>
  </si>
  <si>
    <t>NFZEUD</t>
  </si>
  <si>
    <t>GRICELDA  LOPEZ JAIME</t>
  </si>
  <si>
    <t>TBY65M</t>
  </si>
  <si>
    <t>GABRIELA ELIZABETH  MARQUEZ GUTIERREZ</t>
  </si>
  <si>
    <t>VUELOS GDL-PDX</t>
  </si>
  <si>
    <t>NHUVVX</t>
  </si>
  <si>
    <t>VALENTINA  PADILLA HERNANDEZ</t>
  </si>
  <si>
    <t>UI28HX</t>
  </si>
  <si>
    <t>DC1GPJ</t>
  </si>
  <si>
    <t>23993 y 2997</t>
  </si>
  <si>
    <t>ILDA LORENA  MORALES</t>
  </si>
  <si>
    <t>Q89QNI</t>
  </si>
  <si>
    <t>NE292D</t>
  </si>
  <si>
    <t>OFELIA  FERNANDEZ</t>
  </si>
  <si>
    <t>DB8U2J</t>
  </si>
  <si>
    <t>LI46PH</t>
  </si>
  <si>
    <t>MA GUADALUPE  HERNANDEZ SERVIN</t>
  </si>
  <si>
    <t>Q7JYYL</t>
  </si>
  <si>
    <t>GERALDINE  GARCIA GUTIERREZ</t>
  </si>
  <si>
    <t>XI827H</t>
  </si>
  <si>
    <t>MONSERRAT  GUZMAN GUTIERREZ</t>
  </si>
  <si>
    <t>IH898H</t>
  </si>
  <si>
    <t>CITLALLY  GUZMAN GUTIERREZ</t>
  </si>
  <si>
    <t>ZBPBXP</t>
  </si>
  <si>
    <t>PAGO PANCHO A MAYE</t>
  </si>
  <si>
    <t>JOSE FRANCISCO  LOPEZ</t>
  </si>
  <si>
    <t>DIFVKE</t>
  </si>
  <si>
    <t>MIGUEL  MARTINEZ GUTIERREZ</t>
  </si>
  <si>
    <t>X98JWI</t>
  </si>
  <si>
    <t>ALEJANDRA  RAMIREZ LEON</t>
  </si>
  <si>
    <t>C76KHI</t>
  </si>
  <si>
    <t>TONATIUH  GORDIANO LIZARRAGA</t>
  </si>
  <si>
    <t>F7G6FI</t>
  </si>
  <si>
    <t>MARIA ELENA  LEON DE HERNANDEZ</t>
  </si>
  <si>
    <t>A9VDVP</t>
  </si>
  <si>
    <t>ISAURA ANGELICA  HERNANDEZ HERNANDEZ</t>
  </si>
  <si>
    <t>U621XR</t>
  </si>
  <si>
    <t>SALVADOR  HERNANDEZ GONZALEZ</t>
  </si>
  <si>
    <t>EBG1MZ</t>
  </si>
  <si>
    <t>YOSELIN  ZUÑIGA DELGADO</t>
  </si>
  <si>
    <t>VUELOS GDL-MZT</t>
  </si>
  <si>
    <t>G8C49S</t>
  </si>
  <si>
    <t>FERNANDO TORRES VIDAL</t>
  </si>
  <si>
    <t>HHVA831096</t>
  </si>
  <si>
    <t>NOEL ISRAEL  LEON</t>
  </si>
  <si>
    <t>VUELOS GDL-IAH</t>
  </si>
  <si>
    <t>OF2BHQ</t>
  </si>
  <si>
    <t>BRENDA ELIZABETH HURTADO HERNANDEZ</t>
  </si>
  <si>
    <t>HHVA831574</t>
  </si>
  <si>
    <t>EMELIA VARGAS</t>
  </si>
  <si>
    <t>HHVA831312</t>
  </si>
  <si>
    <t>ADRIANA VALADEZ GONZALEZ</t>
  </si>
  <si>
    <t>SUSANA TORREZ HERNANDEZ</t>
  </si>
  <si>
    <t>HHVA801817</t>
  </si>
  <si>
    <t>ADRIAN TORREZ HERNANDEZ</t>
  </si>
  <si>
    <t>HHVA801816</t>
  </si>
  <si>
    <t>MARIA ISABEL TORREZ HERNANDEZ</t>
  </si>
  <si>
    <t>HHVA801818</t>
  </si>
  <si>
    <t>VANESSA TORREZ HERNANDEZ</t>
  </si>
  <si>
    <t>HHVA801829</t>
  </si>
  <si>
    <t>JAZMIN TORREZ HERNANDEZ</t>
  </si>
  <si>
    <t>HHVA801832</t>
  </si>
  <si>
    <t>J GUADALUPE TORREZ LOZANO</t>
  </si>
  <si>
    <t>HHVA801836</t>
  </si>
  <si>
    <t>YESSENIA TORREZ HERNANDEZ</t>
  </si>
  <si>
    <t>HHVA801859</t>
  </si>
  <si>
    <t>LEONEL  ORTEGA GARCIA</t>
  </si>
  <si>
    <t>KB9G6Z</t>
  </si>
  <si>
    <t>DANIELA GISSELLE  HERNANDEZ FERNANDEZ</t>
  </si>
  <si>
    <t>S7QHGY</t>
  </si>
  <si>
    <t>DIEGO ALEXIS  HERNANDEZ</t>
  </si>
  <si>
    <t>N9FJWF</t>
  </si>
  <si>
    <t>ALEJANDRA  GAYTAN</t>
  </si>
  <si>
    <t>Y9WF3S</t>
  </si>
  <si>
    <t>SELZ2Q</t>
  </si>
  <si>
    <t>OSWALDO  AGUIRRE GUTIERREZ</t>
  </si>
  <si>
    <t>AYJ95Z</t>
  </si>
  <si>
    <t>ROSA ISELA  TAVARES</t>
  </si>
  <si>
    <t>XB2QTC</t>
  </si>
  <si>
    <t>HECTOR  TAVARES SANCHEZ</t>
  </si>
  <si>
    <t>S5JBPR</t>
  </si>
  <si>
    <t>LIZBETH GUADALUPE ACEVES ALDAPE</t>
  </si>
  <si>
    <t>HHVA792351</t>
  </si>
  <si>
    <t>JOSE LUIS SERRANO HERNANDEZ</t>
  </si>
  <si>
    <t>HHVA792353</t>
  </si>
  <si>
    <t>IVAN ALBERTO PEREZ VARGAS</t>
  </si>
  <si>
    <t>RESERVA LAS PALMAS VALLARTA</t>
  </si>
  <si>
    <t>HHVA818462</t>
  </si>
  <si>
    <t>JUAN ALBERTO PEREZ PEREZ</t>
  </si>
  <si>
    <t>HHVA818455</t>
  </si>
  <si>
    <t>MALENA  WILCOX</t>
  </si>
  <si>
    <t>VUELOS LAX-MEX</t>
  </si>
  <si>
    <t>E8UWWF</t>
  </si>
  <si>
    <t>AJLRUB</t>
  </si>
  <si>
    <t>ALMA YADIRA  TORRES</t>
  </si>
  <si>
    <t>BJ4ESR</t>
  </si>
  <si>
    <t>PIEDAD GRACIELA  GALINDO FALCON</t>
  </si>
  <si>
    <t>H7QI2F</t>
  </si>
  <si>
    <t>JUAN  LOPEZ</t>
  </si>
  <si>
    <t>UY65QS</t>
  </si>
  <si>
    <t>CARLOS FABIAN  CONCHAS BELTRAN</t>
  </si>
  <si>
    <t>K64Z4L</t>
  </si>
  <si>
    <t>MARIA DE LOS ANGELES GONZALEZ VENTURA</t>
  </si>
  <si>
    <t>VUELOS MEX-TPQ</t>
  </si>
  <si>
    <t xml:space="preserve">UWNUWB </t>
  </si>
  <si>
    <t>24107 Y 24108</t>
  </si>
  <si>
    <t>LILIA LIZBETH  FLORES RAMIREZ</t>
  </si>
  <si>
    <t>JEUZYD</t>
  </si>
  <si>
    <t>JONATHAN  CASILLAS NAVARRO</t>
  </si>
  <si>
    <t>RDMP2T</t>
  </si>
  <si>
    <t>ROSA ISELA  VILLANUEVA MORALES</t>
  </si>
  <si>
    <t>VUELOS ORD-BJX</t>
  </si>
  <si>
    <t>ZIQWHH</t>
  </si>
  <si>
    <t>YESENIA GUADALUPE JAUREGUI GONZALEZ</t>
  </si>
  <si>
    <t>HHVA833539</t>
  </si>
  <si>
    <t>FERNANDO MARTINEZ MORALES</t>
  </si>
  <si>
    <t>RESERVA POSADA DE LA MONEDA</t>
  </si>
  <si>
    <t>5JX7WH</t>
  </si>
  <si>
    <t>FERNANDO  RAMIREZ HERNANDEZ</t>
  </si>
  <si>
    <t>OF1G3A</t>
  </si>
  <si>
    <t>ALEJANDRO JIMENEZ RAMOS</t>
  </si>
  <si>
    <t>Q6UB4V</t>
  </si>
  <si>
    <t>24190 y 24191</t>
  </si>
  <si>
    <t>ELIOT  IBARRA MIRAMONTES</t>
  </si>
  <si>
    <t>XINZFH</t>
  </si>
  <si>
    <t>FRONTIER Y VOLARIS</t>
  </si>
  <si>
    <t>PAGO YULI A MAYE</t>
  </si>
  <si>
    <t>MA DEL REFUGIO  RAMIREZ HERNANDEZ</t>
  </si>
  <si>
    <t>YJWI5R</t>
  </si>
  <si>
    <t>JUANA ELIZA  HERNANDEZ GONZALEZ</t>
  </si>
  <si>
    <t>VUELOS GDL-ATL</t>
  </si>
  <si>
    <t>SYYYXS</t>
  </si>
  <si>
    <t>MARIBEL  DE LA TORRE</t>
  </si>
  <si>
    <t>EYRN5Z</t>
  </si>
  <si>
    <t>MA DEL CARMEN  RAMIREZ HERNANDEZ</t>
  </si>
  <si>
    <t>ZFHUMD</t>
  </si>
  <si>
    <t>RESERVA DREAMS TULUM</t>
  </si>
  <si>
    <t>HHVA819802</t>
  </si>
  <si>
    <t>TRASLADO RESERVA DREAMS TULUM</t>
  </si>
  <si>
    <t>MAURICIO  PEREZ</t>
  </si>
  <si>
    <t>TEDW6D</t>
  </si>
  <si>
    <t>LJBMGR</t>
  </si>
  <si>
    <t>JUDITH ESMIRNA  ROBLEDO</t>
  </si>
  <si>
    <t>VUELOS DFW-GDL</t>
  </si>
  <si>
    <t>Z9LM4S</t>
  </si>
  <si>
    <t>EDWIN PEDRO  CHAVEZ ABUNDIS</t>
  </si>
  <si>
    <t>VUELOS BJX-CUN</t>
  </si>
  <si>
    <t>CIC63R</t>
  </si>
  <si>
    <t>JOSE JULIAN  GONZALEZ FLORES</t>
  </si>
  <si>
    <t>FETNSQ</t>
  </si>
  <si>
    <t>JAVIER  VELASQUES</t>
  </si>
  <si>
    <t>S9ZUNV</t>
  </si>
  <si>
    <t>JUAN ANDREW  VELASQUEZ</t>
  </si>
  <si>
    <t>UK16FR</t>
  </si>
  <si>
    <t>JOSE LUIS HERNANDEZ LOPEZ</t>
  </si>
  <si>
    <t>HHVA835331</t>
  </si>
  <si>
    <t>ENRIQUE LOPEZ</t>
  </si>
  <si>
    <t>VUELOS ORD-DTW</t>
  </si>
  <si>
    <t xml:space="preserve">GF5HNN </t>
  </si>
  <si>
    <t>WYWBKC</t>
  </si>
  <si>
    <t>Eduardo  Ramirez Moreno</t>
  </si>
  <si>
    <t>Y832ML</t>
  </si>
  <si>
    <t>RODRIGO  HERNANDEZ AGUIRRE</t>
  </si>
  <si>
    <t>VUELOS BJX-MDW</t>
  </si>
  <si>
    <t>QB547M</t>
  </si>
  <si>
    <t>SOPHIA IVETTE  ARCE GONZALEZ</t>
  </si>
  <si>
    <t>HH3DGX</t>
  </si>
  <si>
    <t>Fatima sofia  Becerra Aguirre</t>
  </si>
  <si>
    <t>E7K4MI</t>
  </si>
  <si>
    <t>FATIMA MAIRANY  RAMIREZ AYALA</t>
  </si>
  <si>
    <t>MED4YT</t>
  </si>
  <si>
    <t>24265 Y 24266</t>
  </si>
  <si>
    <t>MAYRA JOVANNA  HERNANDEZ RIVERA</t>
  </si>
  <si>
    <t xml:space="preserve"> VUELOS GDL-ORD</t>
  </si>
  <si>
    <t>DDCG8D</t>
  </si>
  <si>
    <t>IRMA  GARCIA DE MORALES</t>
  </si>
  <si>
    <t>E9KJNC</t>
  </si>
  <si>
    <t>JUAN PABLO RAMIREZ GONZALEZ</t>
  </si>
  <si>
    <t>RESERVA VISTA PLAYA DE ORO</t>
  </si>
  <si>
    <t>HHVA831376</t>
  </si>
  <si>
    <t>RESERVA THE REEF PLAYACAR</t>
  </si>
  <si>
    <t>HHVA825490</t>
  </si>
  <si>
    <t>TRASLADOS RESERVA THE REEF PLAYACAR</t>
  </si>
  <si>
    <t xml:space="preserve"> PS1G6S</t>
  </si>
  <si>
    <t>ANA GABRIELA  CRUZ ALEJANDRE</t>
  </si>
  <si>
    <t>DFYGTA</t>
  </si>
  <si>
    <t>P9P7KS</t>
  </si>
  <si>
    <t>JOSE CARLOS  VELAZQUEZ VELAZQUEZ</t>
  </si>
  <si>
    <t>F9BWQS</t>
  </si>
  <si>
    <t>Martin  Gonzalez</t>
  </si>
  <si>
    <t>WFFKPD</t>
  </si>
  <si>
    <t>24293 y 24302</t>
  </si>
  <si>
    <t>JOSE RUBEN GONZALEZ GARCIA</t>
  </si>
  <si>
    <t>RESERVA DISNEY´S PARADISE PIER HOTEL ON DISNEYLAND</t>
  </si>
  <si>
    <t>ENTRADAS DISNEY</t>
  </si>
  <si>
    <t>VERO IMACOP GDL</t>
  </si>
  <si>
    <t>NYZ1HC</t>
  </si>
  <si>
    <t>24303 Y 24304</t>
  </si>
  <si>
    <t>JOANA CARINA  GARCIA</t>
  </si>
  <si>
    <t>VEIL4D</t>
  </si>
  <si>
    <t>FAUSTINO  GARCIA GARCIA</t>
  </si>
  <si>
    <t>H7CRQY</t>
  </si>
  <si>
    <t>24312 Y 24313</t>
  </si>
  <si>
    <t>BLANCA TERESITA  MUÑOZ RODRIGUEZ</t>
  </si>
  <si>
    <t>RJF2KE</t>
  </si>
  <si>
    <t>ESPERANZA  TORRES MUÑOZ</t>
  </si>
  <si>
    <t>OF5GYD</t>
  </si>
  <si>
    <t>Rocio  Vazquez Sevilla</t>
  </si>
  <si>
    <t>FDWTRT</t>
  </si>
  <si>
    <t>23882, 24230 y 24231</t>
  </si>
  <si>
    <t>ERIKA CHAVEZ LOPEZ</t>
  </si>
  <si>
    <t>HHVA827106</t>
  </si>
  <si>
    <t>TEEPVG</t>
  </si>
  <si>
    <t>JMRS8L</t>
  </si>
  <si>
    <t>DELTA</t>
  </si>
  <si>
    <t>ALMA LUCERO TAFOYA LOPEZ</t>
  </si>
  <si>
    <t>RESERVA FRIENDLY FUN VALLARTA</t>
  </si>
  <si>
    <t>MARIA REFUGIO  MACIAS RAMIREZ</t>
  </si>
  <si>
    <t>WDJ1QJ</t>
  </si>
  <si>
    <t>ENRIQUE  GUTIERREZ</t>
  </si>
  <si>
    <t>HG946K</t>
  </si>
  <si>
    <t>JESUS JULIAN CARDENAS GONZALEZ</t>
  </si>
  <si>
    <t>HHVA839849</t>
  </si>
  <si>
    <t>ANDRES GARCIA</t>
  </si>
  <si>
    <t>RESERVA KRYSTAL ALTITUDE VALLARTA</t>
  </si>
  <si>
    <t>HHVA829522</t>
  </si>
  <si>
    <t>Juan  Gutierrez</t>
  </si>
  <si>
    <t>YGDUGA</t>
  </si>
  <si>
    <t>Freddy Delfino  Gutierrez</t>
  </si>
  <si>
    <t>GHNCJH</t>
  </si>
  <si>
    <t>MARIA DE JESUS GUTIERREZ</t>
  </si>
  <si>
    <t>SGICNN</t>
  </si>
  <si>
    <t>ERICK RICARDO  PATIÑO MUÑOZ</t>
  </si>
  <si>
    <t>ZBHHKP</t>
  </si>
  <si>
    <t>JUAN  NAVARRO AVILA</t>
  </si>
  <si>
    <t>VUELOS TIJ-AGU</t>
  </si>
  <si>
    <t>H7NSMI</t>
  </si>
  <si>
    <t>XEYN6T</t>
  </si>
  <si>
    <t>JOSE SAUL GUTIERREZ PEREZ</t>
  </si>
  <si>
    <t>HGDL840539</t>
  </si>
  <si>
    <t>JUAN EDUARDO GONZALEZ PADILLA</t>
  </si>
  <si>
    <t>HHVA840601</t>
  </si>
  <si>
    <t>24220 Y 1069177</t>
  </si>
  <si>
    <t>MARCO ANTONIO MORALES GUZMAN</t>
  </si>
  <si>
    <t>EVELYN  RODRIGUEZ GUZMAN</t>
  </si>
  <si>
    <t>SIEF4U</t>
  </si>
  <si>
    <t>SUSANA  MARTINEZ MORENO</t>
  </si>
  <si>
    <t>HCJ47G</t>
  </si>
  <si>
    <t xml:space="preserve">CESAR IVAN VILLAGRANA </t>
  </si>
  <si>
    <t xml:space="preserve">RM9N2K </t>
  </si>
  <si>
    <t>SPIRIT</t>
  </si>
  <si>
    <t>Anelsy Yamilet  Padilla Aceves</t>
  </si>
  <si>
    <t>SDWGNW</t>
  </si>
  <si>
    <t>H86LKV</t>
  </si>
  <si>
    <t>MARIO ALBERTO HERNANDEZ MERCADO</t>
  </si>
  <si>
    <t>HHVA844098</t>
  </si>
  <si>
    <t>MARIA DE JESUS  AYALA ANGEL</t>
  </si>
  <si>
    <t>CC4F3G</t>
  </si>
  <si>
    <t>JUAN CARLOS  MUÑOZ RODRIGUEZ</t>
  </si>
  <si>
    <t>CGMKVK</t>
  </si>
  <si>
    <t>Karina Alejandra  Jimenez de la Mor</t>
  </si>
  <si>
    <t>XDK1WJ</t>
  </si>
  <si>
    <t>VUELOS LMM-GDL</t>
  </si>
  <si>
    <t>QHSIGX</t>
  </si>
  <si>
    <t xml:space="preserve">	LUZ GABRIELA URRUTIA SANCHEZ</t>
  </si>
  <si>
    <t>AIICVB</t>
  </si>
  <si>
    <t>RESERVACION KRYSTAL ALTITUDE VALLARTA</t>
  </si>
  <si>
    <t>HHVA844995</t>
  </si>
  <si>
    <t>FELIPE  MELENDEZ</t>
  </si>
  <si>
    <t>AHD37U</t>
  </si>
  <si>
    <t>MIGUEL ANGEL VELAZQUEZ SANTA CRUZ</t>
  </si>
  <si>
    <t>UYRY6Z</t>
  </si>
  <si>
    <t>SANDRA  VELASQUEZ</t>
  </si>
  <si>
    <t>EDZGYW</t>
  </si>
  <si>
    <t>JACOBO PADILLA GARCIA</t>
  </si>
  <si>
    <t>RESERVA HOLIDAY IN EXPRESS COLTON RIVERSIDE</t>
  </si>
  <si>
    <t>23493 y 24403</t>
  </si>
  <si>
    <t>LUIS FRANCISCO PEREZ MARQUEZ</t>
  </si>
  <si>
    <t>RESERVA IBEROSTAR PLAYA MITA</t>
  </si>
  <si>
    <t>MARIA ENGRACIA MARQUEZ GUTIERREZ</t>
  </si>
  <si>
    <t>ANA LOURDES AGUAYO PRECIADO</t>
  </si>
  <si>
    <t>HHVA826824</t>
  </si>
  <si>
    <t>CECILIA SAAVEDRA GONZALEZ</t>
  </si>
  <si>
    <t>HHVA826825</t>
  </si>
  <si>
    <t>24169 y 24311</t>
  </si>
  <si>
    <t>MARIA GUADALUPE HERNANDEZ SERVIN</t>
  </si>
  <si>
    <t>RESERVA OCCIDENTAL AT XCARET</t>
  </si>
  <si>
    <t>HHVA831178</t>
  </si>
  <si>
    <t>ETELVINA HERNANDEZ SERVIN</t>
  </si>
  <si>
    <t>HHVA831179</t>
  </si>
  <si>
    <t>ARTURO HERNANDEZ SERVIN</t>
  </si>
  <si>
    <t>HGDL831191</t>
  </si>
  <si>
    <t>MA GUADALUPE SERVIN GUZMAN</t>
  </si>
  <si>
    <t>HGDL831199</t>
  </si>
  <si>
    <t>TRASLADO 19 PERSONAS RESERVA OCCIDENTAL AT XCARET</t>
  </si>
  <si>
    <t>H3R2NN</t>
  </si>
  <si>
    <t>ISRAEL MORALES</t>
  </si>
  <si>
    <t>VUELOS BWI-GDL</t>
  </si>
  <si>
    <t xml:space="preserve">CSMJW7 </t>
  </si>
  <si>
    <t>MARIA ESTHER HERNANDEZ DIAZ</t>
  </si>
  <si>
    <t>Q8USGC</t>
  </si>
  <si>
    <t>MAURICIO  HERNANDEZ MARTINEZ</t>
  </si>
  <si>
    <t>KFRRFN</t>
  </si>
  <si>
    <t>Jorge Elio  Hernandez Gonzalez</t>
  </si>
  <si>
    <t>TIMGHH//YCSZ6J</t>
  </si>
  <si>
    <t>RESERVA BARCELO MAYA CARIBE</t>
  </si>
  <si>
    <t>HHVA842988</t>
  </si>
  <si>
    <t>TRASLADO RESERVA BARCELO MAYA CARIBE</t>
  </si>
  <si>
    <t>BEST DAY</t>
  </si>
  <si>
    <t>RESERVA MISION OAXACA</t>
  </si>
  <si>
    <t>HHVA843226</t>
  </si>
  <si>
    <t>24515, 24516 y 24517</t>
  </si>
  <si>
    <t>ANGELICA ELENA  HERNANDEZ GUTIERREZ</t>
  </si>
  <si>
    <t>PY7C8P</t>
  </si>
  <si>
    <t>RUBEN ALEJANDRO  GARCIA GRANADOS</t>
  </si>
  <si>
    <t>GGW9JK</t>
  </si>
  <si>
    <t>AGUSTIN MORALES MORALES</t>
  </si>
  <si>
    <t>NORMA PATRICIA  MARQUEZ GUTIERREZ</t>
  </si>
  <si>
    <t>ZHUVGK</t>
  </si>
  <si>
    <t>JORGE GUADALUPE  GUTIERREZ BRAVO</t>
  </si>
  <si>
    <t>TFGCVD</t>
  </si>
  <si>
    <t>ANGEL RAFAEL GONZALEZ PADILLA</t>
  </si>
  <si>
    <t>RESERVA HARD ROCK VALLARTA</t>
  </si>
  <si>
    <t>HHVA844476</t>
  </si>
  <si>
    <t>PARQUE XCARET</t>
  </si>
  <si>
    <t>AO132104</t>
  </si>
  <si>
    <t>Ma Teresa  Lua Novoa</t>
  </si>
  <si>
    <t>FBGZTM</t>
  </si>
  <si>
    <t>SUSANA  VILLASENOR</t>
  </si>
  <si>
    <t>UG3B7N</t>
  </si>
  <si>
    <t>PB3N2M</t>
  </si>
  <si>
    <t>SJKDKE</t>
  </si>
  <si>
    <t>EDGAR ALEJANDRO ALEJO CASTAÑEDA</t>
  </si>
  <si>
    <t>HHVA845108</t>
  </si>
  <si>
    <t>22626, 23165, 23561</t>
  </si>
  <si>
    <t>MARIAN GUADALUPE DE LA CERDA ALVAREZ</t>
  </si>
  <si>
    <t>HHVA787789</t>
  </si>
  <si>
    <t>23442 y 24491</t>
  </si>
  <si>
    <t>MIGUEL ANGEL AGUIRRE PADILLA</t>
  </si>
  <si>
    <t>HHVA813594</t>
  </si>
  <si>
    <t>LEONARDO ESAUL  GUZMAN MARTINEZ</t>
  </si>
  <si>
    <t>IH29PK</t>
  </si>
  <si>
    <t>EDGAR ALEJANDRO GARCIA LOZANO</t>
  </si>
  <si>
    <t>HHVA844645</t>
  </si>
  <si>
    <t>ANABEL CHAVEZ CAMPOS</t>
  </si>
  <si>
    <t>MAS ECONOMICA $300</t>
  </si>
  <si>
    <t>JESSICA GUADALUPE  ROCHA BUSTOS</t>
  </si>
  <si>
    <t>W6MUVB</t>
  </si>
  <si>
    <t>VERONICA  LOPEZ OROZCO</t>
  </si>
  <si>
    <t>QFBKFQ</t>
  </si>
  <si>
    <t>MARIA ISABEL  MARTINEZ GUTIERREZ</t>
  </si>
  <si>
    <t>VUELOS VER-GDL</t>
  </si>
  <si>
    <t>XCLKXM</t>
  </si>
  <si>
    <t>MIGUEL ANGEL  OROZCO JR</t>
  </si>
  <si>
    <t>A677HL</t>
  </si>
  <si>
    <t>Carmen Alexandra  Hernandez Garcia</t>
  </si>
  <si>
    <t>RYER7P</t>
  </si>
  <si>
    <t>MARIA CELIA  LEON MELENDEZ</t>
  </si>
  <si>
    <t>NH7Z7X</t>
  </si>
  <si>
    <t>Itzel Esmeralda  Hernandez Cabrera</t>
  </si>
  <si>
    <t>VUELOS SJD-GDL</t>
  </si>
  <si>
    <t>Q7Y9HL</t>
  </si>
  <si>
    <t>ANA MARIA  ENRIQUEZ DE GARCIA</t>
  </si>
  <si>
    <t>EBIC8J</t>
  </si>
  <si>
    <t>R5HEPR</t>
  </si>
  <si>
    <t>JESUS  GUTIERREZ CEBILLO</t>
  </si>
  <si>
    <t>FFKFJN</t>
  </si>
  <si>
    <t>PAGO A MAYE ENVIO EEUU</t>
  </si>
  <si>
    <t>RICARDO  GOMEZ</t>
  </si>
  <si>
    <t>RHSRFX</t>
  </si>
  <si>
    <t>JULIO CESAR  LOZANO LOPEZ</t>
  </si>
  <si>
    <t>W5INUE</t>
  </si>
  <si>
    <t>MARIA ALICIA  HERNANDEZ LOZANO</t>
  </si>
  <si>
    <t>H7NJJI//PIDGHH//YJ9V2E</t>
  </si>
  <si>
    <t>JUAN RAMON ARRIAGA RUIZ</t>
  </si>
  <si>
    <t>HHVA848038</t>
  </si>
  <si>
    <t>ARMANDO SALVADOR  RAMIREZ ZAVALA</t>
  </si>
  <si>
    <t>J9CCGS</t>
  </si>
  <si>
    <t>JOSE DE JESUS  PENILLA CHAVEZ</t>
  </si>
  <si>
    <t>IGPV9X</t>
  </si>
  <si>
    <t>JOSE DAVID  PENILLA CHAVEZ</t>
  </si>
  <si>
    <t>BHC19U</t>
  </si>
  <si>
    <t>SERGIO DANIEL MOJICA LOPEZ</t>
  </si>
  <si>
    <t>HHVA805868</t>
  </si>
  <si>
    <t>CHRISTIAN ALONSO ROSALES SEGOVIANO</t>
  </si>
  <si>
    <t>HHVA814695</t>
  </si>
  <si>
    <t>REVISADAS EL 20/05/2023</t>
  </si>
  <si>
    <t>SALDO PENDIENTE COMISIONES MARZO Y ABRIL</t>
  </si>
  <si>
    <t>CAROLINA  LEON PLASCENCIA</t>
  </si>
  <si>
    <t>YJU5GE</t>
  </si>
  <si>
    <t>MIGUEL  LEON NAVARRO</t>
  </si>
  <si>
    <t>KYHRNP</t>
  </si>
  <si>
    <t>BIGAIL  LEON ONATE</t>
  </si>
  <si>
    <t>REFFGT</t>
  </si>
  <si>
    <t>MARIA LOURDES  VELAZQUEZ MARTINEZ</t>
  </si>
  <si>
    <t>SINGMH</t>
  </si>
  <si>
    <t>MARIA DEL SOCORRO  LEON DE GARCIA</t>
  </si>
  <si>
    <t>K9WT5P</t>
  </si>
  <si>
    <t>PAGO VOUCHER ELECTRINICO Y TARJETA MADRINITA</t>
  </si>
  <si>
    <t>TOMASA  HERNANDEZ PEREZ</t>
  </si>
  <si>
    <t>N8YISI</t>
  </si>
  <si>
    <t>VUELOS JFK-GDL</t>
  </si>
  <si>
    <t>BEHEPQ</t>
  </si>
  <si>
    <t>VUELOS GDL-PVD</t>
  </si>
  <si>
    <t xml:space="preserve">GA72YU </t>
  </si>
  <si>
    <t>RICARDO  HERNANDEZ</t>
  </si>
  <si>
    <t>Z6E2WR</t>
  </si>
  <si>
    <t>Juan  Gutierrez Molina</t>
  </si>
  <si>
    <t>OE4Z5D</t>
  </si>
  <si>
    <t>MARIA DE SAN JUAN  HUERTA ALVAREZ</t>
  </si>
  <si>
    <t>B69BFL</t>
  </si>
  <si>
    <t>JOSE MIGUEL JAIME QUINTERO</t>
  </si>
  <si>
    <t>BARBARA HERNANDEZ TAFOLLA</t>
  </si>
  <si>
    <t>RUBEN  LUNA BERNAL</t>
  </si>
  <si>
    <t>VUELOS MEX-HUX</t>
  </si>
  <si>
    <t>DEM6MQ</t>
  </si>
  <si>
    <t>VUELOS TIJ-BJX</t>
  </si>
  <si>
    <t>AJTTYB</t>
  </si>
  <si>
    <t>V8L98V</t>
  </si>
  <si>
    <t>ANABEL ARIAS VIVANCO</t>
  </si>
  <si>
    <t>MARIA DE JESUS  NAVARRO GARCIA</t>
  </si>
  <si>
    <t>VHPE9X</t>
  </si>
  <si>
    <t>Yadira Elizabeth  Hernandez Alvarez</t>
  </si>
  <si>
    <t>SJWKQE</t>
  </si>
  <si>
    <t>MA DEL SOCORRO  CRUZ SOLIS</t>
  </si>
  <si>
    <t>KD8DRW</t>
  </si>
  <si>
    <t>SANDRA  CASTILLO RIOS</t>
  </si>
  <si>
    <t>BHP8TH</t>
  </si>
  <si>
    <t>22890, 22876, 22876</t>
  </si>
  <si>
    <t>MARIA ELENA GARCIA HERNANDEZ</t>
  </si>
  <si>
    <t>HHVA794431</t>
  </si>
  <si>
    <t>CAMBIO A HHVA850052 $1,967.00 MAS ECONOMICA</t>
  </si>
  <si>
    <t>MIGUEL ANGEL GARCIA HERNANDEZ</t>
  </si>
  <si>
    <t>HHVA794443</t>
  </si>
  <si>
    <t>$8,220.00 MAS ECONOMICA</t>
  </si>
  <si>
    <t>ALONDRA MARISELA GARCIA HERNANDEZ</t>
  </si>
  <si>
    <t>HHHVA794460</t>
  </si>
  <si>
    <t>$5,675.00 MAS ECONOMICA</t>
  </si>
  <si>
    <t>SAUL AMEZOLA SERVIN</t>
  </si>
  <si>
    <t>HHVA794469</t>
  </si>
  <si>
    <t>$867.00 MAS ECONOMICA</t>
  </si>
  <si>
    <t>OSCAR GUADALUPE ROJO GARCIA</t>
  </si>
  <si>
    <t>HHVA794475</t>
  </si>
  <si>
    <t>$875.00 MAS ECONOMICA</t>
  </si>
  <si>
    <t>HECTOR ULISES GARCIA HERNANDEZ</t>
  </si>
  <si>
    <t>HHVA794478</t>
  </si>
  <si>
    <t>OSWALDO GONZALEZ ALVAREZ</t>
  </si>
  <si>
    <t>HHVA794483</t>
  </si>
  <si>
    <t>FERNANDO ANTONIO ARAUJO FLORES</t>
  </si>
  <si>
    <t>HHVA794486</t>
  </si>
  <si>
    <t>FRANCISCO GARCIA ZARAGOZA</t>
  </si>
  <si>
    <t>HHVA794490</t>
  </si>
  <si>
    <t>ALAN FRANCISCO GARCIA GARCIA</t>
  </si>
  <si>
    <t>HHVA850051</t>
  </si>
  <si>
    <t>$835.00 MAS ECONOMICA</t>
  </si>
  <si>
    <t>ANABEL  DEL RIO SAINZ</t>
  </si>
  <si>
    <t>LED64Q</t>
  </si>
  <si>
    <t>ROGELIO  HUERTA LOPEZ</t>
  </si>
  <si>
    <t>VIZNPK</t>
  </si>
  <si>
    <t>MIGUEL GUSTAVO  RAMIREZ GARCIA</t>
  </si>
  <si>
    <t>R62LSB</t>
  </si>
  <si>
    <t>ROSALVA  OROZCO OROZCO</t>
  </si>
  <si>
    <t>PJPFXE</t>
  </si>
  <si>
    <t>PAGO A MAYE</t>
  </si>
  <si>
    <t>TGHIRA</t>
  </si>
  <si>
    <t>24833 24834 24831 Y 24832</t>
  </si>
  <si>
    <t>ZOILA GARCIA GARCIA</t>
  </si>
  <si>
    <t>HHVA851969</t>
  </si>
  <si>
    <t>RESERVA CAPITAL O HOTEL 522</t>
  </si>
  <si>
    <t>MA ELENA  RAMIREZ HERNANDEZ</t>
  </si>
  <si>
    <t>DJ3D9B</t>
  </si>
  <si>
    <t>LUCERO  MORALES ALVAREZ</t>
  </si>
  <si>
    <t>VUELOS GDL-CLT</t>
  </si>
  <si>
    <t>Q86GFI</t>
  </si>
  <si>
    <t>IGNACIO BAUTISTA GUTIERREZ</t>
  </si>
  <si>
    <t>HHVA850941</t>
  </si>
  <si>
    <t>ANA ROSA  MUÑOZ RODRIGUEZ</t>
  </si>
  <si>
    <t>N799NL</t>
  </si>
  <si>
    <t>XECV6T</t>
  </si>
  <si>
    <t>RAUL  VILLASEÑOR TORRES</t>
  </si>
  <si>
    <t>YICM5H</t>
  </si>
  <si>
    <t>$1,428 USD TC 18.02</t>
  </si>
  <si>
    <t>ALICIA  GARCIA LOPEZ</t>
  </si>
  <si>
    <t>ZFVH7A</t>
  </si>
  <si>
    <t>DANIEL  ALVAREZ LOPEZ</t>
  </si>
  <si>
    <t>VUELOS GDL-LAP</t>
  </si>
  <si>
    <t>ZJ2H6U</t>
  </si>
  <si>
    <t>CARMEN GUADALUPE  MUÑOZ ALVAREZ</t>
  </si>
  <si>
    <t>IF8VRQ</t>
  </si>
  <si>
    <t>SANDRA  NAVARRO LOPEZ</t>
  </si>
  <si>
    <t>YJZQ9U</t>
  </si>
  <si>
    <t>KDQJ2D</t>
  </si>
  <si>
    <t>HECTOR EDUARDO  LOPEZ TAVARES</t>
  </si>
  <si>
    <t>DCJ69G</t>
  </si>
  <si>
    <t>BLANCA ESTELA  AGUIRRE ESPINOZA</t>
  </si>
  <si>
    <t>W641XR</t>
  </si>
  <si>
    <t>Daniel Alfredo Márquez Murillo</t>
  </si>
  <si>
    <t>J4L3WB</t>
  </si>
  <si>
    <t>Gildardo  Hernandez Jimenez</t>
  </si>
  <si>
    <t>E9WMQC</t>
  </si>
  <si>
    <t>CARLOS  RIVAS</t>
  </si>
  <si>
    <t>CC6QUJ</t>
  </si>
  <si>
    <t>Ana Rosa  Orozco de de la Paz</t>
  </si>
  <si>
    <t>Q8UCMV</t>
  </si>
  <si>
    <t>JORGE  GARCIA LOPEZ</t>
  </si>
  <si>
    <t>OFG7MQ</t>
  </si>
  <si>
    <t>SOCORRO GARCIA PLASCENCIA</t>
  </si>
  <si>
    <t>HHVA85207</t>
  </si>
  <si>
    <t>JOSE FERNANDO PARTIDA BAROCIO</t>
  </si>
  <si>
    <t>HHVA854187</t>
  </si>
  <si>
    <t>JUAN CARLOS PARTIDA BAROCIO</t>
  </si>
  <si>
    <t>HHVA854192</t>
  </si>
  <si>
    <t>GUILLERMINA PARTIDA BAROCIO</t>
  </si>
  <si>
    <t>HHVA854185</t>
  </si>
  <si>
    <t>MARIZA VARGAS BIRGEN</t>
  </si>
  <si>
    <t>HHVA819250</t>
  </si>
  <si>
    <t>FRANIA JUDITH ACEVES VARGAS</t>
  </si>
  <si>
    <t>HHVA819252</t>
  </si>
  <si>
    <t>LUPITA PADILLA</t>
  </si>
  <si>
    <t>GRUPO RIU EMERALD BAY</t>
  </si>
  <si>
    <t>CINQ HVA758809</t>
  </si>
  <si>
    <t>ROSALIO FLORES GARCIA</t>
  </si>
  <si>
    <t>RESERVA DECAMERON ISLA CORAL</t>
  </si>
  <si>
    <t>HHVA842884</t>
  </si>
  <si>
    <t>GABRIELA JUDITH FLORES GUZMAN</t>
  </si>
  <si>
    <t>HHVA842888</t>
  </si>
  <si>
    <t>MAURICIO FLORES GARCIA</t>
  </si>
  <si>
    <t>HHVA842890</t>
  </si>
  <si>
    <t>ALAN DE JESUS FLORES GUZMAN</t>
  </si>
  <si>
    <t>HHVA842891</t>
  </si>
  <si>
    <t>JOSE DE JESUS FLORES GARCIA</t>
  </si>
  <si>
    <t>HHVA842893</t>
  </si>
  <si>
    <t>NANCY LIZETH FLORES GARCIA</t>
  </si>
  <si>
    <t>HHVA842896</t>
  </si>
  <si>
    <t>RAUL FLORES MARES</t>
  </si>
  <si>
    <t>HHVA842898</t>
  </si>
  <si>
    <t>MAURICIO RAUL FLORES GARCIA</t>
  </si>
  <si>
    <t>HHVA850527</t>
  </si>
  <si>
    <t>NORMA GUZMAN HERNANDEZ</t>
  </si>
  <si>
    <t>HHVA850528</t>
  </si>
  <si>
    <t>MIRIAM DEL CARMEN PLASCENCIA DE LA MORA</t>
  </si>
  <si>
    <t>IRMA DE LA MORA OROZCO</t>
  </si>
  <si>
    <t>MARIA GUADALUPE GONZALEZ DIAZ</t>
  </si>
  <si>
    <t>MARIELA PLASCENCIA DE LA MORA</t>
  </si>
  <si>
    <t>CRISTIAN EMMANUEL  RIVAS RAMIREZ</t>
  </si>
  <si>
    <t>CJKEJB</t>
  </si>
  <si>
    <t>RESERVA HOLIDAY INN EXPRESS AND SUITE IHG</t>
  </si>
  <si>
    <t>VUELOS MTY-GDL</t>
  </si>
  <si>
    <t>HBNWWM</t>
  </si>
  <si>
    <t>XE87SW</t>
  </si>
  <si>
    <t>HHVA853763</t>
  </si>
  <si>
    <t>GABRIEL ALEJANDRO OLIVARES JIMENEZ</t>
  </si>
  <si>
    <t>HHVA853758</t>
  </si>
  <si>
    <t>ALEXA MARROQUIN HERNANDEZ</t>
  </si>
  <si>
    <t>HHVA853759</t>
  </si>
  <si>
    <t>JOSE MARTIN MARROQUIN LOPEZ</t>
  </si>
  <si>
    <t>HHVA853736</t>
  </si>
  <si>
    <t>MARTHA LORENA SALCIDO GONZALEZ</t>
  </si>
  <si>
    <t>HHVA855422</t>
  </si>
  <si>
    <t>24943, 24944 Y 24945</t>
  </si>
  <si>
    <t>ALVARO  QUIROZ LOPEZ</t>
  </si>
  <si>
    <t>Y9TZ3S</t>
  </si>
  <si>
    <t>TOBIAS  QUIROZ GUZMAN</t>
  </si>
  <si>
    <t>MHVLTX</t>
  </si>
  <si>
    <t>LUIS EFREN  VILLASENOR</t>
  </si>
  <si>
    <t>K9T5FC</t>
  </si>
  <si>
    <t>STEPHANIE GUADALUPE  ARRIAGA</t>
  </si>
  <si>
    <t>PFR9GA</t>
  </si>
  <si>
    <t>TC 18.54</t>
  </si>
  <si>
    <t>VEV72Q</t>
  </si>
  <si>
    <t>RESERVA HARD ROCK NEW YORK</t>
  </si>
  <si>
    <t>24987 Y 24988</t>
  </si>
  <si>
    <t>J CONCEPCION  LOPEZ AGUILAR</t>
  </si>
  <si>
    <t>BJSZXB</t>
  </si>
  <si>
    <t>EDGAR EDUARDO  ALEJO CASTAÑEDA</t>
  </si>
  <si>
    <t>LG7GNN</t>
  </si>
  <si>
    <t>Maria Guadalupe  Gonzalez Tejeda</t>
  </si>
  <si>
    <t>VUELOS NLU-GDL</t>
  </si>
  <si>
    <t>U8E64V</t>
  </si>
  <si>
    <t xml:space="preserve">MARIA DEL CARMEN GARCIA AGUIRRE </t>
  </si>
  <si>
    <t>HHVA834451</t>
  </si>
  <si>
    <t>SALVADOR GARCIA AGUIRRE</t>
  </si>
  <si>
    <t>HHVA834444</t>
  </si>
  <si>
    <t>MARIA DE JESUS GARCIA AGUIRRE</t>
  </si>
  <si>
    <t>HHVA834446</t>
  </si>
  <si>
    <t>ERIKA ALVAREZ</t>
  </si>
  <si>
    <t>HHVA834457</t>
  </si>
  <si>
    <t>HHVA834442</t>
  </si>
  <si>
    <t>FE4SST</t>
  </si>
  <si>
    <t>F92G6C</t>
  </si>
  <si>
    <t>23475, 23511</t>
  </si>
  <si>
    <t>MARIA GUADALUPE VELAZQUEZ HERNANDEZ</t>
  </si>
  <si>
    <t>RESERVA DREAMS HUATULCO</t>
  </si>
  <si>
    <t>HHVA814540</t>
  </si>
  <si>
    <t>CAMBIO A HHVA854493 $3,082 MAS ECONOMICA</t>
  </si>
  <si>
    <t>SEBASTIAN NAVARRO VELAZQUEZ</t>
  </si>
  <si>
    <t>HHVA814537</t>
  </si>
  <si>
    <t>CAMBIO A HHVA854492 $2,493 MAS ECONOMICA</t>
  </si>
  <si>
    <t>CARLOS ALBERTO LEON VELAZQUEZ</t>
  </si>
  <si>
    <t>HHVA814533</t>
  </si>
  <si>
    <t>CAMBIO A HHVA854491 $2,493 MAS ECONOMICA</t>
  </si>
  <si>
    <t>MA DEL ROCIO VALENZUELA RIVERA</t>
  </si>
  <si>
    <t>HHVA788937</t>
  </si>
  <si>
    <t>22718 Y 25160</t>
  </si>
  <si>
    <t>JUAN CARLOS ALVIZO ORTEGA</t>
  </si>
  <si>
    <t>HHVA788942</t>
  </si>
  <si>
    <t>23458, 23634, 24195, 24915</t>
  </si>
  <si>
    <t>JUAN CARLOS ALVIZO PADILLA</t>
  </si>
  <si>
    <t>HHVA789067</t>
  </si>
  <si>
    <t>22726, 23633, 24194, 24916</t>
  </si>
  <si>
    <t>MARIA ELENA ORTEGA RIVAS</t>
  </si>
  <si>
    <t>HHVA789069</t>
  </si>
  <si>
    <t>FRANCISCO JAVIER  ROJO TAVAREZ</t>
  </si>
  <si>
    <t>WEWT6D</t>
  </si>
  <si>
    <t>FLOR BERTHA  VILLARRUEL TABAREZ</t>
  </si>
  <si>
    <t>Z85RML</t>
  </si>
  <si>
    <t>MA GUADALUPE  MENDEZ DE GONZALEZ</t>
  </si>
  <si>
    <t>WFEKWT</t>
  </si>
  <si>
    <t>JUAN GERARDO GUZMAN GUZMAN</t>
  </si>
  <si>
    <t>HHVA860554</t>
  </si>
  <si>
    <t>DEPOSITOS</t>
  </si>
  <si>
    <t>NOE ANDRADE</t>
  </si>
  <si>
    <t>GRUPO VILLA VARADERO 15+1</t>
  </si>
  <si>
    <t>MARIA/ABRIL IMACOP GDL</t>
  </si>
  <si>
    <t>SANDRA DE JAMAY</t>
  </si>
  <si>
    <t>GRUPO LAS HADAS</t>
  </si>
  <si>
    <t>LILIA LIZBETH FLORES RAMIREZ</t>
  </si>
  <si>
    <t>RESERVA GRAND OASIS PALM</t>
  </si>
  <si>
    <t>HHVA815351</t>
  </si>
  <si>
    <t>TRASLADOS RESERVA GRAND OASIS PALM</t>
  </si>
  <si>
    <t>MIGUEL ANGEL  OROZCO LOPEZ</t>
  </si>
  <si>
    <t>XBRKVP</t>
  </si>
  <si>
    <t>24968 Y 25208</t>
  </si>
  <si>
    <t>SILVERIO SOTELO HERNANDEZ</t>
  </si>
  <si>
    <t>HHVA852737</t>
  </si>
  <si>
    <t>24058 Y 25085</t>
  </si>
  <si>
    <t>LEONEL ORTEGA GARCIA</t>
  </si>
  <si>
    <t>TRASLADO A RESERVA RIU SANTA FE</t>
  </si>
  <si>
    <t>HHVA831864</t>
  </si>
  <si>
    <t>MIGUEL ANGEL  VELAZQUEZ SANTA CRUZ</t>
  </si>
  <si>
    <t>HHSVMH</t>
  </si>
  <si>
    <t>ANTONIO  NAVARRO GARCIA</t>
  </si>
  <si>
    <t>U62QVR</t>
  </si>
  <si>
    <t>QYFZKC</t>
  </si>
  <si>
    <t>JOSE LUIS  CASTELAN SANTOS</t>
  </si>
  <si>
    <t>UDEZRJ</t>
  </si>
  <si>
    <t>HILDA MARTHA  MEDRANO</t>
  </si>
  <si>
    <t>AERPGA</t>
  </si>
  <si>
    <t>MIGUEL ANGEL  OROZCO OROZCO</t>
  </si>
  <si>
    <t>OYY7KC</t>
  </si>
  <si>
    <t>ISAC  AMEZOLA LOZANO</t>
  </si>
  <si>
    <t>AE9YWD</t>
  </si>
  <si>
    <t>MARICELA  GUZMAN ROMERO</t>
  </si>
  <si>
    <t>ECWWPW</t>
  </si>
  <si>
    <t>ZDQDQJ</t>
  </si>
  <si>
    <t>LEONARDO  GARCIA SANCHEZ</t>
  </si>
  <si>
    <t>TK5WJR</t>
  </si>
  <si>
    <t>YOLANDA  GUZMAN MARES</t>
  </si>
  <si>
    <t>BJGMKB</t>
  </si>
  <si>
    <t>IRMA ANGELICA  GUZMAN MARES</t>
  </si>
  <si>
    <t>EDNHNT</t>
  </si>
  <si>
    <t>GUSTAVO  HERNANDEZ</t>
  </si>
  <si>
    <t>HHVA842216</t>
  </si>
  <si>
    <t>HHVA830975</t>
  </si>
  <si>
    <t>SEBASTIAN HERNANDEZ</t>
  </si>
  <si>
    <t>HHVA830981</t>
  </si>
  <si>
    <t>FABIAN ALEJANDRO ARRIAGA RAZO</t>
  </si>
  <si>
    <t>HHVA830978</t>
  </si>
  <si>
    <t>DENISE YANELI FERNANDEZ LEON</t>
  </si>
  <si>
    <t>HHVA830971</t>
  </si>
  <si>
    <t>KIMBERLY ALONDRA FERNANDEZ</t>
  </si>
  <si>
    <t>HHVA830992</t>
  </si>
  <si>
    <t>TRASLADOS 16 PERSONAS RESERVA RIU SANTA FE</t>
  </si>
  <si>
    <t>JUAN ANTONIO  LOPEZ TAVAREZ</t>
  </si>
  <si>
    <t>XHV46X</t>
  </si>
  <si>
    <t>25235 Y 25240</t>
  </si>
  <si>
    <t>FRANCISCO JAVIER VELAZQUEZ PENILLA</t>
  </si>
  <si>
    <t>VUELOS GDL-VANCOUVER</t>
  </si>
  <si>
    <t>JQHZ4Y/MAAAWCN/JQHZ4Y</t>
  </si>
  <si>
    <t>ANDREA GUADALUPE  ALVAREZ</t>
  </si>
  <si>
    <t>EH25GX</t>
  </si>
  <si>
    <t>RICARDO  GONZALEZ VILLASEÑOR</t>
  </si>
  <si>
    <t>XYW4WS</t>
  </si>
  <si>
    <t>JOSE DE JESUS  LEON LOPEZ</t>
  </si>
  <si>
    <t>VUELOS GDL-MIA</t>
  </si>
  <si>
    <t>A7CBYY</t>
  </si>
  <si>
    <t>VUELOS MIA-DTW</t>
  </si>
  <si>
    <t>DDQKVV</t>
  </si>
  <si>
    <t>JORGE GUADALUPE  GUTIERREZ AZPEITIA</t>
  </si>
  <si>
    <t>IESSJQ</t>
  </si>
  <si>
    <t>Juan Ignacio  Marquez Gutierrez</t>
  </si>
  <si>
    <t>LF1YVD</t>
  </si>
  <si>
    <t>YESICA SOCORRO  DAVILA JIMENEZ</t>
  </si>
  <si>
    <t>FGHYHK</t>
  </si>
  <si>
    <t>JOHANA SARAHI GONZALEZ HERNANDEZ</t>
  </si>
  <si>
    <t>HHVA855863</t>
  </si>
  <si>
    <t>MARIA GUADALUPE GARCIA ALVAREZ</t>
  </si>
  <si>
    <t>HHVA855870</t>
  </si>
  <si>
    <t>MIGUEL ANGEL SANCHEZ ZEPEDA</t>
  </si>
  <si>
    <t>HHVA862391</t>
  </si>
  <si>
    <t>PAOLA HERNANDEZ ARREDONDO</t>
  </si>
  <si>
    <t>HHVA864619</t>
  </si>
  <si>
    <t>HECTOR ADRIAN  OROZCO GARCIA</t>
  </si>
  <si>
    <t>I8KLSV</t>
  </si>
  <si>
    <t>T87TPY</t>
  </si>
  <si>
    <t>Luis Alfonso  Jaime Arellano</t>
  </si>
  <si>
    <t>DJC6PR</t>
  </si>
  <si>
    <t>CASSANDRA JOSELYN  ANGEL JACINTO</t>
  </si>
  <si>
    <t>RJ3L6E</t>
  </si>
  <si>
    <t>MARTIN SALVADOR GARCIA RODRIGUEZ</t>
  </si>
  <si>
    <t>HHVA865236</t>
  </si>
  <si>
    <t>ANTONIO  CAMARENA TORRES</t>
  </si>
  <si>
    <t>VUELOS GDL-MXL</t>
  </si>
  <si>
    <t>FHMWFH</t>
  </si>
  <si>
    <t>MARIANA OROZCO HERNANDEZ</t>
  </si>
  <si>
    <t>DY872J</t>
  </si>
  <si>
    <t>CF1MUQ</t>
  </si>
  <si>
    <t>LUIS ALEJANDRO GARCIA FLORES</t>
  </si>
  <si>
    <t>LEOBALDO ELEAZAR GARCIA GARCIA</t>
  </si>
  <si>
    <t>JOSE DE JESUS HERNANDEZ VELAZQUEZ</t>
  </si>
  <si>
    <t>YAZMIN AMEZOLA SERVIN</t>
  </si>
  <si>
    <t>HHVA807802</t>
  </si>
  <si>
    <t>MARIA DE LOS ANGELES SERVIN HERNANDEZ</t>
  </si>
  <si>
    <t>HHVA807800</t>
  </si>
  <si>
    <t>MA MERCEDES HERNANDEZ HERNANDEZ</t>
  </si>
  <si>
    <t>HHVA807797</t>
  </si>
  <si>
    <t>FIDENCIO GARCIA SERVIN</t>
  </si>
  <si>
    <t>HHVA807794</t>
  </si>
  <si>
    <t>SHLWHK</t>
  </si>
  <si>
    <t>RFRWQQ</t>
  </si>
  <si>
    <t>25353 Y 25354</t>
  </si>
  <si>
    <t>DANIEL HERNANDEZ RIVERA</t>
  </si>
  <si>
    <t>RESERVA VILLA DEL PALMAR VALLARTA</t>
  </si>
  <si>
    <t>HHVA866272</t>
  </si>
  <si>
    <t>24370 Y 24416</t>
  </si>
  <si>
    <t>SERGIO MELENDEZ LOZANO</t>
  </si>
  <si>
    <t>HHVA838331</t>
  </si>
  <si>
    <t>MARCO JULIO TORRES MELENDEZ</t>
  </si>
  <si>
    <t>HHVA838333</t>
  </si>
  <si>
    <t>Eduardo Hassam  Gomez Martinez</t>
  </si>
  <si>
    <t>A8PSHS</t>
  </si>
  <si>
    <t>YDBV8T</t>
  </si>
  <si>
    <t>MONICA ESMERALDA GONZALEZ TEJEDA</t>
  </si>
  <si>
    <t>P6MWNY</t>
  </si>
  <si>
    <t>XIMENA GUADALUPE  VILLASEÑOR VIVANCO</t>
  </si>
  <si>
    <t>U95N8F</t>
  </si>
  <si>
    <t>ERNESTO VALADEZ HERNANDEZ</t>
  </si>
  <si>
    <t>HHVA856736</t>
  </si>
  <si>
    <t>RESERVA MOON PALACE CANCUN</t>
  </si>
  <si>
    <t>HHVA866896</t>
  </si>
  <si>
    <t>TRASLADO RESERVA MOON PALACE CANCUN</t>
  </si>
  <si>
    <t>HHVA867139</t>
  </si>
  <si>
    <t>MARTA  CAMPOS GARCIA</t>
  </si>
  <si>
    <t>SYFL5P</t>
  </si>
  <si>
    <t>HUMBERTO DANIEL RODRIGUEZ MARTINEZ</t>
  </si>
  <si>
    <t>RESERVA HACIENDA BUENAVENTURA VALLARTA</t>
  </si>
  <si>
    <t>HHVA868066</t>
  </si>
  <si>
    <t>25417 Y 25416</t>
  </si>
  <si>
    <t>MARIA PAULINA CONTRERAS</t>
  </si>
  <si>
    <t>RESERVA THE HACIENDA AT KRYSTAL ALTITUDE PVR</t>
  </si>
  <si>
    <t>HHVA868111</t>
  </si>
  <si>
    <t>MARIA GUADALUPE  GONZALEZ TEJEDA</t>
  </si>
  <si>
    <t>Z9FMWI</t>
  </si>
  <si>
    <t>25416 y 25417</t>
  </si>
  <si>
    <t>Maria Paulina  Contreras</t>
  </si>
  <si>
    <t>VUELOS TIJ-PVR</t>
  </si>
  <si>
    <t>GE46ST</t>
  </si>
  <si>
    <t>LUZ MARIA  FLORES ACEVES</t>
  </si>
  <si>
    <t>ZH1VVA</t>
  </si>
  <si>
    <t>DULCE MARIA  MARQUEZ ARIAS</t>
  </si>
  <si>
    <t>DFQ1NN</t>
  </si>
  <si>
    <t>Christopher  Orocio Lozano</t>
  </si>
  <si>
    <t>DYLT9M</t>
  </si>
  <si>
    <t>HHVA868354</t>
  </si>
  <si>
    <t>TANIA  DE ANDA UBIARCO</t>
  </si>
  <si>
    <t>AYY8XP</t>
  </si>
  <si>
    <t>MARIA DEL REFUGIO  RODRIGUEZ SANTOS</t>
  </si>
  <si>
    <t>IJF59B</t>
  </si>
  <si>
    <t>CONCEPCION GUTIERREZ RIVAS</t>
  </si>
  <si>
    <t>RESERVA CITY EXPRESS CDMX LA VILLA</t>
  </si>
  <si>
    <t>DOLORES GUTIERREZ RIVAS</t>
  </si>
  <si>
    <t>SALVADOR SOLIS GUTIERREZ</t>
  </si>
  <si>
    <t>MARIA DE LA PAZ GUTIERREZ RIVAS</t>
  </si>
  <si>
    <t>JOSEFINA GUTIERREZ RIVAS</t>
  </si>
  <si>
    <t>BRIGGITE  TAPIA REYES</t>
  </si>
  <si>
    <t>XGVLQA</t>
  </si>
  <si>
    <t>ANDREA DE JESUS  CRUZ GALVAN</t>
  </si>
  <si>
    <t>GCLJUJ</t>
  </si>
  <si>
    <t>GABRIEL  AGUILAR</t>
  </si>
  <si>
    <t>Q91CMV</t>
  </si>
  <si>
    <t>25521 Y 25522</t>
  </si>
  <si>
    <t>Ignacio  Camarena Cuevas</t>
  </si>
  <si>
    <t>N6MN8L</t>
  </si>
  <si>
    <t>JUAN LUIS  JIMENEZ GARCIA</t>
  </si>
  <si>
    <t>VUELOS GDL-HMO</t>
  </si>
  <si>
    <t>XYDHWF</t>
  </si>
  <si>
    <t>CARLOS  PADILLA</t>
  </si>
  <si>
    <t>X6D7FB</t>
  </si>
  <si>
    <t>25522 Y 25521</t>
  </si>
  <si>
    <t>HHVA870809</t>
  </si>
  <si>
    <t>TRASLADOS RESERVA MOON PALACE CANCUN</t>
  </si>
  <si>
    <t>AO142840</t>
  </si>
  <si>
    <t>ROSARIO LOPEZ</t>
  </si>
  <si>
    <t>HHVA866815</t>
  </si>
  <si>
    <t>GIL PADILLA</t>
  </si>
  <si>
    <t>HHVA871470</t>
  </si>
  <si>
    <t>DEVORA CASSANDRA VERA ESPINOZA</t>
  </si>
  <si>
    <t>RESERVA RIU PALACE PENINSULA</t>
  </si>
  <si>
    <t>HHVA871913</t>
  </si>
  <si>
    <t>TRASLADO RESERVA RIU PALACE PENINSULA</t>
  </si>
  <si>
    <t>LJKVUE</t>
  </si>
  <si>
    <t>MARIA GUADALUPE  TEJEDA COS Y LEON</t>
  </si>
  <si>
    <t>QJVU6B</t>
  </si>
  <si>
    <t>MARIA GUADALUPE  LOPEZ GARNICA</t>
  </si>
  <si>
    <t>UF492Q</t>
  </si>
  <si>
    <t>SERGIO  BALTAZAR DE JESUS</t>
  </si>
  <si>
    <t>NI7E5U</t>
  </si>
  <si>
    <t>MIRIAM VALVERDE VALLEJO</t>
  </si>
  <si>
    <t>RESERVA GRAND OASIS CANCUN</t>
  </si>
  <si>
    <t>HHVA820756</t>
  </si>
  <si>
    <t>CAMBIO A HHVA872730 $1,514 MAS ECONOMICA</t>
  </si>
  <si>
    <t>TRASLADO RESERVA GRAND OASIS CANCUN</t>
  </si>
  <si>
    <t>Y9L84P</t>
  </si>
  <si>
    <t>Manuel  Zavala Rico</t>
  </si>
  <si>
    <t>Q7Q2TL</t>
  </si>
  <si>
    <t>VUELOS LAX-BJX</t>
  </si>
  <si>
    <t>EH3H8H</t>
  </si>
  <si>
    <t>ALEJANDRO GOL MEDRANO</t>
  </si>
  <si>
    <t>RESERVA GRAND ISLA NAVIDAD</t>
  </si>
  <si>
    <t>HHVA872958</t>
  </si>
  <si>
    <t>JUAN DAVID  GUTIERREZ SANCHEZ</t>
  </si>
  <si>
    <t>KE7FNT</t>
  </si>
  <si>
    <t>MIRIAM GUADALUPE  FLORES QUIROZ</t>
  </si>
  <si>
    <t>F7SJQI</t>
  </si>
  <si>
    <t>PEWR5Q</t>
  </si>
  <si>
    <t>JAIME AZAEL RODRIGUEZ LOPEZ</t>
  </si>
  <si>
    <t>VUELOS MAD-GDL</t>
  </si>
  <si>
    <t>MBVSEW//SOECEA</t>
  </si>
  <si>
    <t>GOTOGATE</t>
  </si>
  <si>
    <t>LEONARDO  LEON JR</t>
  </si>
  <si>
    <t>L86M6V</t>
  </si>
  <si>
    <t>OCTAVIO IÑIGUEZ GUZMAN</t>
  </si>
  <si>
    <t>HHVA873466</t>
  </si>
  <si>
    <t>MARIA LUISA GUZMAN HERNANDEZ</t>
  </si>
  <si>
    <t>HHVA873473</t>
  </si>
  <si>
    <t>RAFAEL HUERTA MELENDEZ</t>
  </si>
  <si>
    <t>HVA874963</t>
  </si>
  <si>
    <t>VUELOS GDL-TGZ</t>
  </si>
  <si>
    <t>CG7CSX</t>
  </si>
  <si>
    <t>VUELOS VILLAHERMOSA-GDL</t>
  </si>
  <si>
    <t>S581WB</t>
  </si>
  <si>
    <t>MG9EHN/GHJITX</t>
  </si>
  <si>
    <t>HHVA860931</t>
  </si>
  <si>
    <t>ADRIAN GUTIERREZ</t>
  </si>
  <si>
    <t>HHVA864774</t>
  </si>
  <si>
    <t>ELVA GUTIERREZ</t>
  </si>
  <si>
    <t>HHVA864773</t>
  </si>
  <si>
    <t>784 MAS ECONOMICA</t>
  </si>
  <si>
    <t>OCTAVIO GUTIERREZ</t>
  </si>
  <si>
    <t>HHVA864787</t>
  </si>
  <si>
    <t>1,182 MAS ECONOMICA</t>
  </si>
  <si>
    <t>GILBERTO GUTIERREZ</t>
  </si>
  <si>
    <t>HHVA864798</t>
  </si>
  <si>
    <t>1500 MAS ECONOMICA</t>
  </si>
  <si>
    <t>JUAN ALBERTO GUTIERREZ</t>
  </si>
  <si>
    <t>HHVA864805</t>
  </si>
  <si>
    <t>ALICIA GUTIERREZ</t>
  </si>
  <si>
    <t>HHVA864806</t>
  </si>
  <si>
    <t>DIANELLY GUTIERREZ</t>
  </si>
  <si>
    <t>HHVA864827</t>
  </si>
  <si>
    <t>MARTHA TORRES</t>
  </si>
  <si>
    <t>HHVA864835</t>
  </si>
  <si>
    <t>LETICIA GUTIERREZ</t>
  </si>
  <si>
    <t>RES020118 10386</t>
  </si>
  <si>
    <t>EDWIN ABRAHAM LEON ZUÑIGA</t>
  </si>
  <si>
    <t>HHVA864841</t>
  </si>
  <si>
    <t>983 MAS ECONOMICA</t>
  </si>
  <si>
    <t>FABIAN GUTIERREZ</t>
  </si>
  <si>
    <t>HHVA865319</t>
  </si>
  <si>
    <t>GUSTAVO GUTIERREZ</t>
  </si>
  <si>
    <t>HHVA867404</t>
  </si>
  <si>
    <t>2,015 MAS ECONOMICA</t>
  </si>
  <si>
    <t>MIGUEL ANGEL GARCIA</t>
  </si>
  <si>
    <t>RESERVA CITY ESPRESS JUNIOR JUAREZ CONSULADO</t>
  </si>
  <si>
    <t>VICTOR GUZMAN PEREZ</t>
  </si>
  <si>
    <t>VUELOS GDL-VILLAHERMOSA</t>
  </si>
  <si>
    <t>B647YY</t>
  </si>
  <si>
    <t>MALCOLM DANIEL  GONZALEZ ROJO</t>
  </si>
  <si>
    <t>KYVLXP</t>
  </si>
  <si>
    <t>SILVIA ORNELAS ZARATE</t>
  </si>
  <si>
    <t>RESERVA HILTON TULUM RIVIERA MAYA</t>
  </si>
  <si>
    <t>HHVA875719</t>
  </si>
  <si>
    <t>TRASLADOS A HILTON TULUM RIVIERA MAYA</t>
  </si>
  <si>
    <t>GDMTFT</t>
  </si>
  <si>
    <t>LUIS ENRIQUE  VILLARUEL TINAJERO</t>
  </si>
  <si>
    <t>FE6RQT</t>
  </si>
  <si>
    <t>23347, 23413, 23414, 23415, 23416, 23362</t>
  </si>
  <si>
    <t>MARCOS GILBERTO MEZA RUIZ</t>
  </si>
  <si>
    <t>RESERVA CROWN PARADISE GOLDEN</t>
  </si>
  <si>
    <t>HHVA810464</t>
  </si>
  <si>
    <t>CAMBIO A 10671518 $525.00 Mas economico</t>
  </si>
  <si>
    <t>CECILIA ORTIZ GONZALEZ</t>
  </si>
  <si>
    <t>HHVA810469</t>
  </si>
  <si>
    <t>CAMBIO A 10671540 $525.00 Mas economico</t>
  </si>
  <si>
    <t>CESAR ALBERTO RIVAS HERNANDEZ</t>
  </si>
  <si>
    <t>798 MAS ECONOMICA</t>
  </si>
  <si>
    <t>JOSE JUAN RIZO IÑIGUEZ</t>
  </si>
  <si>
    <t>HHVA810473</t>
  </si>
  <si>
    <t>CAMBIO A 01671610 $798 MAS ECONOMICA</t>
  </si>
  <si>
    <t>ALONDRA JAZMIN JIMENEZ HERNANDEZ</t>
  </si>
  <si>
    <t>HHVA810481</t>
  </si>
  <si>
    <t>CAMBIO A 10671552 $525.00 Mas economico</t>
  </si>
  <si>
    <t>EDGAR OSWALDO HERNANDEZ SANTOS</t>
  </si>
  <si>
    <t>HHVA810489</t>
  </si>
  <si>
    <t>CAMBIO A 10671572 $525.00 Mas economico</t>
  </si>
  <si>
    <t>camioneta 20 pax CROWN PARADISE GOLDEN</t>
  </si>
  <si>
    <t>22798 Y 25439</t>
  </si>
  <si>
    <t>KAROL RUBI GONZALEZ ROCHA</t>
  </si>
  <si>
    <t>HHVA866511</t>
  </si>
  <si>
    <t>RAMIRO GONZALEZ VIVANCO</t>
  </si>
  <si>
    <t>HHVA866521</t>
  </si>
  <si>
    <t>ESTEFANIA GONZALEZ ROCHA</t>
  </si>
  <si>
    <t>HHVA866526</t>
  </si>
  <si>
    <t>XIMENA GUADALUPE  VILLASENOR VIVANCO</t>
  </si>
  <si>
    <t>DBNT9J</t>
  </si>
  <si>
    <t>SALVADOR AGUAYO VAZQUEZ</t>
  </si>
  <si>
    <t>HHVA876240</t>
  </si>
  <si>
    <t>CRISTIAN ALEXANDER GARCIA</t>
  </si>
  <si>
    <t>HHVA876592</t>
  </si>
  <si>
    <t>DIANA IRENE GONZALEZ HERNANDEZ</t>
  </si>
  <si>
    <t>WNKHXW</t>
  </si>
  <si>
    <t>NCSIMJ</t>
  </si>
  <si>
    <t>Emiliano Plascencia</t>
  </si>
  <si>
    <t>VUELOS GDL-OMAHA</t>
  </si>
  <si>
    <t>BACUYR</t>
  </si>
  <si>
    <t>RODOLFO  VALLE HERNANDEZ</t>
  </si>
  <si>
    <t>UDJLVJ</t>
  </si>
  <si>
    <t>ARIADNA  SOTO PEREZ</t>
  </si>
  <si>
    <t>VUELOS MEX-GDL</t>
  </si>
  <si>
    <t>D72WKY</t>
  </si>
  <si>
    <t>VICTOR ALFONSO VALDEZ  LIMON</t>
  </si>
  <si>
    <t>QBUK4Z</t>
  </si>
  <si>
    <t>ROCIO VAZQUEZ SEVILLA</t>
  </si>
  <si>
    <t>HHVA838684</t>
  </si>
  <si>
    <t>22715, 22851</t>
  </si>
  <si>
    <t>JOSE DE JESUS VARELA ARRIAGA</t>
  </si>
  <si>
    <t>HHVA790190</t>
  </si>
  <si>
    <t>22362 Y 25782</t>
  </si>
  <si>
    <t>DANIELA MONSERRAT HERNANDEZ DAVILA</t>
  </si>
  <si>
    <t>HHVA779010</t>
  </si>
  <si>
    <t>EVANGELINA MACIAS HERNANDEZ</t>
  </si>
  <si>
    <t>HHVA779337</t>
  </si>
  <si>
    <t>JOSE MANUEL HERNANDEZ DAVILA</t>
  </si>
  <si>
    <t>HHVA778988</t>
  </si>
  <si>
    <t>OSCAR HERNANDEZ HERNANDEZ</t>
  </si>
  <si>
    <t>HHVA778980</t>
  </si>
  <si>
    <t>DANIELA MONSERRAT HERNANDEZ DAVILA (13 PERSONAS)</t>
  </si>
  <si>
    <t>TRASLADOS AL HOTEL BLUEBAY</t>
  </si>
  <si>
    <t>HHVA783397</t>
  </si>
  <si>
    <t>CANCELADA 13 DE MARZO</t>
  </si>
  <si>
    <t>BRENDA GUADALUPE ARRIAGA MORENO</t>
  </si>
  <si>
    <t>HHVA832864</t>
  </si>
  <si>
    <t>MARIA DOLORES MORENO ARRIAGA</t>
  </si>
  <si>
    <t>HHVA832879</t>
  </si>
  <si>
    <t>JOCELIN ARRIAGA MORENO</t>
  </si>
  <si>
    <t>HHVA832872</t>
  </si>
  <si>
    <t>CECILIO ARRIAGA MELENDEZ</t>
  </si>
  <si>
    <t>HHVA832874</t>
  </si>
  <si>
    <t>JOSE GUADALUPE ARRIAGA MELENDEZ</t>
  </si>
  <si>
    <t>HHVA832878</t>
  </si>
  <si>
    <t>ANGELITA GUZMAN</t>
  </si>
  <si>
    <t>HHVA835199</t>
  </si>
  <si>
    <t>HONORIO FUENTES</t>
  </si>
  <si>
    <t>ERIKA FUENTES</t>
  </si>
  <si>
    <t>MARIA SOCORRO ARRIAGA MELENDEZ</t>
  </si>
  <si>
    <t>ROSA VERONICA DELGADILLO SERRATOS</t>
  </si>
  <si>
    <t>HHVA861437</t>
  </si>
  <si>
    <t>MARIA ELENA SERRATOS LOPEZ</t>
  </si>
  <si>
    <t>HHVA861438</t>
  </si>
  <si>
    <t>MARIA ELENA DELGADILLO SERRATOS</t>
  </si>
  <si>
    <t>HHVA861440</t>
  </si>
  <si>
    <t>IMELDA NATALY SOTO GONZALEZ</t>
  </si>
  <si>
    <t>HHVA865385</t>
  </si>
  <si>
    <t>NORMA ROJO</t>
  </si>
  <si>
    <t>GRUPO KRYSTAL IXTAPA 17+1</t>
  </si>
  <si>
    <t>TG ROJO</t>
  </si>
  <si>
    <t>MARIA IMACOP GDL</t>
  </si>
  <si>
    <t>HHVA856627</t>
  </si>
  <si>
    <t>ANA LAURA LOPEZ ARIAS</t>
  </si>
  <si>
    <t>HHVA856629</t>
  </si>
  <si>
    <t>HECTOR ADRIAN GARCIA ALVIZO</t>
  </si>
  <si>
    <t>HHVA856634</t>
  </si>
  <si>
    <t>ALEXIA HERNANDEZ HVA758834</t>
  </si>
  <si>
    <t>JUAN JOSE FLORES GUZMAN</t>
  </si>
  <si>
    <t>HHVA866219</t>
  </si>
  <si>
    <t>BRENDA KARINA VAZQUEZ CHAVEZ</t>
  </si>
  <si>
    <t>HHVA866224</t>
  </si>
  <si>
    <t>MIGUEL MARTINEZ GUTIERREZ</t>
  </si>
  <si>
    <t>HHVA8504430</t>
  </si>
  <si>
    <t>TRASLADO 5 PERSONAS RESERVA FLAMINGO CANCUN</t>
  </si>
  <si>
    <t>25363, 25371</t>
  </si>
  <si>
    <t>MARIA ISABEL ACEVES LOZANO</t>
  </si>
  <si>
    <t>HHVA865191</t>
  </si>
  <si>
    <t>CARLOS ACEVES LOZANO</t>
  </si>
  <si>
    <t>HHVA865194</t>
  </si>
  <si>
    <t>CLAUDIA ACEVES CONTRERAS</t>
  </si>
  <si>
    <t>HHVA864633</t>
  </si>
  <si>
    <t>ERNESTO ACEVES CONTRERAS</t>
  </si>
  <si>
    <t>HHVA864635</t>
  </si>
  <si>
    <t>OLIVIA GUADALUPE CONTRERAS SALCIDO</t>
  </si>
  <si>
    <t>HHVA864636</t>
  </si>
  <si>
    <t>JAIME ANTONIO ACEVES LOZANO</t>
  </si>
  <si>
    <t>HHVA864643</t>
  </si>
  <si>
    <t>ERICA CONTRERAS SALCIDO</t>
  </si>
  <si>
    <t>HHVA865396</t>
  </si>
  <si>
    <t>LORENA ARRIAGA ASCENCIO</t>
  </si>
  <si>
    <t>HHVA865397</t>
  </si>
  <si>
    <t>MAYRA HERNANDEZ ACEVES</t>
  </si>
  <si>
    <t>HHVA865402</t>
  </si>
  <si>
    <t>COMBI 20 PAX A DECAMERON LA MARINA</t>
  </si>
  <si>
    <t>ANA KARINA GOMEZ LOPEZ</t>
  </si>
  <si>
    <t>RESERVA THE REEF COCO BEACH</t>
  </si>
  <si>
    <t>HHVA820055</t>
  </si>
  <si>
    <t>JOSE GUADALUPE NAVARRO</t>
  </si>
  <si>
    <t>GRUPO TESORO MANZANILLO 30+3</t>
  </si>
  <si>
    <t>ABRIL IMACOP GDL</t>
  </si>
  <si>
    <t>LUPITA BUSTOS Y LIDIA CRISTINA</t>
  </si>
  <si>
    <t>GRUPO CROWN PARADISE CLUB PVR 30+2</t>
  </si>
  <si>
    <t>22942, 23008, 23186</t>
  </si>
  <si>
    <t>ROSA BRISEÑO</t>
  </si>
  <si>
    <t>ENNEA HVA758841</t>
  </si>
  <si>
    <t>JUAN PABLO NAVARRETE LOZANO</t>
  </si>
  <si>
    <t>HHVA839857</t>
  </si>
  <si>
    <t>JOSE MARTIN GARCIA SANCHEZ</t>
  </si>
  <si>
    <t>RESERVA ANTERA</t>
  </si>
  <si>
    <t>MIREYA GUERRERO</t>
  </si>
  <si>
    <t>GRUPO FRIENDLY VALLARTA 15+1</t>
  </si>
  <si>
    <t>LILIANA IMACOP GDL</t>
  </si>
  <si>
    <t>YAHAIRA YAMILETTE DE LA CERDA HERRERA</t>
  </si>
  <si>
    <t>HHVA864218</t>
  </si>
  <si>
    <t>JUAN JOSE DIAZ GUTIERREZ</t>
  </si>
  <si>
    <t>HHVA864219</t>
  </si>
  <si>
    <t>YESICA ALEJANDRA VALTIERRA GUTIERREZ</t>
  </si>
  <si>
    <t>HHVA864216</t>
  </si>
  <si>
    <t>SANDRA GUADALUPE QUIROZ ORTEGA</t>
  </si>
  <si>
    <t>HHVA864223</t>
  </si>
  <si>
    <t>MARIA ELENA BELTRAN LOZANO</t>
  </si>
  <si>
    <t>ANDRES ALEJANDRO CONCHAS BELTRAN</t>
  </si>
  <si>
    <t>GERARDO CHAVEZ AYALA</t>
  </si>
  <si>
    <t>HHVA843833</t>
  </si>
  <si>
    <t>JOSE ANTONIO CHAVEZ VAZQUEZ</t>
  </si>
  <si>
    <t>HHVA846687</t>
  </si>
  <si>
    <t>MAS ECONOMICA $3,411.00</t>
  </si>
  <si>
    <t>HHVA843831</t>
  </si>
  <si>
    <t>MAS ECONNOMICA $6,754.00 CAMBIO A HHVA846695</t>
  </si>
  <si>
    <t>23321, 23831</t>
  </si>
  <si>
    <t>ESTRELLA ALEJANDRA LOPEZ HERNANDEZ</t>
  </si>
  <si>
    <t>HHVA824446</t>
  </si>
  <si>
    <t>MANUEL ENRIQUE SANCHEZ ROCHA</t>
  </si>
  <si>
    <t>HHVA824751</t>
  </si>
  <si>
    <t>HHVA824719</t>
  </si>
  <si>
    <t>MARIA FERNANDA LOPEZ SANTACRUZ</t>
  </si>
  <si>
    <t>HHVA824745</t>
  </si>
  <si>
    <t>JOSUE VILLASEÑOR ALFARO</t>
  </si>
  <si>
    <t>HHVA824733</t>
  </si>
  <si>
    <t>OSCAR EDUARDO GONZALEZ ESCAMILLA</t>
  </si>
  <si>
    <t>HHVA837963</t>
  </si>
  <si>
    <t>HHVA824777</t>
  </si>
  <si>
    <t>JUAN CARLOS TABAREZ</t>
  </si>
  <si>
    <t>GRUPO ROYAL DECAMERON COMPLEX 30+2</t>
  </si>
  <si>
    <t>BRENDA NATLLELY RAMIRES CEVILLA</t>
  </si>
  <si>
    <t>HHVA806087</t>
  </si>
  <si>
    <t>VICENTE RAMIREZ GARCIA</t>
  </si>
  <si>
    <t>HHVA806101</t>
  </si>
  <si>
    <t>HHVA806105</t>
  </si>
  <si>
    <t>FATIMA LIZETH LOPEZ LOPEZ</t>
  </si>
  <si>
    <t>HHVA832538</t>
  </si>
  <si>
    <t>GRISELDA GUADALUPE TORRES VARELA</t>
  </si>
  <si>
    <t>VALERIA PADILLA ACEVES</t>
  </si>
  <si>
    <t xml:space="preserve">RESERVACION NICKELODEON </t>
  </si>
  <si>
    <t>HHVA841319</t>
  </si>
  <si>
    <t>SILVIA SUSANA ACEVES HERNANDEZ</t>
  </si>
  <si>
    <t>HHVA841315</t>
  </si>
  <si>
    <t>JUANITA HERNANDEZ DELGADO</t>
  </si>
  <si>
    <t>BLANCA ESTELA AGUIRRE DIAZ</t>
  </si>
  <si>
    <t>GRUPO ROYAL DECAMERON COMPLEX 15+1</t>
  </si>
  <si>
    <t>JOEL HERNANDEZ GOMEZ</t>
  </si>
  <si>
    <t>NOEMI HERNANDEZ GOMEZ</t>
  </si>
  <si>
    <t>HHVA824191</t>
  </si>
  <si>
    <t>EMMANUEL AMEZOLA SERVIN</t>
  </si>
  <si>
    <t>RESERVA XCARET ARTE</t>
  </si>
  <si>
    <t>HHVA856114</t>
  </si>
  <si>
    <t xml:space="preserve">TRASLADO HOTEL-AEROPUERTO </t>
  </si>
  <si>
    <t>BRENDA JAZMIN VARGAS HERNANDEZ</t>
  </si>
  <si>
    <t>DANIELA GONZALEZ ENRIQUEZ</t>
  </si>
  <si>
    <t>ESPERANZA DE LOURDES LOPEZ GONZALEZ</t>
  </si>
  <si>
    <t>RESERVA DREAMS SANDS CANCUN</t>
  </si>
  <si>
    <t>HHVA827545</t>
  </si>
  <si>
    <t>JULIO CESAR LOZANO LOPEZ</t>
  </si>
  <si>
    <t>HHVA827548</t>
  </si>
  <si>
    <t>GILDARDO HERNANDEZ JIMENEZ</t>
  </si>
  <si>
    <t>YESSENIA ALEJANDRA ROJAS RIZO</t>
  </si>
  <si>
    <t>LUIS FELIPE RODRIGUEZ JAUREGUI</t>
  </si>
  <si>
    <t>MOISES ROMAN RIVERA GALVIZ</t>
  </si>
  <si>
    <t>JOSE SALVADOR MACIAS ROMO</t>
  </si>
  <si>
    <t>RESERVA RIU PALACE KUKULKAN</t>
  </si>
  <si>
    <t>HHVA856173</t>
  </si>
  <si>
    <t>TRASLADO INTER HOTEL XCARET-RIU KUKULKAN</t>
  </si>
  <si>
    <t>MARIA GUADALUPE ALDAPE GUZMAN</t>
  </si>
  <si>
    <t>GRUPO KRYSTAL GRAND 30+3</t>
  </si>
  <si>
    <t>23264, 23265</t>
  </si>
  <si>
    <t>SERGIO ANTONIO GUTIERREZ ALVIZO</t>
  </si>
  <si>
    <t>TG SERGIO</t>
  </si>
  <si>
    <t>ANA GABRIELA ALVIZO</t>
  </si>
  <si>
    <t>GRUPO TESORO MANZANILLO 10+1</t>
  </si>
  <si>
    <t>CINTHYA RECORD</t>
  </si>
  <si>
    <t>EONO HVA758843</t>
  </si>
  <si>
    <t>OSCAR LOZANO LEON</t>
  </si>
  <si>
    <t>HHVA829543</t>
  </si>
  <si>
    <t>LUZ ELVA LEON ASCENCIO</t>
  </si>
  <si>
    <t>HHVA829547</t>
  </si>
  <si>
    <t>MARIA GUADALUPELOZANO LEON</t>
  </si>
  <si>
    <t>HHVA829549</t>
  </si>
  <si>
    <t>HHVA829414</t>
  </si>
  <si>
    <t>ALEJANDRA CORONADO MACIAS</t>
  </si>
  <si>
    <t>HHVA829415</t>
  </si>
  <si>
    <t>ADAN WILFREDO MALACARA SALAZAR</t>
  </si>
  <si>
    <t>RESERVA EMPORIO IXTAPA</t>
  </si>
  <si>
    <t>HHVA841986</t>
  </si>
  <si>
    <t>PAOLA MARGARITA GONZALEZ FRAUSTO</t>
  </si>
  <si>
    <t>HHVA841984</t>
  </si>
  <si>
    <t>GRUPO CROWN PARADISE CLUB PVR</t>
  </si>
  <si>
    <t>BERTHA GUTIERREZ</t>
  </si>
  <si>
    <t>GRUPO ANGELES LOCOS 17+1</t>
  </si>
  <si>
    <t>ANGELINA GUZMAN</t>
  </si>
  <si>
    <t>GRUPO SUNSCAPE IXTAPA 30+2</t>
  </si>
  <si>
    <t>TERESA ARRIAGA GONZALEZ</t>
  </si>
  <si>
    <t>RESERVA GRAND PARK ROYAL CANCUN</t>
  </si>
  <si>
    <t>HHVA799425</t>
  </si>
  <si>
    <t>MARTHA GARCIA</t>
  </si>
  <si>
    <t>GRUPO RIU EMERALD BAY 15+1</t>
  </si>
  <si>
    <t>JESUS POZO</t>
  </si>
  <si>
    <t>BLANCA BOITES LOPEZ</t>
  </si>
  <si>
    <t>GRUPO CROWN PARADISE CLUB PVR 15+1</t>
  </si>
  <si>
    <t>TG BOITES</t>
  </si>
  <si>
    <t xml:space="preserve">LAURA HERNANDEZ </t>
  </si>
  <si>
    <t>TG LAURA</t>
  </si>
  <si>
    <t>MARIA PLASCENCIA TORRES</t>
  </si>
  <si>
    <t>GRUPO MELIA VALLARTA 15+1</t>
  </si>
  <si>
    <t>TG MARIA PLASCENCIA</t>
  </si>
  <si>
    <t>HHVA815268</t>
  </si>
  <si>
    <t>TRASLADO RESERVA IBEROSTAR SELECTION CANCUN</t>
  </si>
  <si>
    <t>VALERIA GETSEMANI BARBOZA MULGADO</t>
  </si>
  <si>
    <t>RAMON BARBOZA MULGADO</t>
  </si>
  <si>
    <t>HHVA874839</t>
  </si>
  <si>
    <t>JOSE LUIS BARBOZA MULGADO</t>
  </si>
  <si>
    <t>HHVA874829</t>
  </si>
  <si>
    <t>BEATRIZ DE LEON ALVARADO</t>
  </si>
  <si>
    <t>33KY4B</t>
  </si>
  <si>
    <t>JUANA LOPEZ LOPEZ</t>
  </si>
  <si>
    <t>HHVA820670</t>
  </si>
  <si>
    <t>FRANCISCO ESCOTO</t>
  </si>
  <si>
    <t>GDL836485</t>
  </si>
  <si>
    <t>JOEL PADILLA MORALES</t>
  </si>
  <si>
    <t>HHVA782275</t>
  </si>
  <si>
    <t>RUTO RUBIO ARAMBULA</t>
  </si>
  <si>
    <t>HHVA782274</t>
  </si>
  <si>
    <t>RAFAEL LOPEZ LOPEZ</t>
  </si>
  <si>
    <t>TG BLANCO</t>
  </si>
  <si>
    <t>ADRIANA ZAVALA</t>
  </si>
  <si>
    <t>GRUPO COSTA DE ORO MZT 30+2</t>
  </si>
  <si>
    <t>MARIA DEL CARMEN MARQUEZ LEON</t>
  </si>
  <si>
    <t>DANIEL ALVAREZ LOPEZ</t>
  </si>
  <si>
    <t xml:space="preserve">RESERVA HACIENDA SUITES LORETO </t>
  </si>
  <si>
    <t>KARINA ALVAREZ LOPEZ</t>
  </si>
  <si>
    <t>M YOLANDA LOPEZ VILLASENOR</t>
  </si>
  <si>
    <t>FELIPE LOPEZ VILLASENOR</t>
  </si>
  <si>
    <t>JOSE FABIAN LOPEZ VILLASENOR</t>
  </si>
  <si>
    <t>ENGILBERTO LOPEZ VILLASENOR</t>
  </si>
  <si>
    <t>PORFIRIO LOPEZ VILLASENOR</t>
  </si>
  <si>
    <t>EUGENIO VILLASENOR VAZQUEZ</t>
  </si>
  <si>
    <t>JUAN GABRIEL MORALES PADILLA</t>
  </si>
  <si>
    <t>ADRIANA VILLASENOR QUIROZ</t>
  </si>
  <si>
    <t>RESERVA ONE LA PAZ</t>
  </si>
  <si>
    <t>BLANCA FLORES</t>
  </si>
  <si>
    <t>GRUPO VIAGGIO MAZATLAN 30+2</t>
  </si>
  <si>
    <t>RAYMUNDO VALLE MUÑOZ</t>
  </si>
  <si>
    <t>RESERVA WYNDHAM GARDEN LAKE BUENA VISTA</t>
  </si>
  <si>
    <t>ENRIQUE HERNANDEZ GARCIA</t>
  </si>
  <si>
    <t>LEONARDO MAGAÑA MARTINEZ</t>
  </si>
  <si>
    <t>ROBERT DIAZ</t>
  </si>
  <si>
    <t>KAREN ITZEL LOPEZ SERRATOS</t>
  </si>
  <si>
    <t>ALONDRA MARISELA ORNELAS SERRATOD</t>
  </si>
  <si>
    <t>IMELDA AGUIRRE LEON</t>
  </si>
  <si>
    <t>BERTHA SERRATOS TAVAREZ</t>
  </si>
  <si>
    <t>DASEOT HVA758833</t>
  </si>
  <si>
    <t>JOSE DE JESUS PENILLA CHAVEZ</t>
  </si>
  <si>
    <t>RESERVA ONE TIJUANA TAY</t>
  </si>
  <si>
    <t>JOSE DAVID PENILLA CHAVEZ</t>
  </si>
  <si>
    <t>LUCIA HERNANDEZ HUERTA</t>
  </si>
  <si>
    <t>HHVA863457</t>
  </si>
  <si>
    <t>YUDITH GUADALUPE TAVARES AGUILAR</t>
  </si>
  <si>
    <t>ROGELIO MORALES ENRIQUEZ</t>
  </si>
  <si>
    <t>FRANCISCO JAVIER CAMARENA MURILLO</t>
  </si>
  <si>
    <t>JOSE ARMANDO LARA JIMENEZ</t>
  </si>
  <si>
    <t>LUIS ALBERTO TAVARES REYNOSO</t>
  </si>
  <si>
    <t>2022-2023</t>
  </si>
  <si>
    <t>Vacaciones</t>
  </si>
  <si>
    <t>SEMANA SANTA</t>
  </si>
  <si>
    <t>16 sep (Viernes)</t>
  </si>
  <si>
    <t>JERALDY</t>
  </si>
  <si>
    <t>JULIO</t>
  </si>
  <si>
    <t>DOMINGO</t>
  </si>
  <si>
    <t xml:space="preserve">JOHANA </t>
  </si>
  <si>
    <t>SEPTIEMBRE</t>
  </si>
  <si>
    <t>SABADO</t>
  </si>
  <si>
    <t>JAZMIN</t>
  </si>
  <si>
    <t>AGOSTO</t>
  </si>
  <si>
    <t>JUEVES</t>
  </si>
  <si>
    <t xml:space="preserve">DENISSE </t>
  </si>
  <si>
    <t>MARZO</t>
  </si>
  <si>
    <t>No aplica</t>
  </si>
  <si>
    <t>No aplica (fechas 2022)</t>
  </si>
  <si>
    <t>2023-2024</t>
  </si>
  <si>
    <t>16 sep (Sabado)</t>
  </si>
  <si>
    <t>2024-2025</t>
  </si>
  <si>
    <t>16 sep (Lunes)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</si>
</sst>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;[Red]\-&quot;$&quot;#,##0"/>
    <numFmt numFmtId="44" formatCode="_-&quot;$&quot;* #,##0.00_-;\-&quot;$&quot;* #,##0.00_-;_-&quot;$&quot;* &quot;-&quot;??_-;_-@_-"/>
    <numFmt numFmtId="164" formatCode="_-&quot;$&quot;* #,##0_-;\-&quot;$&quot;* #,##0_-;_-&quot;$&quot;* &quot;-&quot;??_-;_-@_-"/>
    <numFmt numFmtId="165" formatCode="_-&quot;$&quot;* #,##0.0_-;\-&quot;$&quot;* #,##0.0_-;_-&quot;$&quot;* &quot;-&quot;?_-;_-@_-"/>
    <numFmt numFmtId="166" formatCode="_-&quot;$&quot;* #,##0.00_-;\-&quot;$&quot;* #,##0.00_-;_-&quot;$&quot;* &quot;-&quot;???_-;_-@_-"/>
    <numFmt numFmtId="167" formatCode="_-[$$-80A]* #,##0.00_-;\-[$$-80A]* #,##0.00_-;_-[$$-80A]* &quot;-&quot;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0"/>
      <color rgb="FF000000"/>
      <name val="Tahoma"/>
      <family val="2"/>
    </font>
    <font>
      <sz val="11"/>
      <color rgb="FF000000"/>
      <name val="Calibri"/>
      <family val="2"/>
    </font>
    <font>
      <sz val="12"/>
      <color rgb="FF000000"/>
      <name val="Calibri"/>
      <scheme val="minor"/>
    </font>
    <font>
      <sz val="12"/>
      <color rgb="FF000000"/>
      <name val="Calibri Light"/>
      <scheme val="major"/>
    </font>
    <font>
      <sz val="11"/>
      <color rgb="FF000000"/>
      <name val="Calibri"/>
      <scheme val="minor"/>
    </font>
    <font>
      <sz val="9"/>
      <color rgb="FF000000"/>
      <name val="Arial"/>
      <charset val="1"/>
    </font>
    <font>
      <sz val="12"/>
      <color rgb="FF000000"/>
      <name val="Calibri"/>
    </font>
    <font>
      <sz val="11"/>
      <color rgb="FF000000"/>
      <name val="Calibri"/>
      <charset val="1"/>
    </font>
    <font>
      <sz val="11"/>
      <color rgb="FF000000"/>
      <name val="Calibri"/>
    </font>
  </fonts>
  <fills count="2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858B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theme="4" tint="0.79998168889431442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theme="6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medium">
        <color rgb="FFEBEBEB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11">
    <xf numFmtId="0" fontId="0" fillId="0" borderId="0" xfId="0"/>
    <xf numFmtId="14" fontId="0" fillId="0" borderId="0" xfId="0" applyNumberFormat="1"/>
    <xf numFmtId="44" fontId="0" fillId="0" borderId="0" xfId="1" applyFont="1"/>
    <xf numFmtId="44" fontId="0" fillId="0" borderId="0" xfId="0" applyNumberFormat="1"/>
    <xf numFmtId="0" fontId="0" fillId="2" borderId="0" xfId="0" applyFill="1"/>
    <xf numFmtId="164" fontId="0" fillId="2" borderId="0" xfId="0" applyNumberFormat="1" applyFill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4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3" borderId="0" xfId="0" applyFill="1"/>
    <xf numFmtId="0" fontId="0" fillId="4" borderId="0" xfId="0" applyFill="1"/>
    <xf numFmtId="0" fontId="0" fillId="6" borderId="0" xfId="0" applyFill="1"/>
    <xf numFmtId="14" fontId="0" fillId="6" borderId="0" xfId="0" applyNumberFormat="1" applyFill="1" applyAlignment="1">
      <alignment horizontal="center"/>
    </xf>
    <xf numFmtId="165" fontId="0" fillId="0" borderId="0" xfId="0" applyNumberFormat="1"/>
    <xf numFmtId="2" fontId="0" fillId="0" borderId="0" xfId="0" applyNumberFormat="1"/>
    <xf numFmtId="0" fontId="0" fillId="8" borderId="0" xfId="0" applyFill="1"/>
    <xf numFmtId="14" fontId="0" fillId="8" borderId="0" xfId="0" applyNumberFormat="1" applyFill="1" applyAlignment="1">
      <alignment horizontal="center"/>
    </xf>
    <xf numFmtId="0" fontId="0" fillId="9" borderId="0" xfId="0" applyFill="1"/>
    <xf numFmtId="0" fontId="0" fillId="10" borderId="0" xfId="0" applyFill="1"/>
    <xf numFmtId="14" fontId="0" fillId="10" borderId="0" xfId="0" applyNumberFormat="1" applyFill="1" applyAlignment="1">
      <alignment horizontal="center"/>
    </xf>
    <xf numFmtId="44" fontId="0" fillId="2" borderId="0" xfId="1" applyFont="1" applyFill="1" applyAlignment="1">
      <alignment horizontal="center"/>
    </xf>
    <xf numFmtId="0" fontId="0" fillId="0" borderId="4" xfId="0" applyBorder="1"/>
    <xf numFmtId="44" fontId="0" fillId="0" borderId="0" xfId="1" applyFont="1" applyAlignment="1">
      <alignment horizontal="left"/>
    </xf>
    <xf numFmtId="0" fontId="0" fillId="0" borderId="0" xfId="0" applyAlignment="1">
      <alignment horizontal="left"/>
    </xf>
    <xf numFmtId="14" fontId="8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/>
    </xf>
    <xf numFmtId="14" fontId="7" fillId="0" borderId="0" xfId="0" applyNumberFormat="1" applyFont="1" applyAlignment="1">
      <alignment horizontal="center"/>
    </xf>
    <xf numFmtId="14" fontId="9" fillId="0" borderId="0" xfId="0" applyNumberFormat="1" applyFont="1"/>
    <xf numFmtId="44" fontId="7" fillId="0" borderId="0" xfId="1" applyFont="1" applyAlignment="1">
      <alignment horizontal="left"/>
    </xf>
    <xf numFmtId="0" fontId="0" fillId="13" borderId="0" xfId="0" applyFill="1"/>
    <xf numFmtId="0" fontId="7" fillId="11" borderId="0" xfId="0" applyFont="1" applyFill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7" borderId="0" xfId="0" applyFill="1" applyAlignment="1">
      <alignment horizontal="left"/>
    </xf>
    <xf numFmtId="44" fontId="0" fillId="7" borderId="0" xfId="0" applyNumberFormat="1" applyFill="1"/>
    <xf numFmtId="14" fontId="8" fillId="14" borderId="0" xfId="0" applyNumberFormat="1" applyFont="1" applyFill="1" applyAlignment="1">
      <alignment horizontal="center"/>
    </xf>
    <xf numFmtId="14" fontId="0" fillId="14" borderId="0" xfId="0" applyNumberFormat="1" applyFill="1" applyAlignment="1">
      <alignment horizontal="center"/>
    </xf>
    <xf numFmtId="44" fontId="0" fillId="14" borderId="0" xfId="1" applyFont="1" applyFill="1" applyAlignment="1">
      <alignment horizontal="left"/>
    </xf>
    <xf numFmtId="44" fontId="0" fillId="14" borderId="0" xfId="1" applyFont="1" applyFill="1" applyAlignment="1">
      <alignment horizontal="center"/>
    </xf>
    <xf numFmtId="44" fontId="0" fillId="14" borderId="0" xfId="0" applyNumberFormat="1" applyFill="1" applyAlignment="1">
      <alignment horizontal="center"/>
    </xf>
    <xf numFmtId="14" fontId="11" fillId="14" borderId="5" xfId="0" applyNumberFormat="1" applyFont="1" applyFill="1" applyBorder="1" applyAlignment="1">
      <alignment horizontal="center"/>
    </xf>
    <xf numFmtId="14" fontId="9" fillId="14" borderId="0" xfId="0" applyNumberFormat="1" applyFont="1" applyFill="1"/>
    <xf numFmtId="14" fontId="9" fillId="15" borderId="0" xfId="0" applyNumberFormat="1" applyFont="1" applyFill="1"/>
    <xf numFmtId="0" fontId="0" fillId="15" borderId="0" xfId="0" applyFill="1"/>
    <xf numFmtId="14" fontId="0" fillId="15" borderId="0" xfId="0" applyNumberFormat="1" applyFill="1" applyAlignment="1">
      <alignment horizontal="center"/>
    </xf>
    <xf numFmtId="0" fontId="7" fillId="15" borderId="0" xfId="0" applyFont="1" applyFill="1" applyAlignment="1">
      <alignment horizontal="center"/>
    </xf>
    <xf numFmtId="0" fontId="0" fillId="15" borderId="0" xfId="0" applyFill="1" applyAlignment="1">
      <alignment horizontal="left"/>
    </xf>
    <xf numFmtId="44" fontId="10" fillId="16" borderId="0" xfId="0" applyNumberFormat="1" applyFont="1" applyFill="1"/>
    <xf numFmtId="44" fontId="0" fillId="15" borderId="0" xfId="0" applyNumberFormat="1" applyFill="1"/>
    <xf numFmtId="44" fontId="0" fillId="15" borderId="0" xfId="0" applyNumberFormat="1" applyFill="1" applyAlignment="1">
      <alignment horizontal="left"/>
    </xf>
    <xf numFmtId="14" fontId="9" fillId="0" borderId="6" xfId="0" applyNumberFormat="1" applyFon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14" fontId="7" fillId="11" borderId="0" xfId="0" applyNumberFormat="1" applyFont="1" applyFill="1" applyAlignment="1">
      <alignment horizontal="center"/>
    </xf>
    <xf numFmtId="44" fontId="0" fillId="8" borderId="0" xfId="0" applyNumberFormat="1" applyFill="1" applyAlignment="1">
      <alignment horizontal="center"/>
    </xf>
    <xf numFmtId="44" fontId="0" fillId="17" borderId="0" xfId="0" applyNumberFormat="1" applyFill="1"/>
    <xf numFmtId="44" fontId="0" fillId="4" borderId="0" xfId="0" applyNumberFormat="1" applyFill="1"/>
    <xf numFmtId="14" fontId="0" fillId="0" borderId="0" xfId="1" applyNumberFormat="1" applyFont="1" applyAlignment="1">
      <alignment horizontal="center"/>
    </xf>
    <xf numFmtId="0" fontId="7" fillId="0" borderId="0" xfId="1" applyNumberFormat="1" applyFont="1" applyAlignment="1">
      <alignment horizontal="center"/>
    </xf>
    <xf numFmtId="0" fontId="0" fillId="14" borderId="0" xfId="1" applyNumberFormat="1" applyFont="1" applyFill="1" applyAlignment="1">
      <alignment horizontal="center"/>
    </xf>
    <xf numFmtId="0" fontId="0" fillId="8" borderId="0" xfId="0" applyFill="1" applyAlignment="1">
      <alignment horizontal="center" wrapText="1"/>
    </xf>
    <xf numFmtId="44" fontId="0" fillId="0" borderId="0" xfId="1" applyFont="1" applyAlignment="1">
      <alignment horizontal="center" wrapText="1"/>
    </xf>
    <xf numFmtId="14" fontId="9" fillId="14" borderId="0" xfId="0" applyNumberFormat="1" applyFont="1" applyFill="1" applyAlignment="1">
      <alignment horizontal="center"/>
    </xf>
    <xf numFmtId="14" fontId="0" fillId="14" borderId="0" xfId="1" applyNumberFormat="1" applyFont="1" applyFill="1" applyAlignment="1">
      <alignment horizontal="center"/>
    </xf>
    <xf numFmtId="44" fontId="0" fillId="0" borderId="0" xfId="1" applyFont="1" applyFill="1" applyAlignment="1">
      <alignment horizontal="center"/>
    </xf>
    <xf numFmtId="14" fontId="0" fillId="7" borderId="0" xfId="0" applyNumberFormat="1" applyFill="1" applyAlignment="1">
      <alignment horizontal="center"/>
    </xf>
    <xf numFmtId="0" fontId="0" fillId="18" borderId="0" xfId="0" applyFill="1"/>
    <xf numFmtId="0" fontId="0" fillId="6" borderId="6" xfId="0" applyFill="1" applyBorder="1" applyAlignment="1">
      <alignment horizontal="center"/>
    </xf>
    <xf numFmtId="14" fontId="0" fillId="6" borderId="6" xfId="0" applyNumberFormat="1" applyFill="1" applyBorder="1" applyAlignment="1">
      <alignment horizontal="center"/>
    </xf>
    <xf numFmtId="0" fontId="11" fillId="14" borderId="0" xfId="0" applyFont="1" applyFill="1" applyAlignment="1">
      <alignment horizontal="center"/>
    </xf>
    <xf numFmtId="0" fontId="0" fillId="15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44" fontId="0" fillId="7" borderId="0" xfId="1" applyFont="1" applyFill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6" fillId="0" borderId="0" xfId="1" applyFont="1" applyAlignment="1">
      <alignment horizontal="center"/>
    </xf>
    <xf numFmtId="0" fontId="0" fillId="5" borderId="0" xfId="0" applyFill="1" applyAlignment="1">
      <alignment horizontal="center" vertical="center" wrapText="1"/>
    </xf>
    <xf numFmtId="14" fontId="0" fillId="6" borderId="0" xfId="1" applyNumberFormat="1" applyFont="1" applyFill="1" applyAlignment="1">
      <alignment horizontal="center"/>
    </xf>
    <xf numFmtId="0" fontId="0" fillId="0" borderId="0" xfId="1" applyNumberFormat="1" applyFont="1" applyAlignment="1">
      <alignment horizontal="center"/>
    </xf>
    <xf numFmtId="0" fontId="6" fillId="5" borderId="0" xfId="0" applyFont="1" applyFill="1" applyAlignment="1">
      <alignment horizontal="center" vertical="center" wrapText="1"/>
    </xf>
    <xf numFmtId="0" fontId="6" fillId="15" borderId="0" xfId="0" applyFont="1" applyFill="1" applyAlignment="1">
      <alignment horizontal="center" vertical="center" wrapText="1"/>
    </xf>
    <xf numFmtId="44" fontId="0" fillId="0" borderId="7" xfId="1" applyFont="1" applyBorder="1" applyAlignment="1">
      <alignment horizontal="center"/>
    </xf>
    <xf numFmtId="14" fontId="0" fillId="18" borderId="0" xfId="0" applyNumberFormat="1" applyFill="1" applyAlignment="1">
      <alignment horizontal="center"/>
    </xf>
    <xf numFmtId="14" fontId="0" fillId="18" borderId="0" xfId="1" applyNumberFormat="1" applyFont="1" applyFill="1" applyAlignment="1">
      <alignment horizontal="center"/>
    </xf>
    <xf numFmtId="44" fontId="0" fillId="18" borderId="0" xfId="1" applyFont="1" applyFill="1" applyAlignment="1">
      <alignment horizontal="center"/>
    </xf>
    <xf numFmtId="44" fontId="0" fillId="18" borderId="0" xfId="0" applyNumberFormat="1" applyFill="1" applyAlignment="1">
      <alignment horizontal="center"/>
    </xf>
    <xf numFmtId="44" fontId="0" fillId="0" borderId="0" xfId="1" applyFont="1" applyBorder="1" applyAlignment="1">
      <alignment horizontal="center"/>
    </xf>
    <xf numFmtId="0" fontId="10" fillId="15" borderId="0" xfId="0" applyFont="1" applyFill="1"/>
    <xf numFmtId="0" fontId="7" fillId="7" borderId="0" xfId="0" applyFont="1" applyFill="1"/>
    <xf numFmtId="14" fontId="0" fillId="2" borderId="0" xfId="0" applyNumberFormat="1" applyFill="1" applyAlignment="1">
      <alignment horizontal="center"/>
    </xf>
    <xf numFmtId="44" fontId="0" fillId="2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44" fontId="0" fillId="14" borderId="0" xfId="1" applyFont="1" applyFill="1" applyBorder="1" applyAlignment="1">
      <alignment horizontal="left"/>
    </xf>
    <xf numFmtId="14" fontId="11" fillId="6" borderId="6" xfId="0" applyNumberFormat="1" applyFont="1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14" fontId="0" fillId="10" borderId="6" xfId="0" applyNumberFormat="1" applyFill="1" applyBorder="1" applyAlignment="1">
      <alignment horizontal="center"/>
    </xf>
    <xf numFmtId="0" fontId="0" fillId="17" borderId="0" xfId="0" applyFill="1"/>
    <xf numFmtId="0" fontId="0" fillId="6" borderId="0" xfId="0" applyFill="1" applyAlignment="1">
      <alignment horizontal="center"/>
    </xf>
    <xf numFmtId="14" fontId="0" fillId="7" borderId="0" xfId="0" applyNumberFormat="1" applyFill="1"/>
    <xf numFmtId="14" fontId="9" fillId="19" borderId="0" xfId="0" applyNumberFormat="1" applyFont="1" applyFill="1" applyAlignment="1">
      <alignment horizontal="center"/>
    </xf>
    <xf numFmtId="14" fontId="9" fillId="19" borderId="0" xfId="0" applyNumberFormat="1" applyFont="1" applyFill="1"/>
    <xf numFmtId="14" fontId="11" fillId="19" borderId="6" xfId="0" applyNumberFormat="1" applyFont="1" applyFill="1" applyBorder="1" applyAlignment="1">
      <alignment horizontal="center"/>
    </xf>
    <xf numFmtId="0" fontId="11" fillId="19" borderId="0" xfId="0" applyFont="1" applyFill="1" applyAlignment="1">
      <alignment horizontal="center"/>
    </xf>
    <xf numFmtId="14" fontId="0" fillId="19" borderId="0" xfId="0" applyNumberFormat="1" applyFill="1" applyAlignment="1">
      <alignment horizontal="center"/>
    </xf>
    <xf numFmtId="44" fontId="0" fillId="19" borderId="0" xfId="1" applyFont="1" applyFill="1" applyAlignment="1">
      <alignment horizontal="center"/>
    </xf>
    <xf numFmtId="44" fontId="0" fillId="19" borderId="0" xfId="1" applyFont="1" applyFill="1" applyAlignment="1">
      <alignment horizontal="left"/>
    </xf>
    <xf numFmtId="0" fontId="0" fillId="19" borderId="0" xfId="1" applyNumberFormat="1" applyFont="1" applyFill="1" applyAlignment="1">
      <alignment horizontal="center"/>
    </xf>
    <xf numFmtId="44" fontId="0" fillId="19" borderId="0" xfId="0" applyNumberFormat="1" applyFill="1" applyAlignment="1">
      <alignment horizontal="center"/>
    </xf>
    <xf numFmtId="165" fontId="13" fillId="19" borderId="0" xfId="0" applyNumberFormat="1" applyFont="1" applyFill="1" applyAlignment="1">
      <alignment horizontal="center"/>
    </xf>
    <xf numFmtId="44" fontId="0" fillId="0" borderId="0" xfId="1" applyFont="1" applyBorder="1" applyAlignment="1">
      <alignment horizontal="left"/>
    </xf>
    <xf numFmtId="1" fontId="0" fillId="0" borderId="0" xfId="0" applyNumberFormat="1" applyAlignment="1">
      <alignment horizontal="center"/>
    </xf>
    <xf numFmtId="1" fontId="0" fillId="2" borderId="0" xfId="0" applyNumberFormat="1" applyFill="1" applyAlignment="1">
      <alignment horizontal="center"/>
    </xf>
    <xf numFmtId="1" fontId="7" fillId="0" borderId="0" xfId="0" applyNumberFormat="1" applyFont="1" applyAlignment="1">
      <alignment horizontal="center"/>
    </xf>
    <xf numFmtId="0" fontId="0" fillId="18" borderId="0" xfId="0" applyFill="1" applyAlignment="1">
      <alignment horizontal="center"/>
    </xf>
    <xf numFmtId="16" fontId="0" fillId="0" borderId="4" xfId="0" applyNumberFormat="1" applyBorder="1"/>
    <xf numFmtId="0" fontId="6" fillId="0" borderId="8" xfId="0" applyFont="1" applyBorder="1" applyAlignment="1">
      <alignment horizontal="center"/>
    </xf>
    <xf numFmtId="44" fontId="7" fillId="14" borderId="0" xfId="1" applyFont="1" applyFill="1" applyAlignment="1">
      <alignment horizontal="left"/>
    </xf>
    <xf numFmtId="14" fontId="9" fillId="11" borderId="0" xfId="0" applyNumberFormat="1" applyFont="1" applyFill="1" applyAlignment="1">
      <alignment horizontal="center"/>
    </xf>
    <xf numFmtId="1" fontId="0" fillId="0" borderId="0" xfId="0" applyNumberFormat="1"/>
    <xf numFmtId="1" fontId="0" fillId="4" borderId="0" xfId="0" applyNumberFormat="1" applyFill="1"/>
    <xf numFmtId="1" fontId="0" fillId="6" borderId="0" xfId="0" applyNumberFormat="1" applyFill="1"/>
    <xf numFmtId="165" fontId="6" fillId="19" borderId="0" xfId="0" applyNumberFormat="1" applyFont="1" applyFill="1" applyAlignment="1">
      <alignment horizontal="center"/>
    </xf>
    <xf numFmtId="14" fontId="15" fillId="19" borderId="0" xfId="0" applyNumberFormat="1" applyFont="1" applyFill="1" applyAlignment="1">
      <alignment horizontal="center"/>
    </xf>
    <xf numFmtId="44" fontId="14" fillId="20" borderId="0" xfId="0" applyNumberFormat="1" applyFont="1" applyFill="1"/>
    <xf numFmtId="44" fontId="0" fillId="0" borderId="0" xfId="1" applyFont="1" applyAlignment="1"/>
    <xf numFmtId="1" fontId="0" fillId="10" borderId="0" xfId="0" applyNumberFormat="1" applyFill="1" applyAlignment="1">
      <alignment horizontal="center"/>
    </xf>
    <xf numFmtId="44" fontId="0" fillId="10" borderId="0" xfId="1" applyFont="1" applyFill="1" applyAlignment="1">
      <alignment horizontal="center"/>
    </xf>
    <xf numFmtId="44" fontId="0" fillId="10" borderId="0" xfId="0" applyNumberFormat="1" applyFill="1" applyAlignment="1">
      <alignment horizontal="center"/>
    </xf>
    <xf numFmtId="165" fontId="0" fillId="10" borderId="0" xfId="0" applyNumberFormat="1" applyFill="1" applyAlignment="1">
      <alignment horizontal="center"/>
    </xf>
    <xf numFmtId="0" fontId="0" fillId="10" borderId="0" xfId="0" applyFill="1" applyAlignment="1">
      <alignment horizontal="center"/>
    </xf>
    <xf numFmtId="0" fontId="0" fillId="1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0" xfId="0" applyFill="1" applyAlignment="1">
      <alignment horizontal="center" vertical="center" wrapText="1"/>
    </xf>
    <xf numFmtId="44" fontId="0" fillId="0" borderId="0" xfId="0" applyNumberFormat="1" applyAlignment="1">
      <alignment horizontal="center" vertical="center"/>
    </xf>
    <xf numFmtId="44" fontId="0" fillId="0" borderId="0" xfId="0" applyNumberFormat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21" borderId="8" xfId="0" applyFill="1" applyBorder="1" applyAlignment="1">
      <alignment horizontal="center"/>
    </xf>
    <xf numFmtId="0" fontId="0" fillId="22" borderId="8" xfId="0" applyFill="1" applyBorder="1" applyAlignment="1">
      <alignment horizontal="center"/>
    </xf>
    <xf numFmtId="44" fontId="8" fillId="0" borderId="0" xfId="1" applyFont="1" applyAlignment="1">
      <alignment horizontal="center"/>
    </xf>
    <xf numFmtId="0" fontId="0" fillId="0" borderId="9" xfId="0" applyBorder="1"/>
    <xf numFmtId="14" fontId="0" fillId="6" borderId="0" xfId="0" applyNumberFormat="1" applyFill="1"/>
    <xf numFmtId="166" fontId="0" fillId="0" borderId="0" xfId="0" applyNumberFormat="1"/>
    <xf numFmtId="14" fontId="0" fillId="10" borderId="0" xfId="0" applyNumberFormat="1" applyFill="1"/>
    <xf numFmtId="14" fontId="7" fillId="23" borderId="0" xfId="0" applyNumberFormat="1" applyFont="1" applyFill="1" applyAlignment="1">
      <alignment horizontal="center"/>
    </xf>
    <xf numFmtId="14" fontId="7" fillId="23" borderId="0" xfId="1" applyNumberFormat="1" applyFont="1" applyFill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0" fontId="0" fillId="0" borderId="0" xfId="0" applyAlignment="1">
      <alignment horizontal="center" vertical="top"/>
    </xf>
    <xf numFmtId="0" fontId="17" fillId="0" borderId="0" xfId="0" applyFont="1" applyAlignment="1">
      <alignment horizontal="center" vertical="top"/>
    </xf>
    <xf numFmtId="0" fontId="16" fillId="0" borderId="0" xfId="0" applyFont="1" applyAlignment="1">
      <alignment horizontal="center" vertical="top"/>
    </xf>
    <xf numFmtId="0" fontId="2" fillId="0" borderId="0" xfId="1" applyNumberFormat="1" applyFont="1" applyAlignment="1">
      <alignment horizontal="center"/>
    </xf>
    <xf numFmtId="44" fontId="2" fillId="0" borderId="0" xfId="1" applyFont="1" applyAlignment="1">
      <alignment horizontal="center"/>
    </xf>
    <xf numFmtId="6" fontId="0" fillId="0" borderId="0" xfId="0" applyNumberFormat="1" applyAlignment="1">
      <alignment horizontal="center"/>
    </xf>
    <xf numFmtId="44" fontId="2" fillId="14" borderId="0" xfId="1" applyFont="1" applyFill="1" applyAlignment="1">
      <alignment horizontal="left"/>
    </xf>
    <xf numFmtId="0" fontId="2" fillId="14" borderId="0" xfId="1" applyNumberFormat="1" applyFont="1" applyFill="1" applyAlignment="1">
      <alignment horizontal="center"/>
    </xf>
    <xf numFmtId="44" fontId="2" fillId="14" borderId="0" xfId="1" applyFont="1" applyFill="1" applyBorder="1" applyAlignment="1">
      <alignment horizontal="left"/>
    </xf>
    <xf numFmtId="44" fontId="2" fillId="14" borderId="5" xfId="1" applyFont="1" applyFill="1" applyBorder="1" applyAlignment="1">
      <alignment horizontal="left"/>
    </xf>
    <xf numFmtId="14" fontId="2" fillId="0" borderId="0" xfId="1" applyNumberFormat="1" applyFont="1" applyAlignment="1">
      <alignment horizontal="center"/>
    </xf>
    <xf numFmtId="44" fontId="2" fillId="0" borderId="0" xfId="1" applyFont="1" applyAlignment="1">
      <alignment horizontal="left"/>
    </xf>
    <xf numFmtId="44" fontId="2" fillId="19" borderId="0" xfId="1" applyFont="1" applyFill="1" applyAlignment="1">
      <alignment horizontal="center"/>
    </xf>
    <xf numFmtId="14" fontId="2" fillId="14" borderId="0" xfId="1" applyNumberFormat="1" applyFont="1" applyFill="1" applyAlignment="1">
      <alignment horizontal="center"/>
    </xf>
    <xf numFmtId="44" fontId="2" fillId="18" borderId="0" xfId="1" applyFont="1" applyFill="1" applyAlignment="1">
      <alignment horizontal="center"/>
    </xf>
    <xf numFmtId="44" fontId="2" fillId="10" borderId="0" xfId="1" applyFont="1" applyFill="1" applyAlignment="1">
      <alignment horizontal="center"/>
    </xf>
    <xf numFmtId="44" fontId="2" fillId="2" borderId="0" xfId="1" applyFont="1" applyFill="1" applyAlignment="1">
      <alignment horizontal="center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1" fontId="0" fillId="18" borderId="0" xfId="0" applyNumberFormat="1" applyFill="1" applyAlignment="1">
      <alignment horizontal="center"/>
    </xf>
    <xf numFmtId="165" fontId="0" fillId="18" borderId="0" xfId="0" applyNumberFormat="1" applyFill="1" applyAlignment="1">
      <alignment horizontal="center"/>
    </xf>
    <xf numFmtId="16" fontId="0" fillId="0" borderId="0" xfId="0" applyNumberFormat="1"/>
    <xf numFmtId="44" fontId="0" fillId="7" borderId="0" xfId="0" applyNumberFormat="1" applyFill="1" applyAlignment="1">
      <alignment horizontal="center"/>
    </xf>
    <xf numFmtId="165" fontId="0" fillId="7" borderId="0" xfId="0" applyNumberFormat="1" applyFill="1" applyAlignment="1">
      <alignment horizontal="center"/>
    </xf>
    <xf numFmtId="0" fontId="22" fillId="0" borderId="0" xfId="0" applyFont="1" applyAlignment="1">
      <alignment horizontal="center" vertical="top"/>
    </xf>
    <xf numFmtId="0" fontId="22" fillId="0" borderId="0" xfId="0" applyFont="1"/>
    <xf numFmtId="14" fontId="23" fillId="6" borderId="0" xfId="0" applyNumberFormat="1" applyFont="1" applyFill="1"/>
    <xf numFmtId="0" fontId="24" fillId="0" borderId="0" xfId="0" applyFont="1" applyAlignment="1">
      <alignment horizontal="center"/>
    </xf>
    <xf numFmtId="167" fontId="23" fillId="0" borderId="0" xfId="0" applyNumberFormat="1" applyFont="1"/>
    <xf numFmtId="0" fontId="0" fillId="0" borderId="0" xfId="0" applyAlignment="1">
      <alignment horizontal="center" vertical="top" wrapText="1"/>
    </xf>
    <xf numFmtId="0" fontId="0" fillId="0" borderId="12" xfId="0" applyBorder="1" applyAlignment="1">
      <alignment horizontal="center"/>
    </xf>
    <xf numFmtId="14" fontId="23" fillId="10" borderId="0" xfId="0" applyNumberFormat="1" applyFont="1" applyFill="1"/>
    <xf numFmtId="0" fontId="6" fillId="24" borderId="12" xfId="0" applyFont="1" applyFill="1" applyBorder="1" applyAlignment="1">
      <alignment horizontal="center"/>
    </xf>
    <xf numFmtId="0" fontId="6" fillId="0" borderId="12" xfId="0" applyFont="1" applyBorder="1" applyAlignment="1">
      <alignment horizontal="center"/>
    </xf>
    <xf numFmtId="14" fontId="0" fillId="0" borderId="0" xfId="0" applyNumberFormat="1" applyAlignment="1">
      <alignment horizontal="center" vertical="top"/>
    </xf>
    <xf numFmtId="0" fontId="0" fillId="24" borderId="12" xfId="0" applyFill="1" applyBorder="1" applyAlignment="1">
      <alignment horizontal="center"/>
    </xf>
    <xf numFmtId="0" fontId="6" fillId="25" borderId="12" xfId="0" applyFont="1" applyFill="1" applyBorder="1" applyAlignment="1">
      <alignment horizontal="center"/>
    </xf>
    <xf numFmtId="0" fontId="6" fillId="26" borderId="12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44" fontId="1" fillId="0" borderId="0" xfId="1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0" xfId="0" applyFill="1" applyAlignment="1">
      <alignment horizontal="center" vertical="center"/>
    </xf>
  </cellXfs>
  <cellStyles count="2">
    <cellStyle name="Moneda" xfId="1" builtinId="4"/>
    <cellStyle name="Normal" xfId="0" builtinId="0"/>
  </cellStyles>
  <dxfs count="12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  <border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_-&quot;$&quot;* #,##0.0_-;\-&quot;$&quot;* #,##0.0_-;_-&quot;$&quot;* &quot;-&quot;?_-;_-@_-"/>
      <alignment horizontal="center" vertical="bottom" textRotation="0" wrapText="0" indent="0" justifyLastLine="0" shrinkToFit="0" readingOrder="0"/>
    </dxf>
    <dxf>
      <numFmt numFmtId="34" formatCode="_-&quot;$&quot;* #,##0.00_-;\-&quot;$&quot;* #,##0.00_-;_-&quot;$&quot;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numFmt numFmtId="34" formatCode="_-&quot;$&quot;* #,##0.00_-;\-&quot;$&quot;* #,##0.00_-;_-&quot;$&quot;* &quot;-&quot;??_-;_-@_-"/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numFmt numFmtId="34" formatCode="_-&quot;$&quot;* #,##0.00_-;\-&quot;$&quot;* #,##0.00_-;_-&quot;$&quot;* &quot;-&quot;??_-;_-@_-"/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numFmt numFmtId="19" formatCode="dd/mm/yyyy"/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rgb="FF92D050"/>
        </patternFill>
      </fill>
      <alignment horizontal="center" textRotation="0" indent="0" justifyLastLine="0" shrinkToFit="0" readingOrder="0"/>
    </dxf>
    <dxf>
      <numFmt numFmtId="19" formatCode="dd/mm/yyyy"/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rgb="FF92D050"/>
        </patternFill>
      </fill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0.79998168889431442"/>
        </patternFill>
      </fill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4" formatCode="_-&quot;$&quot;* #,##0.00_-;\-&quot;$&quot;* #,##0.00_-;_-&quot;$&quot;* &quot;-&quot;??_-;_-@_-"/>
      <fill>
        <patternFill patternType="solid">
          <fgColor indexed="64"/>
          <bgColor theme="8" tint="-0.249977111117893"/>
        </patternFill>
      </fill>
    </dxf>
    <dxf>
      <numFmt numFmtId="165" formatCode="_-&quot;$&quot;* #,##0.0_-;\-&quot;$&quot;* #,##0.0_-;_-&quot;$&quot;* &quot;-&quot;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4" formatCode="_-&quot;$&quot;* #,##0.00_-;\-&quot;$&quot;* #,##0.00_-;_-&quot;$&quot;* &quot;-&quot;??_-;_-@_-"/>
      <fill>
        <patternFill patternType="solid">
          <fgColor indexed="64"/>
          <bgColor theme="8" tint="-0.249977111117893"/>
        </patternFill>
      </fill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4" formatCode="_-&quot;$&quot;* #,##0.00_-;\-&quot;$&quot;* #,##0.00_-;_-&quot;$&quot;* &quot;-&quot;??_-;_-@_-"/>
      <fill>
        <patternFill patternType="solid">
          <fgColor indexed="64"/>
          <bgColor theme="8" tint="-0.249977111117893"/>
        </patternFill>
      </fill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4" formatCode="_-&quot;$&quot;* #,##0.00_-;\-&quot;$&quot;* #,##0.00_-;_-&quot;$&quot;* &quot;-&quot;??_-;_-@_-"/>
      <fill>
        <patternFill patternType="solid">
          <fgColor indexed="64"/>
          <bgColor theme="8" tint="-0.249977111117893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  <fill>
        <patternFill patternType="solid">
          <fgColor indexed="64"/>
          <bgColor theme="4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34" formatCode="_-&quot;$&quot;* #,##0.00_-;\-&quot;$&quot;* #,##0.00_-;_-&quot;$&quot;* &quot;-&quot;??_-;_-@_-"/>
      <fill>
        <patternFill patternType="solid">
          <fgColor indexed="64"/>
          <bgColor theme="4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numFmt numFmtId="34" formatCode="_-&quot;$&quot;* #,##0.00_-;\-&quot;$&quot;* #,##0.00_-;_-&quot;$&quot;* &quot;-&quot;??_-;_-@_-"/>
      <fill>
        <patternFill patternType="solid">
          <fgColor indexed="64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</dxf>
    <dxf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9" formatCode="dd/mm/yyyy"/>
      <fill>
        <patternFill patternType="solid">
          <fgColor indexed="64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9" formatCode="dd/mm/yyyy"/>
      <fill>
        <patternFill patternType="solid">
          <fgColor indexed="64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9" formatCode="dd/mm/yyyy"/>
      <fill>
        <patternFill patternType="solid">
          <fgColor indexed="64"/>
          <bgColor theme="4" tint="0.79998168889431442"/>
        </patternFill>
      </fill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0.79998168889431442"/>
        </patternFill>
      </fill>
    </dxf>
    <dxf>
      <numFmt numFmtId="19" formatCode="dd/mm/yyyy"/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numFmt numFmtId="166" formatCode="_-&quot;$&quot;* #,##0.00_-;\-&quot;$&quot;* #,##0.00_-;_-&quot;$&quot;* &quot;-&quot;???_-;_-@_-"/>
    </dxf>
    <dxf>
      <numFmt numFmtId="34" formatCode="_-&quot;$&quot;* #,##0.00_-;\-&quot;$&quot;* #,##0.00_-;_-&quot;$&quot;* &quot;-&quot;??_-;_-@_-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colors>
    <mruColors>
      <color rgb="FF99FF99"/>
      <color rgb="FFFF3300"/>
      <color rgb="FF00FFFF"/>
      <color rgb="FFCC3300"/>
      <color rgb="FFFFCC00"/>
      <color rgb="FFFFCC66"/>
      <color rgb="FFF3D93F"/>
      <color rgb="FFF4DC4E"/>
      <color rgb="FFFDA9C1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a74" displayName="Tabla74" ref="A1:D12" totalsRowShown="0">
  <autoFilter ref="A1:D12" xr:uid="{00000000-0009-0000-0100-000003000000}"/>
  <tableColumns count="4">
    <tableColumn id="1" xr3:uid="{00000000-0010-0000-0000-000001000000}" name="OPERADOR"/>
    <tableColumn id="2" xr3:uid="{00000000-0010-0000-0000-000002000000}" name="COMISION A LA AGENCIA" dataDxfId="126"/>
    <tableColumn id="3" xr3:uid="{00000000-0010-0000-0000-000003000000}" name="COMISION AL CLIENTE" dataDxfId="125"/>
    <tableColumn id="5" xr3:uid="{00000000-0010-0000-0000-000005000000}" name="PORCENTAJE DE COMISION REAL AGENCIA" dataDxfId="124">
      <calculatedColumnFormula>Tabla74[[#This Row],[COMISION A LA AGENCIA]]-Tabla74[[#This Row],[COMISION AL CLIENTE]]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A4:P141" totalsRowShown="0" headerRowDxfId="123">
  <autoFilter ref="A4:P141" xr:uid="{00000000-0009-0000-0100-000002000000}"/>
  <sortState xmlns:xlrd2="http://schemas.microsoft.com/office/spreadsheetml/2017/richdata2" ref="A5:P138">
    <sortCondition ref="A4:A138"/>
  </sortState>
  <tableColumns count="16">
    <tableColumn id="1" xr3:uid="{00000000-0010-0000-0100-000001000000}" name="TIEMPO LIMITE CLIENTE"/>
    <tableColumn id="2" xr3:uid="{00000000-0010-0000-0100-000002000000}" name="TIEMPO LIMITE DE PAGO2"/>
    <tableColumn id="3" xr3:uid="{00000000-0010-0000-0100-000003000000}" name="FECHA DE VENTA"/>
    <tableColumn id="4" xr3:uid="{00000000-0010-0000-0100-000004000000}" name="FECHA IN"/>
    <tableColumn id="5" xr3:uid="{00000000-0010-0000-0100-000005000000}" name="FECHA OUT"/>
    <tableColumn id="6" xr3:uid="{00000000-0010-0000-0100-000006000000}" name="Recibos de pago " dataDxfId="122"/>
    <tableColumn id="7" xr3:uid="{00000000-0010-0000-0100-000007000000}" name="NOMBRE DEL CLIENTE"/>
    <tableColumn id="8" xr3:uid="{00000000-0010-0000-0100-000008000000}" name="CONCEPTO"/>
    <tableColumn id="9" xr3:uid="{00000000-0010-0000-0100-000009000000}" name="CANTIDAD PUBLICA" dataCellStyle="Moneda"/>
    <tableColumn id="10" xr3:uid="{00000000-0010-0000-0100-00000A000000}" name="PRECIO CLIENTE" dataCellStyle="Moneda"/>
    <tableColumn id="11" xr3:uid="{00000000-0010-0000-0100-00000B000000}" name="COMISION AGENCIA" dataDxfId="121">
      <calculatedColumnFormula>Tabla2[[#This Row],[PRECIO CLIENTE]]-Tabla2[[#This Row],[CANTIDAD PUBLICA]]</calculatedColumnFormula>
    </tableColumn>
    <tableColumn id="12" xr3:uid="{00000000-0010-0000-0100-00000C000000}" name="COMISION AGENTE" dataDxfId="120">
      <calculatedColumnFormula>Tabla2[[#This Row],[COMISION AGENCIA]]*0.05</calculatedColumnFormula>
    </tableColumn>
    <tableColumn id="13" xr3:uid="{00000000-0010-0000-0100-00000D000000}" name="TEL CLIENTE"/>
    <tableColumn id="14" xr3:uid="{00000000-0010-0000-0100-00000E000000}" name="LOCALIZADOR" dataDxfId="119"/>
    <tableColumn id="15" xr3:uid="{00000000-0010-0000-0100-00000F000000}" name="OPERADOR " dataDxfId="118"/>
    <tableColumn id="16" xr3:uid="{00000000-0010-0000-0100-000010000000}" name="OBSERVACION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a156" displayName="Tabla156" ref="A10:R243" totalsRowCount="1" headerRowDxfId="117" totalsRowDxfId="116">
  <autoFilter ref="A10:R242" xr:uid="{00000000-0009-0000-0100-000005000000}"/>
  <sortState xmlns:xlrd2="http://schemas.microsoft.com/office/spreadsheetml/2017/richdata2" ref="A11:Q242">
    <sortCondition ref="A10:A242"/>
  </sortState>
  <tableColumns count="18">
    <tableColumn id="11" xr3:uid="{00000000-0010-0000-0200-00000B000000}" name="TIEMPO LIMITE CLIENTE" dataDxfId="115" totalsRowDxfId="114">
      <calculatedColumnFormula>Tabla156[[#This Row],[FECHA IN]]-15</calculatedColumnFormula>
    </tableColumn>
    <tableColumn id="1" xr3:uid="{00000000-0010-0000-0200-000001000000}" name="OBSERVACION" dataDxfId="113" totalsRowDxfId="112"/>
    <tableColumn id="18" xr3:uid="{00000000-0010-0000-0200-000012000000}" name="LOCALIZADOR" dataDxfId="111" totalsRowDxfId="110"/>
    <tableColumn id="14" xr3:uid="{00000000-0010-0000-0200-00000E000000}" name="TIEMPO LIMITE AGENCIA" dataDxfId="109" totalsRowDxfId="108"/>
    <tableColumn id="15" xr3:uid="{00000000-0010-0000-0200-00000F000000}" name="ESTADO/AGENCIA" dataDxfId="107" totalsRowDxfId="106"/>
    <tableColumn id="16" xr3:uid="{00000000-0010-0000-0200-000010000000}" name="ESTATUS" dataDxfId="105" totalsRowDxfId="104"/>
    <tableColumn id="7" xr3:uid="{00000000-0010-0000-0200-000007000000}" name="NUM DE FOLIO(S)" dataDxfId="103" totalsRowDxfId="102"/>
    <tableColumn id="2" xr3:uid="{00000000-0010-0000-0200-000002000000}" name="FECHA DE VENTA" totalsRowDxfId="101"/>
    <tableColumn id="3" xr3:uid="{00000000-0010-0000-0200-000003000000}" name="FECHA IN" dataDxfId="100" totalsRowDxfId="99"/>
    <tableColumn id="4" xr3:uid="{00000000-0010-0000-0200-000004000000}" name="FECHA OUT" totalsRowDxfId="98" dataCellStyle="Moneda"/>
    <tableColumn id="13" xr3:uid="{00000000-0010-0000-0200-00000D000000}" name="NOMBRE DEL CLIENTE" dataDxfId="97" totalsRowDxfId="96" dataCellStyle="Moneda"/>
    <tableColumn id="8" xr3:uid="{00000000-0010-0000-0200-000008000000}" name="CONCEPTO" dataDxfId="95" totalsRowDxfId="94"/>
    <tableColumn id="12" xr3:uid="{00000000-0010-0000-0200-00000C000000}" name="TELEFONO " dataDxfId="93" totalsRowDxfId="92" dataCellStyle="Moneda"/>
    <tableColumn id="5" xr3:uid="{00000000-0010-0000-0200-000005000000}" name="CANTIDAD PUBLICA" totalsRowFunction="custom" dataDxfId="91" totalsRowDxfId="90">
      <totalsRowFormula>SUM(N11:N242)</totalsRowFormula>
    </tableColumn>
    <tableColumn id="6" xr3:uid="{00000000-0010-0000-0200-000006000000}" name="PRECIO CLIENTE" totalsRowFunction="custom" dataDxfId="89" totalsRowDxfId="88">
      <totalsRowFormula>SUM(O11:O242)</totalsRowFormula>
    </tableColumn>
    <tableColumn id="9" xr3:uid="{00000000-0010-0000-0200-000009000000}" name="COMISION AGENCIA" totalsRowFunction="custom" dataDxfId="87" totalsRowDxfId="86">
      <calculatedColumnFormula>Tabla156[[#This Row],[PRECIO CLIENTE]]-Tabla156[[#This Row],[CANTIDAD PUBLICA]]</calculatedColumnFormula>
      <totalsRowFormula>SUM(P11:P242)</totalsRowFormula>
    </tableColumn>
    <tableColumn id="10" xr3:uid="{00000000-0010-0000-0200-00000A000000}" name="COMISION AGENTE" totalsRowFunction="custom" dataDxfId="85" totalsRowDxfId="84">
      <calculatedColumnFormula>Tabla156[[#This Row],[COMISION AGENCIA]]*0.05</calculatedColumnFormula>
      <totalsRowFormula>SUM(Q11:Q242)</totalsRowFormula>
    </tableColumn>
    <tableColumn id="17" xr3:uid="{00000000-0010-0000-0200-000011000000}" name="PAGO DE COMISION" dataDxfId="83" totalsRowDxfId="82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a1567937" displayName="Tabla1567937" ref="A6:P258" totalsRowShown="0" dataDxfId="81">
  <autoFilter ref="A6:P258" xr:uid="{00000000-0009-0000-0100-000006000000}"/>
  <sortState xmlns:xlrd2="http://schemas.microsoft.com/office/spreadsheetml/2017/richdata2" ref="A7:P258">
    <sortCondition ref="A6:A258"/>
  </sortState>
  <tableColumns count="16">
    <tableColumn id="10" xr3:uid="{00000000-0010-0000-0300-00000A000000}" name="Tiempo limite cliente" dataDxfId="80" totalsRowDxfId="79"/>
    <tableColumn id="1" xr3:uid="{00000000-0010-0000-0300-000001000000}" name="TIEMPO LIMITE DE PAGO" dataDxfId="78" totalsRowDxfId="77"/>
    <tableColumn id="15" xr3:uid="{00000000-0010-0000-0300-00000F000000}" name="FECHA DE VENTA" dataDxfId="76" totalsRowDxfId="75"/>
    <tableColumn id="2" xr3:uid="{00000000-0010-0000-0300-000002000000}" name="FECHA IN" dataDxfId="74" totalsRowDxfId="73"/>
    <tableColumn id="3" xr3:uid="{00000000-0010-0000-0300-000003000000}" name="FECHA OUT" dataDxfId="72" totalsRowDxfId="71"/>
    <tableColumn id="16" xr3:uid="{00000000-0010-0000-0300-000010000000}" name="Recibos de pago" dataDxfId="70" totalsRowDxfId="69"/>
    <tableColumn id="4" xr3:uid="{00000000-0010-0000-0300-000004000000}" name="NOMBRE DEL CLIENTE" dataDxfId="68" totalsRowDxfId="67" dataCellStyle="Moneda"/>
    <tableColumn id="13" xr3:uid="{00000000-0010-0000-0300-00000D000000}" name="CONCEPTO" dataDxfId="66" totalsRowDxfId="65" dataCellStyle="Moneda"/>
    <tableColumn id="8" xr3:uid="{00000000-0010-0000-0300-000008000000}" name="CANTIDAD PUBLICA" dataDxfId="64" totalsRowDxfId="63" dataCellStyle="Moneda"/>
    <tableColumn id="5" xr3:uid="{00000000-0010-0000-0300-000005000000}" name="PRECIO CLIENTE" dataDxfId="62" totalsRowDxfId="61" dataCellStyle="Moneda"/>
    <tableColumn id="6" xr3:uid="{00000000-0010-0000-0300-000006000000}" name="COMISION AGENCIA" dataDxfId="60" totalsRowDxfId="59" dataCellStyle="Moneda"/>
    <tableColumn id="9" xr3:uid="{00000000-0010-0000-0300-000009000000}" name="COMISION AGENTE" dataDxfId="58" totalsRowDxfId="57" dataCellStyle="Moneda"/>
    <tableColumn id="11" xr3:uid="{00000000-0010-0000-0300-00000B000000}" name="TEL CLIENTE" dataDxfId="56" totalsRowDxfId="55"/>
    <tableColumn id="12" xr3:uid="{00000000-0010-0000-0300-00000C000000}" name="LOCALIZADOR" dataDxfId="54" totalsRowDxfId="53"/>
    <tableColumn id="7" xr3:uid="{00000000-0010-0000-0300-000007000000}" name="OPERADOR " dataDxfId="52" totalsRowDxfId="51"/>
    <tableColumn id="14" xr3:uid="{00000000-0010-0000-0300-00000E000000}" name="OBSERVACIONES" dataDxfId="50" totalsRowDxfId="4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a156798" displayName="Tabla156798" ref="A4:P1142" totalsRowShown="0" headerRowDxfId="48" dataDxfId="47">
  <autoFilter ref="A4:P1142" xr:uid="{00000000-0009-0000-0100-000007000000}"/>
  <sortState xmlns:xlrd2="http://schemas.microsoft.com/office/spreadsheetml/2017/richdata2" ref="A5:P1142">
    <sortCondition ref="A4:A1142"/>
  </sortState>
  <tableColumns count="16">
    <tableColumn id="10" xr3:uid="{00000000-0010-0000-0400-00000A000000}" name="TIEMPO LIMITE CLIENTE" dataDxfId="46"/>
    <tableColumn id="1" xr3:uid="{00000000-0010-0000-0400-000001000000}" name="TIEMPO LIMITE DE PAGO2" dataDxfId="45"/>
    <tableColumn id="15" xr3:uid="{00000000-0010-0000-0400-00000F000000}" name="FECHA DE VENTA" dataDxfId="44"/>
    <tableColumn id="2" xr3:uid="{00000000-0010-0000-0400-000002000000}" name="FECHA IN" dataDxfId="43"/>
    <tableColumn id="3" xr3:uid="{00000000-0010-0000-0400-000003000000}" name="FECHA OUT" dataDxfId="42"/>
    <tableColumn id="16" xr3:uid="{00000000-0010-0000-0400-000010000000}" name="Recibos de pago " dataDxfId="41"/>
    <tableColumn id="4" xr3:uid="{00000000-0010-0000-0400-000004000000}" name="NOMBRE DEL CLIENTE" dataDxfId="40" dataCellStyle="Moneda"/>
    <tableColumn id="13" xr3:uid="{00000000-0010-0000-0400-00000D000000}" name="CONCEPTO" dataDxfId="39" dataCellStyle="Moneda"/>
    <tableColumn id="8" xr3:uid="{00000000-0010-0000-0400-000008000000}" name="CANTIDAD PUBLICA" dataDxfId="38" dataCellStyle="Moneda"/>
    <tableColumn id="5" xr3:uid="{00000000-0010-0000-0400-000005000000}" name="PRECIO CLIENTE" dataDxfId="37" dataCellStyle="Moneda"/>
    <tableColumn id="6" xr3:uid="{00000000-0010-0000-0400-000006000000}" name="COMISION AGENCIA" dataDxfId="36">
      <calculatedColumnFormula>Tabla156798[[#This Row],[CANTIDAD PUBLICA]]*0.05</calculatedColumnFormula>
    </tableColumn>
    <tableColumn id="9" xr3:uid="{00000000-0010-0000-0400-000009000000}" name="COMISION AGENTE" dataDxfId="35">
      <calculatedColumnFormula>Tabla156798[[#This Row],[COMISION AGENCIA]]*0.05</calculatedColumnFormula>
    </tableColumn>
    <tableColumn id="11" xr3:uid="{00000000-0010-0000-0400-00000B000000}" name="TEL CLIENTE" dataDxfId="34"/>
    <tableColumn id="12" xr3:uid="{00000000-0010-0000-0400-00000C000000}" name="LOCALIZADOR" dataDxfId="33"/>
    <tableColumn id="7" xr3:uid="{00000000-0010-0000-0400-000007000000}" name="OPERADOR " dataDxfId="32"/>
    <tableColumn id="14" xr3:uid="{00000000-0010-0000-0400-00000E000000}" name="OBSERVACIONES" dataDxfId="3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workbookViewId="0">
      <selection activeCell="D10" sqref="D10"/>
    </sheetView>
  </sheetViews>
  <sheetFormatPr baseColWidth="10" defaultColWidth="11.42578125" defaultRowHeight="15" x14ac:dyDescent="0.25"/>
  <cols>
    <col min="1" max="1" width="22" customWidth="1"/>
    <col min="2" max="2" width="26.85546875" customWidth="1"/>
    <col min="3" max="3" width="23.7109375" customWidth="1"/>
    <col min="4" max="4" width="26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6">
        <v>0.15</v>
      </c>
      <c r="C2" s="16">
        <f>Tabla74[[#This Row],[COMISION A LA AGENCIA]]-0.052</f>
        <v>9.8000000000000004E-2</v>
      </c>
      <c r="D2" s="16">
        <f>Tabla74[[#This Row],[COMISION A LA AGENCIA]]-Tabla74[[#This Row],[COMISION AL CLIENTE]]</f>
        <v>5.1999999999999991E-2</v>
      </c>
    </row>
    <row r="3" spans="1:4" x14ac:dyDescent="0.25">
      <c r="A3" t="s">
        <v>5</v>
      </c>
      <c r="B3" s="16">
        <v>0.15</v>
      </c>
      <c r="C3" s="16">
        <f>Tabla74[[#This Row],[COMISION A LA AGENCIA]]-0.052</f>
        <v>9.8000000000000004E-2</v>
      </c>
      <c r="D3" s="16">
        <f>Tabla74[[#This Row],[COMISION A LA AGENCIA]]-Tabla74[[#This Row],[COMISION AL CLIENTE]]</f>
        <v>5.1999999999999991E-2</v>
      </c>
    </row>
    <row r="4" spans="1:4" x14ac:dyDescent="0.25">
      <c r="A4" t="s">
        <v>6</v>
      </c>
      <c r="B4" s="16">
        <v>0.18</v>
      </c>
      <c r="C4" s="16">
        <f>Tabla74[[#This Row],[COMISION A LA AGENCIA]]-0.05</f>
        <v>0.13</v>
      </c>
      <c r="D4" s="16">
        <f>Tabla74[[#This Row],[COMISION A LA AGENCIA]]-Tabla74[[#This Row],[COMISION AL CLIENTE]]</f>
        <v>4.9999999999999989E-2</v>
      </c>
    </row>
    <row r="5" spans="1:4" x14ac:dyDescent="0.25">
      <c r="A5" t="s">
        <v>7</v>
      </c>
      <c r="B5" s="16">
        <v>0.18</v>
      </c>
      <c r="C5" s="16">
        <v>0.1</v>
      </c>
      <c r="D5" s="16">
        <f>Tabla74[[#This Row],[COMISION A LA AGENCIA]]-Tabla74[[#This Row],[COMISION AL CLIENTE]]</f>
        <v>7.9999999999999988E-2</v>
      </c>
    </row>
    <row r="6" spans="1:4" x14ac:dyDescent="0.25">
      <c r="A6" t="s">
        <v>8</v>
      </c>
      <c r="B6" s="16">
        <v>0.15</v>
      </c>
      <c r="C6" s="16">
        <v>0.08</v>
      </c>
      <c r="D6" s="16">
        <f>Tabla74[[#This Row],[COMISION A LA AGENCIA]]-Tabla74[[#This Row],[COMISION AL CLIENTE]]</f>
        <v>6.9999999999999993E-2</v>
      </c>
    </row>
    <row r="7" spans="1:4" x14ac:dyDescent="0.25">
      <c r="A7" t="s">
        <v>9</v>
      </c>
      <c r="B7" s="16">
        <v>0.17</v>
      </c>
      <c r="C7" s="16">
        <v>0.12</v>
      </c>
      <c r="D7" s="16">
        <f>Tabla74[[#This Row],[COMISION A LA AGENCIA]]-Tabla74[[#This Row],[COMISION AL CLIENTE]]</f>
        <v>5.0000000000000017E-2</v>
      </c>
    </row>
    <row r="8" spans="1:4" x14ac:dyDescent="0.25">
      <c r="A8" t="s">
        <v>10</v>
      </c>
      <c r="B8" s="16">
        <v>0.1</v>
      </c>
      <c r="C8" s="16">
        <v>0.05</v>
      </c>
      <c r="D8" s="16">
        <f>Tabla74[[#This Row],[COMISION A LA AGENCIA]]-Tabla74[[#This Row],[COMISION AL CLIENTE]]</f>
        <v>0.05</v>
      </c>
    </row>
    <row r="9" spans="1:4" x14ac:dyDescent="0.25">
      <c r="A9" t="s">
        <v>11</v>
      </c>
      <c r="B9" s="16">
        <v>0.1</v>
      </c>
      <c r="C9" s="16">
        <v>0</v>
      </c>
      <c r="D9" s="16">
        <f>Tabla74[[#This Row],[COMISION A LA AGENCIA]]-Tabla74[[#This Row],[COMISION AL CLIENTE]]</f>
        <v>0.1</v>
      </c>
    </row>
    <row r="10" spans="1:4" x14ac:dyDescent="0.25">
      <c r="A10" t="s">
        <v>12</v>
      </c>
      <c r="B10" s="16">
        <v>0.2</v>
      </c>
      <c r="C10" s="16">
        <v>0</v>
      </c>
      <c r="D10" s="16">
        <f>Tabla74[[#This Row],[COMISION A LA AGENCIA]]-Tabla74[[#This Row],[COMISION AL CLIENTE]]</f>
        <v>0.2</v>
      </c>
    </row>
    <row r="11" spans="1:4" x14ac:dyDescent="0.25">
      <c r="A11" t="s">
        <v>13</v>
      </c>
      <c r="B11" s="16">
        <v>0.05</v>
      </c>
      <c r="C11" s="16">
        <v>0</v>
      </c>
      <c r="D11" s="16">
        <f>Tabla74[[#This Row],[COMISION A LA AGENCIA]]-Tabla74[[#This Row],[COMISION AL CLIENTE]]</f>
        <v>0.05</v>
      </c>
    </row>
    <row r="12" spans="1:4" x14ac:dyDescent="0.25">
      <c r="A12" t="s">
        <v>14</v>
      </c>
      <c r="B12" s="16">
        <v>0.15</v>
      </c>
      <c r="C12" s="16">
        <v>0.1</v>
      </c>
      <c r="D12" s="16">
        <f>Tabla74[[#This Row],[COMISION A LA AGENCIA]]-Tabla74[[#This Row],[COMISION AL CLIENTE]]</f>
        <v>4.9999999999999989E-2</v>
      </c>
    </row>
  </sheetData>
  <sheetProtection algorithmName="SHA-512" hashValue="QM5kbEoH9ktXFKZ71l2ZSfFug9Kp1ziNRaPuiO6pkhc6H8jqEZq38vCcQ/T02r0h2/lDre6FPyeKqUKdz36Atg==" saltValue="w0AG2CfBEcMHhhudC+tmPw==" spinCount="100000" sheet="1" objects="1" scenarios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>
      <selection activeCell="C8" sqref="C8"/>
    </sheetView>
  </sheetViews>
  <sheetFormatPr baseColWidth="10" defaultColWidth="11.42578125" defaultRowHeight="15" x14ac:dyDescent="0.25"/>
  <sheetData>
    <row r="1" spans="1:3" x14ac:dyDescent="0.25">
      <c r="A1" t="s">
        <v>15</v>
      </c>
      <c r="B1" s="2">
        <v>600</v>
      </c>
    </row>
    <row r="2" spans="1:3" x14ac:dyDescent="0.25">
      <c r="A2" t="s">
        <v>16</v>
      </c>
      <c r="B2" s="2">
        <v>229</v>
      </c>
    </row>
    <row r="3" spans="1:3" x14ac:dyDescent="0.25">
      <c r="A3" t="s">
        <v>17</v>
      </c>
      <c r="B3" s="2">
        <v>10000</v>
      </c>
    </row>
    <row r="4" spans="1:3" x14ac:dyDescent="0.25">
      <c r="A4" t="s">
        <v>18</v>
      </c>
      <c r="B4" s="2">
        <v>2500</v>
      </c>
    </row>
    <row r="5" spans="1:3" x14ac:dyDescent="0.25">
      <c r="A5" t="s">
        <v>19</v>
      </c>
      <c r="B5" s="2">
        <v>29000</v>
      </c>
    </row>
    <row r="6" spans="1:3" x14ac:dyDescent="0.25">
      <c r="B6" s="3">
        <f>SUM(B1:B5)</f>
        <v>42329</v>
      </c>
      <c r="C6" s="3">
        <f>B6/4</f>
        <v>10582.25</v>
      </c>
    </row>
    <row r="7" spans="1:3" x14ac:dyDescent="0.25">
      <c r="B7" s="58">
        <f>0.125*B6</f>
        <v>5291.125</v>
      </c>
      <c r="C7" s="3">
        <f>0.125*C6</f>
        <v>1322.78125</v>
      </c>
    </row>
    <row r="8" spans="1:3" x14ac:dyDescent="0.25">
      <c r="B8" s="57">
        <f>B6*0.2916</f>
        <v>12343.136400000001</v>
      </c>
      <c r="C8" s="3">
        <f>C6*0.2916</f>
        <v>3085.7841000000003</v>
      </c>
    </row>
    <row r="9" spans="1:3" x14ac:dyDescent="0.25">
      <c r="B9" t="s">
        <v>20</v>
      </c>
      <c r="C9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41"/>
  <sheetViews>
    <sheetView topLeftCell="B1" zoomScale="96" zoomScaleNormal="96" workbookViewId="0">
      <selection activeCell="F18" sqref="F18"/>
    </sheetView>
  </sheetViews>
  <sheetFormatPr baseColWidth="10" defaultColWidth="11.42578125" defaultRowHeight="15" x14ac:dyDescent="0.25"/>
  <cols>
    <col min="1" max="1" width="13.28515625" customWidth="1"/>
    <col min="2" max="2" width="11.85546875" customWidth="1"/>
    <col min="3" max="3" width="12.85546875" customWidth="1"/>
    <col min="4" max="4" width="11.42578125" bestFit="1" customWidth="1"/>
    <col min="5" max="5" width="13.28515625" bestFit="1" customWidth="1"/>
    <col min="6" max="6" width="17.85546875" customWidth="1"/>
    <col min="7" max="7" width="39.7109375" customWidth="1"/>
    <col min="8" max="8" width="41.140625" customWidth="1"/>
    <col min="9" max="9" width="14.42578125" customWidth="1"/>
    <col min="10" max="10" width="14" customWidth="1"/>
    <col min="11" max="11" width="13.5703125" customWidth="1"/>
    <col min="12" max="12" width="11" customWidth="1"/>
    <col min="13" max="13" width="13.42578125" customWidth="1"/>
    <col min="14" max="14" width="15.42578125" customWidth="1"/>
    <col min="15" max="15" width="19.5703125" customWidth="1"/>
    <col min="16" max="16" width="18" customWidth="1"/>
  </cols>
  <sheetData>
    <row r="1" spans="1:16" x14ac:dyDescent="0.25">
      <c r="B1" s="196" t="s">
        <v>22</v>
      </c>
      <c r="C1" s="199">
        <f>'GASTOS FIJOS'!B8</f>
        <v>12343.136400000001</v>
      </c>
      <c r="F1" s="123"/>
      <c r="H1" s="17"/>
      <c r="I1" t="s">
        <v>23</v>
      </c>
    </row>
    <row r="2" spans="1:16" x14ac:dyDescent="0.25">
      <c r="B2" s="197"/>
      <c r="C2" s="200"/>
      <c r="F2" s="124"/>
      <c r="G2" t="s">
        <v>24</v>
      </c>
      <c r="H2" s="19"/>
      <c r="I2" t="s">
        <v>25</v>
      </c>
    </row>
    <row r="3" spans="1:16" x14ac:dyDescent="0.25">
      <c r="B3" s="198"/>
      <c r="C3" s="201"/>
      <c r="F3" s="125"/>
      <c r="G3" t="s">
        <v>26</v>
      </c>
      <c r="H3" s="20"/>
      <c r="I3" t="s">
        <v>27</v>
      </c>
    </row>
    <row r="4" spans="1:16" ht="45" x14ac:dyDescent="0.25">
      <c r="A4" s="152" t="s">
        <v>28</v>
      </c>
      <c r="B4" s="152" t="s">
        <v>29</v>
      </c>
      <c r="C4" s="152" t="s">
        <v>30</v>
      </c>
      <c r="D4" s="152" t="s">
        <v>31</v>
      </c>
      <c r="E4" s="152" t="s">
        <v>32</v>
      </c>
      <c r="F4" s="153" t="s">
        <v>33</v>
      </c>
      <c r="G4" s="152" t="s">
        <v>34</v>
      </c>
      <c r="H4" s="152" t="s">
        <v>35</v>
      </c>
      <c r="I4" s="152" t="s">
        <v>36</v>
      </c>
      <c r="J4" s="152" t="s">
        <v>37</v>
      </c>
      <c r="K4" s="152" t="s">
        <v>38</v>
      </c>
      <c r="L4" s="152" t="s">
        <v>39</v>
      </c>
      <c r="M4" s="152" t="s">
        <v>40</v>
      </c>
      <c r="N4" s="152" t="s">
        <v>41</v>
      </c>
      <c r="O4" s="152" t="s">
        <v>42</v>
      </c>
      <c r="P4" s="152" t="s">
        <v>43</v>
      </c>
    </row>
    <row r="5" spans="1:16" x14ac:dyDescent="0.25">
      <c r="A5" s="146">
        <v>45006</v>
      </c>
      <c r="B5" s="146">
        <v>45006</v>
      </c>
      <c r="C5" s="146">
        <v>45006</v>
      </c>
      <c r="D5" s="1">
        <v>45013</v>
      </c>
      <c r="F5" s="79">
        <v>24098</v>
      </c>
      <c r="G5" t="s">
        <v>44</v>
      </c>
      <c r="H5" t="s">
        <v>45</v>
      </c>
      <c r="I5" s="2">
        <v>19502</v>
      </c>
      <c r="J5" s="2">
        <v>19880</v>
      </c>
      <c r="K5" s="3">
        <f>Tabla2[[#This Row],[PRECIO CLIENTE]]-Tabla2[[#This Row],[CANTIDAD PUBLICA]]</f>
        <v>378</v>
      </c>
      <c r="L5" s="147">
        <f>Tabla2[[#This Row],[COMISION AGENCIA]]*0.05</f>
        <v>18.900000000000002</v>
      </c>
      <c r="N5" s="154" t="s">
        <v>46</v>
      </c>
      <c r="O5" s="136" t="s">
        <v>47</v>
      </c>
    </row>
    <row r="6" spans="1:16" x14ac:dyDescent="0.25">
      <c r="A6" s="146">
        <v>45006</v>
      </c>
      <c r="B6" s="146">
        <v>45006</v>
      </c>
      <c r="C6" s="146">
        <v>45006</v>
      </c>
      <c r="D6" s="1">
        <v>45072</v>
      </c>
      <c r="E6" s="1">
        <v>45076</v>
      </c>
      <c r="F6" s="79">
        <v>24110</v>
      </c>
      <c r="G6" t="s">
        <v>48</v>
      </c>
      <c r="H6" t="s">
        <v>49</v>
      </c>
      <c r="I6" s="2">
        <v>9351</v>
      </c>
      <c r="J6" s="2">
        <v>10785</v>
      </c>
      <c r="K6" s="3">
        <f>Tabla2[[#This Row],[PRECIO CLIENTE]]-Tabla2[[#This Row],[CANTIDAD PUBLICA]]</f>
        <v>1434</v>
      </c>
      <c r="L6" s="147">
        <f>Tabla2[[#This Row],[COMISION AGENCIA]]*0.05</f>
        <v>71.7</v>
      </c>
      <c r="N6" s="154" t="s">
        <v>50</v>
      </c>
      <c r="O6" s="136" t="s">
        <v>47</v>
      </c>
    </row>
    <row r="7" spans="1:16" x14ac:dyDescent="0.25">
      <c r="A7" s="146">
        <v>45008</v>
      </c>
      <c r="B7" s="146">
        <v>45008</v>
      </c>
      <c r="C7" s="146">
        <v>45008</v>
      </c>
      <c r="D7" s="1">
        <v>45015</v>
      </c>
      <c r="F7" s="79">
        <v>24142</v>
      </c>
      <c r="G7" t="s">
        <v>51</v>
      </c>
      <c r="H7" t="s">
        <v>52</v>
      </c>
      <c r="I7" s="2">
        <v>6540</v>
      </c>
      <c r="J7" s="2">
        <v>6880</v>
      </c>
      <c r="K7" s="3">
        <f>Tabla2[[#This Row],[PRECIO CLIENTE]]-Tabla2[[#This Row],[CANTIDAD PUBLICA]]</f>
        <v>340</v>
      </c>
      <c r="L7" s="147">
        <f>Tabla2[[#This Row],[COMISION AGENCIA]]*0.05</f>
        <v>17</v>
      </c>
      <c r="N7" s="154" t="s">
        <v>53</v>
      </c>
      <c r="O7" s="136" t="s">
        <v>47</v>
      </c>
    </row>
    <row r="8" spans="1:16" x14ac:dyDescent="0.25">
      <c r="A8" s="146">
        <v>45010</v>
      </c>
      <c r="B8" s="146">
        <v>45010</v>
      </c>
      <c r="C8" s="146">
        <v>45010</v>
      </c>
      <c r="D8" s="1">
        <v>45083</v>
      </c>
      <c r="F8" s="79">
        <v>24173</v>
      </c>
      <c r="G8" t="s">
        <v>54</v>
      </c>
      <c r="H8" t="s">
        <v>45</v>
      </c>
      <c r="I8" s="2">
        <v>5686</v>
      </c>
      <c r="J8" s="2">
        <v>6290</v>
      </c>
      <c r="K8" s="3">
        <f>Tabla2[[#This Row],[PRECIO CLIENTE]]-Tabla2[[#This Row],[CANTIDAD PUBLICA]]</f>
        <v>604</v>
      </c>
      <c r="L8" s="147">
        <f>Tabla2[[#This Row],[COMISION AGENCIA]]*0.05</f>
        <v>30.200000000000003</v>
      </c>
      <c r="N8" s="154" t="s">
        <v>55</v>
      </c>
      <c r="O8" s="136" t="s">
        <v>56</v>
      </c>
    </row>
    <row r="9" spans="1:16" x14ac:dyDescent="0.25">
      <c r="A9" s="146">
        <v>45016</v>
      </c>
      <c r="B9" s="146">
        <v>45016</v>
      </c>
      <c r="C9" s="146">
        <v>45016</v>
      </c>
      <c r="D9" s="1">
        <v>45054</v>
      </c>
      <c r="E9" s="1">
        <v>45065</v>
      </c>
      <c r="F9" s="79"/>
      <c r="G9" t="s">
        <v>57</v>
      </c>
      <c r="H9" t="s">
        <v>58</v>
      </c>
      <c r="I9" s="2">
        <v>2610</v>
      </c>
      <c r="J9" s="2">
        <v>2910</v>
      </c>
      <c r="K9" s="3">
        <f>Tabla2[[#This Row],[PRECIO CLIENTE]]-Tabla2[[#This Row],[CANTIDAD PUBLICA]]</f>
        <v>300</v>
      </c>
      <c r="L9" s="147">
        <f>Tabla2[[#This Row],[COMISION AGENCIA]]*0.05</f>
        <v>15</v>
      </c>
      <c r="N9" s="154" t="s">
        <v>59</v>
      </c>
      <c r="O9" s="136" t="s">
        <v>47</v>
      </c>
    </row>
    <row r="10" spans="1:16" x14ac:dyDescent="0.25">
      <c r="A10" s="146">
        <v>45020</v>
      </c>
      <c r="B10" s="146">
        <v>45020</v>
      </c>
      <c r="C10" s="146">
        <v>45020</v>
      </c>
      <c r="D10" s="1">
        <v>45090</v>
      </c>
      <c r="E10" s="1">
        <v>45105</v>
      </c>
      <c r="F10" s="7">
        <v>24238</v>
      </c>
      <c r="G10" t="s">
        <v>60</v>
      </c>
      <c r="H10" t="s">
        <v>61</v>
      </c>
      <c r="I10" s="2">
        <v>12875</v>
      </c>
      <c r="J10" s="2">
        <v>13025</v>
      </c>
      <c r="K10" s="3">
        <f>Tabla2[[#This Row],[PRECIO CLIENTE]]-Tabla2[[#This Row],[CANTIDAD PUBLICA]]</f>
        <v>150</v>
      </c>
      <c r="L10" s="147">
        <f>Tabla2[[#This Row],[COMISION AGENCIA]]*0.05</f>
        <v>7.5</v>
      </c>
      <c r="N10" s="154" t="s">
        <v>62</v>
      </c>
      <c r="O10" s="136" t="s">
        <v>63</v>
      </c>
    </row>
    <row r="11" spans="1:16" x14ac:dyDescent="0.25">
      <c r="A11" s="146">
        <v>45021</v>
      </c>
      <c r="B11" s="146">
        <v>45021</v>
      </c>
      <c r="C11" s="146">
        <v>45021</v>
      </c>
      <c r="D11" s="1">
        <v>45021</v>
      </c>
      <c r="E11" s="1">
        <v>45024</v>
      </c>
      <c r="F11" s="186">
        <v>24325</v>
      </c>
      <c r="G11" t="s">
        <v>64</v>
      </c>
      <c r="H11" t="s">
        <v>65</v>
      </c>
      <c r="I11" s="2">
        <v>27748</v>
      </c>
      <c r="J11" s="2">
        <v>25065</v>
      </c>
      <c r="K11" s="3">
        <f>Tabla2[[#This Row],[CANTIDAD PUBLICA]]*0.05</f>
        <v>1387.4</v>
      </c>
      <c r="L11" s="147">
        <f>Tabla2[[#This Row],[COMISION AGENCIA]]*0.05</f>
        <v>69.37</v>
      </c>
      <c r="N11" s="155" t="s">
        <v>66</v>
      </c>
      <c r="O11" s="136" t="s">
        <v>6</v>
      </c>
    </row>
    <row r="12" spans="1:16" ht="15.75" x14ac:dyDescent="0.25">
      <c r="A12" s="146">
        <v>45021</v>
      </c>
      <c r="B12" s="146">
        <v>45021</v>
      </c>
      <c r="C12" s="146">
        <v>45021</v>
      </c>
      <c r="D12" s="1">
        <v>45022</v>
      </c>
      <c r="F12" s="79">
        <v>24227</v>
      </c>
      <c r="G12" s="171" t="s">
        <v>67</v>
      </c>
      <c r="H12" t="s">
        <v>68</v>
      </c>
      <c r="I12" s="2">
        <v>7385</v>
      </c>
      <c r="J12" s="2">
        <v>7685</v>
      </c>
      <c r="K12" s="3">
        <f>Tabla2[[#This Row],[PRECIO CLIENTE]]-Tabla2[[#This Row],[CANTIDAD PUBLICA]]</f>
        <v>300</v>
      </c>
      <c r="L12" s="147">
        <f>Tabla2[[#This Row],[COMISION AGENCIA]]*0.05</f>
        <v>15</v>
      </c>
      <c r="N12" s="154" t="s">
        <v>69</v>
      </c>
      <c r="O12" s="136" t="s">
        <v>47</v>
      </c>
    </row>
    <row r="13" spans="1:16" x14ac:dyDescent="0.25">
      <c r="A13" s="146">
        <v>45023</v>
      </c>
      <c r="B13" s="146">
        <v>45023</v>
      </c>
      <c r="C13" s="146">
        <v>45023</v>
      </c>
      <c r="D13" s="1">
        <v>45030</v>
      </c>
      <c r="F13" s="186">
        <v>24338</v>
      </c>
      <c r="G13" t="s">
        <v>70</v>
      </c>
      <c r="H13" t="s">
        <v>71</v>
      </c>
      <c r="I13" s="2">
        <v>2809</v>
      </c>
      <c r="J13" s="2">
        <v>2990</v>
      </c>
      <c r="K13" s="3">
        <f>Tabla2[[#This Row],[PRECIO CLIENTE]]-Tabla2[[#This Row],[CANTIDAD PUBLICA]]</f>
        <v>181</v>
      </c>
      <c r="L13" s="147">
        <f>Tabla2[[#This Row],[COMISION AGENCIA]]*0.05</f>
        <v>9.0500000000000007</v>
      </c>
      <c r="N13" s="173" t="s">
        <v>72</v>
      </c>
      <c r="O13" s="136" t="s">
        <v>73</v>
      </c>
    </row>
    <row r="14" spans="1:16" x14ac:dyDescent="0.25">
      <c r="A14" s="146">
        <v>45026</v>
      </c>
      <c r="B14" s="146">
        <v>45026</v>
      </c>
      <c r="C14" s="146">
        <v>45026</v>
      </c>
      <c r="D14" s="1">
        <v>45033</v>
      </c>
      <c r="F14" s="186">
        <v>24338</v>
      </c>
      <c r="G14" t="s">
        <v>74</v>
      </c>
      <c r="H14" t="s">
        <v>75</v>
      </c>
      <c r="I14" s="2">
        <v>2888</v>
      </c>
      <c r="J14" s="2">
        <v>3190</v>
      </c>
      <c r="K14" s="3">
        <f>Tabla2[[#This Row],[PRECIO CLIENTE]]-Tabla2[[#This Row],[CANTIDAD PUBLICA]]</f>
        <v>302</v>
      </c>
      <c r="L14" s="147">
        <f>Tabla2[[#This Row],[COMISION AGENCIA]]*0.05</f>
        <v>15.100000000000001</v>
      </c>
      <c r="N14" s="154" t="s">
        <v>76</v>
      </c>
      <c r="O14" s="136" t="s">
        <v>56</v>
      </c>
    </row>
    <row r="15" spans="1:16" x14ac:dyDescent="0.25">
      <c r="A15" s="146">
        <v>45026</v>
      </c>
      <c r="B15" s="146">
        <v>45026</v>
      </c>
      <c r="C15" s="146">
        <v>45026</v>
      </c>
      <c r="D15" s="1">
        <v>45029</v>
      </c>
      <c r="E15" s="1">
        <v>45038</v>
      </c>
      <c r="F15" s="186">
        <v>24352</v>
      </c>
      <c r="G15" t="s">
        <v>77</v>
      </c>
      <c r="H15" t="s">
        <v>78</v>
      </c>
      <c r="I15" s="2">
        <v>4918</v>
      </c>
      <c r="J15" s="2">
        <v>5220</v>
      </c>
      <c r="K15" s="3">
        <f>Tabla2[[#This Row],[PRECIO CLIENTE]]-Tabla2[[#This Row],[CANTIDAD PUBLICA]]</f>
        <v>302</v>
      </c>
      <c r="L15" s="147">
        <f>Tabla2[[#This Row],[COMISION AGENCIA]]*0.05</f>
        <v>15.100000000000001</v>
      </c>
      <c r="N15" s="155" t="s">
        <v>79</v>
      </c>
      <c r="O15" s="136" t="s">
        <v>47</v>
      </c>
    </row>
    <row r="16" spans="1:16" x14ac:dyDescent="0.25">
      <c r="A16" s="146">
        <v>45026</v>
      </c>
      <c r="B16" s="146">
        <v>45026</v>
      </c>
      <c r="C16" s="146">
        <v>45026</v>
      </c>
      <c r="D16" s="1">
        <v>45046</v>
      </c>
      <c r="F16" s="186">
        <v>24363</v>
      </c>
      <c r="G16" t="s">
        <v>80</v>
      </c>
      <c r="H16" t="s">
        <v>81</v>
      </c>
      <c r="I16" s="2">
        <v>2896</v>
      </c>
      <c r="J16" s="2">
        <v>3200</v>
      </c>
      <c r="K16" s="3">
        <f>Tabla2[[#This Row],[PRECIO CLIENTE]]-Tabla2[[#This Row],[CANTIDAD PUBLICA]]</f>
        <v>304</v>
      </c>
      <c r="L16" s="147">
        <f>Tabla2[[#This Row],[COMISION AGENCIA]]*0.05</f>
        <v>15.200000000000001</v>
      </c>
      <c r="N16" s="154" t="s">
        <v>82</v>
      </c>
      <c r="O16" s="136" t="s">
        <v>56</v>
      </c>
    </row>
    <row r="17" spans="1:15" x14ac:dyDescent="0.25">
      <c r="A17" s="146">
        <v>45026</v>
      </c>
      <c r="B17" s="146">
        <v>45026</v>
      </c>
      <c r="C17" s="146">
        <v>45026</v>
      </c>
      <c r="D17" s="1">
        <v>45140</v>
      </c>
      <c r="F17" s="186">
        <v>24359</v>
      </c>
      <c r="G17" t="s">
        <v>83</v>
      </c>
      <c r="H17" t="s">
        <v>84</v>
      </c>
      <c r="I17" s="2">
        <v>4293</v>
      </c>
      <c r="J17" s="2">
        <v>4445</v>
      </c>
      <c r="K17" s="3">
        <f>Tabla2[[#This Row],[PRECIO CLIENTE]]-Tabla2[[#This Row],[CANTIDAD PUBLICA]]</f>
        <v>152</v>
      </c>
      <c r="L17" s="147">
        <f>Tabla2[[#This Row],[COMISION AGENCIA]]*0.05</f>
        <v>7.6000000000000005</v>
      </c>
      <c r="N17" s="154" t="s">
        <v>85</v>
      </c>
      <c r="O17" s="136" t="s">
        <v>86</v>
      </c>
    </row>
    <row r="18" spans="1:15" x14ac:dyDescent="0.25">
      <c r="A18" s="146">
        <v>45026</v>
      </c>
      <c r="B18" s="146">
        <v>45026</v>
      </c>
      <c r="C18" s="210" t="s">
        <v>87</v>
      </c>
      <c r="D18" s="1">
        <v>45107</v>
      </c>
      <c r="F18" s="186">
        <v>24359</v>
      </c>
      <c r="G18" t="s">
        <v>88</v>
      </c>
      <c r="H18" t="s">
        <v>89</v>
      </c>
      <c r="I18" s="2">
        <v>2338</v>
      </c>
      <c r="J18" s="2">
        <v>2490</v>
      </c>
      <c r="K18" s="3">
        <f>Tabla2[[#This Row],[PRECIO CLIENTE]]-Tabla2[[#This Row],[CANTIDAD PUBLICA]]</f>
        <v>152</v>
      </c>
      <c r="L18" s="147">
        <f>Tabla2[[#This Row],[COMISION AGENCIA]]*0.05</f>
        <v>7.6000000000000005</v>
      </c>
      <c r="N18" s="154" t="s">
        <v>90</v>
      </c>
      <c r="O18" s="136" t="s">
        <v>86</v>
      </c>
    </row>
    <row r="19" spans="1:15" x14ac:dyDescent="0.25">
      <c r="A19" s="146">
        <v>45027</v>
      </c>
      <c r="B19" s="146">
        <v>45033</v>
      </c>
      <c r="C19" s="146">
        <v>45027</v>
      </c>
      <c r="D19" s="1">
        <v>45047</v>
      </c>
      <c r="E19" s="1">
        <v>45052</v>
      </c>
      <c r="F19" s="7"/>
      <c r="G19" t="s">
        <v>91</v>
      </c>
      <c r="H19" t="s">
        <v>92</v>
      </c>
      <c r="I19" s="2">
        <v>35211</v>
      </c>
      <c r="J19" s="2">
        <v>31690</v>
      </c>
      <c r="K19" s="3">
        <f>Tabla2[[#This Row],[CANTIDAD PUBLICA]]*0.05</f>
        <v>1760.5500000000002</v>
      </c>
      <c r="L19" s="147">
        <f>Tabla2[[#This Row],[COMISION AGENCIA]]*0.05</f>
        <v>88.027500000000018</v>
      </c>
      <c r="N19" s="156">
        <v>10752001</v>
      </c>
      <c r="O19" s="136" t="s">
        <v>93</v>
      </c>
    </row>
    <row r="20" spans="1:15" x14ac:dyDescent="0.25">
      <c r="A20" s="146">
        <v>45028</v>
      </c>
      <c r="B20" s="146">
        <v>45028</v>
      </c>
      <c r="C20" s="146">
        <v>45028</v>
      </c>
      <c r="D20" s="1">
        <v>45032</v>
      </c>
      <c r="F20" s="186">
        <v>24338</v>
      </c>
      <c r="G20" t="s">
        <v>94</v>
      </c>
      <c r="H20" t="s">
        <v>95</v>
      </c>
      <c r="I20" s="2">
        <v>1129</v>
      </c>
      <c r="J20" s="2">
        <v>1430</v>
      </c>
      <c r="K20" s="3">
        <f>Tabla2[[#This Row],[PRECIO CLIENTE]]-Tabla2[[#This Row],[CANTIDAD PUBLICA]]</f>
        <v>301</v>
      </c>
      <c r="L20" s="147">
        <f>Tabla2[[#This Row],[COMISION AGENCIA]]*0.05</f>
        <v>15.05</v>
      </c>
      <c r="N20" s="154" t="s">
        <v>96</v>
      </c>
      <c r="O20" s="136" t="s">
        <v>47</v>
      </c>
    </row>
    <row r="21" spans="1:15" x14ac:dyDescent="0.25">
      <c r="A21" s="146">
        <v>45028</v>
      </c>
      <c r="B21" s="146">
        <v>45028</v>
      </c>
      <c r="C21" s="146">
        <v>45028</v>
      </c>
      <c r="D21" s="1">
        <v>45135</v>
      </c>
      <c r="E21" t="s">
        <v>97</v>
      </c>
      <c r="F21" s="186">
        <v>24418</v>
      </c>
      <c r="G21" s="174" t="s">
        <v>98</v>
      </c>
      <c r="H21" t="s">
        <v>99</v>
      </c>
      <c r="I21" s="2">
        <v>600</v>
      </c>
      <c r="J21" s="2">
        <v>600</v>
      </c>
      <c r="K21" s="3">
        <v>600</v>
      </c>
      <c r="L21" s="147">
        <f>Tabla2[[#This Row],[COMISION AGENCIA]]*0.05</f>
        <v>30</v>
      </c>
      <c r="N21" s="154" t="s">
        <v>100</v>
      </c>
      <c r="O21" s="136" t="s">
        <v>86</v>
      </c>
    </row>
    <row r="22" spans="1:15" x14ac:dyDescent="0.25">
      <c r="A22" s="146">
        <v>45029</v>
      </c>
      <c r="B22" s="146">
        <v>45029</v>
      </c>
      <c r="C22" s="146">
        <v>45012</v>
      </c>
      <c r="D22" s="1">
        <v>45046</v>
      </c>
      <c r="E22" s="1">
        <v>45050</v>
      </c>
      <c r="F22" s="186" t="s">
        <v>101</v>
      </c>
      <c r="G22" t="s">
        <v>102</v>
      </c>
      <c r="H22" t="s">
        <v>103</v>
      </c>
      <c r="I22" s="2">
        <v>16091</v>
      </c>
      <c r="J22" s="2">
        <v>14485</v>
      </c>
      <c r="K22" s="3">
        <f>Tabla2[[#This Row],[CANTIDAD PUBLICA]]*0.05</f>
        <v>804.55000000000007</v>
      </c>
      <c r="L22" s="147">
        <f>Tabla2[[#This Row],[COMISION AGENCIA]]*0.05</f>
        <v>40.227500000000006</v>
      </c>
      <c r="N22" s="154">
        <v>10685821</v>
      </c>
      <c r="O22" s="136" t="s">
        <v>93</v>
      </c>
    </row>
    <row r="23" spans="1:15" x14ac:dyDescent="0.25">
      <c r="A23" s="146">
        <v>45029</v>
      </c>
      <c r="B23" s="146">
        <v>45029</v>
      </c>
      <c r="C23" s="146">
        <v>45012</v>
      </c>
      <c r="D23" s="1">
        <v>45046</v>
      </c>
      <c r="E23" s="1">
        <v>45050</v>
      </c>
      <c r="F23" s="79" t="s">
        <v>104</v>
      </c>
      <c r="G23" t="s">
        <v>105</v>
      </c>
      <c r="H23" t="s">
        <v>103</v>
      </c>
      <c r="I23" s="2">
        <v>16091</v>
      </c>
      <c r="J23" s="2">
        <v>14485</v>
      </c>
      <c r="K23" s="3">
        <f>Tabla2[[#This Row],[CANTIDAD PUBLICA]]*0.05</f>
        <v>804.55000000000007</v>
      </c>
      <c r="L23" s="147">
        <f>Tabla2[[#This Row],[COMISION AGENCIA]]*0.05</f>
        <v>40.227500000000006</v>
      </c>
      <c r="N23" s="154">
        <v>10685803</v>
      </c>
      <c r="O23" s="136" t="s">
        <v>93</v>
      </c>
    </row>
    <row r="24" spans="1:15" x14ac:dyDescent="0.25">
      <c r="A24" s="146">
        <v>45030</v>
      </c>
      <c r="B24" s="146">
        <v>45030</v>
      </c>
      <c r="C24" s="146">
        <v>45028</v>
      </c>
      <c r="D24" s="1">
        <v>45030</v>
      </c>
      <c r="F24" s="186">
        <v>24411</v>
      </c>
      <c r="G24" t="s">
        <v>106</v>
      </c>
      <c r="H24" t="s">
        <v>107</v>
      </c>
      <c r="I24" s="2">
        <v>2233</v>
      </c>
      <c r="J24" s="2">
        <v>2535</v>
      </c>
      <c r="K24" s="3">
        <f>Tabla2[[#This Row],[PRECIO CLIENTE]]-Tabla2[[#This Row],[CANTIDAD PUBLICA]]</f>
        <v>302</v>
      </c>
      <c r="L24" s="147">
        <f>Tabla2[[#This Row],[COMISION AGENCIA]]*0.05</f>
        <v>15.100000000000001</v>
      </c>
      <c r="N24" s="154" t="s">
        <v>108</v>
      </c>
      <c r="O24" s="136" t="s">
        <v>56</v>
      </c>
    </row>
    <row r="25" spans="1:15" x14ac:dyDescent="0.25">
      <c r="A25" s="146">
        <v>45031</v>
      </c>
      <c r="B25" s="146">
        <v>45031</v>
      </c>
      <c r="C25" s="146">
        <v>45031</v>
      </c>
      <c r="D25" s="1">
        <v>45035</v>
      </c>
      <c r="E25" s="1">
        <v>45044</v>
      </c>
      <c r="F25" s="186">
        <v>24460</v>
      </c>
      <c r="G25" t="s">
        <v>109</v>
      </c>
      <c r="H25" t="s">
        <v>110</v>
      </c>
      <c r="I25" s="2">
        <v>5808</v>
      </c>
      <c r="J25" s="2">
        <v>6110</v>
      </c>
      <c r="K25" s="3">
        <f>Tabla2[[#This Row],[PRECIO CLIENTE]]-Tabla2[[#This Row],[CANTIDAD PUBLICA]]</f>
        <v>302</v>
      </c>
      <c r="L25" s="147">
        <f>Tabla2[[#This Row],[COMISION AGENCIA]]*0.05</f>
        <v>15.100000000000001</v>
      </c>
      <c r="N25" s="154" t="s">
        <v>111</v>
      </c>
      <c r="O25" s="136" t="s">
        <v>47</v>
      </c>
    </row>
    <row r="26" spans="1:15" x14ac:dyDescent="0.25">
      <c r="A26" s="146">
        <v>45033</v>
      </c>
      <c r="B26" s="146" t="s">
        <v>112</v>
      </c>
      <c r="C26" s="146">
        <v>45033</v>
      </c>
      <c r="D26" s="1">
        <v>45117</v>
      </c>
      <c r="E26" s="1">
        <v>45139</v>
      </c>
      <c r="F26" s="186">
        <v>24479</v>
      </c>
      <c r="G26" t="s">
        <v>113</v>
      </c>
      <c r="H26" t="s">
        <v>89</v>
      </c>
      <c r="I26" s="2">
        <v>8481</v>
      </c>
      <c r="J26" s="2">
        <v>10020</v>
      </c>
      <c r="K26" s="3">
        <f>Tabla2[[#This Row],[PRECIO CLIENTE]]-Tabla2[[#This Row],[CANTIDAD PUBLICA]]</f>
        <v>1539</v>
      </c>
      <c r="L26" s="147">
        <f>Tabla2[[#This Row],[COMISION AGENCIA]]*0.05</f>
        <v>76.95</v>
      </c>
      <c r="N26" s="154" t="s">
        <v>114</v>
      </c>
      <c r="O26" s="136" t="s">
        <v>47</v>
      </c>
    </row>
    <row r="27" spans="1:15" x14ac:dyDescent="0.25">
      <c r="A27" s="146">
        <v>45034</v>
      </c>
      <c r="B27" s="146">
        <v>45034</v>
      </c>
      <c r="C27" s="146">
        <v>45034</v>
      </c>
      <c r="D27" s="1">
        <v>45052</v>
      </c>
      <c r="E27" s="1">
        <v>45066</v>
      </c>
      <c r="F27" s="186">
        <v>24493</v>
      </c>
      <c r="G27" t="s">
        <v>115</v>
      </c>
      <c r="H27" t="s">
        <v>116</v>
      </c>
      <c r="I27" s="2">
        <v>12076</v>
      </c>
      <c r="J27" s="2">
        <v>12680</v>
      </c>
      <c r="K27" s="3">
        <f>Tabla2[[#This Row],[PRECIO CLIENTE]]-Tabla2[[#This Row],[CANTIDAD PUBLICA]]</f>
        <v>604</v>
      </c>
      <c r="L27" s="147">
        <f>Tabla2[[#This Row],[COMISION AGENCIA]]*0.05</f>
        <v>30.200000000000003</v>
      </c>
      <c r="N27" s="154" t="s">
        <v>117</v>
      </c>
      <c r="O27" s="136" t="s">
        <v>56</v>
      </c>
    </row>
    <row r="28" spans="1:15" x14ac:dyDescent="0.25">
      <c r="A28" s="146">
        <v>45035</v>
      </c>
      <c r="B28" s="146">
        <v>45035</v>
      </c>
      <c r="C28" s="146">
        <v>45035</v>
      </c>
      <c r="D28" s="1">
        <v>45038</v>
      </c>
      <c r="F28" s="186">
        <v>24542</v>
      </c>
      <c r="G28" t="s">
        <v>118</v>
      </c>
      <c r="H28" t="s">
        <v>119</v>
      </c>
      <c r="I28" s="2">
        <v>2862</v>
      </c>
      <c r="J28" s="2">
        <v>3200</v>
      </c>
      <c r="K28" s="3">
        <f>Tabla2[[#This Row],[PRECIO CLIENTE]]-Tabla2[[#This Row],[CANTIDAD PUBLICA]]</f>
        <v>338</v>
      </c>
      <c r="L28" s="147">
        <f>Tabla2[[#This Row],[COMISION AGENCIA]]*0.05</f>
        <v>16.900000000000002</v>
      </c>
      <c r="N28" s="154" t="s">
        <v>120</v>
      </c>
      <c r="O28" s="136" t="s">
        <v>47</v>
      </c>
    </row>
    <row r="29" spans="1:15" x14ac:dyDescent="0.25">
      <c r="A29" s="146">
        <v>45036</v>
      </c>
      <c r="B29" s="146">
        <v>45036</v>
      </c>
      <c r="C29" s="146">
        <v>45036</v>
      </c>
      <c r="D29" s="1">
        <v>45077</v>
      </c>
      <c r="E29" s="1">
        <v>45147</v>
      </c>
      <c r="F29" s="186">
        <v>24559</v>
      </c>
      <c r="G29" t="s">
        <v>121</v>
      </c>
      <c r="H29" t="s">
        <v>122</v>
      </c>
      <c r="I29" s="2">
        <v>27708</v>
      </c>
      <c r="J29" s="2">
        <v>28610</v>
      </c>
      <c r="K29" s="3">
        <f>Tabla2[[#This Row],[PRECIO CLIENTE]]-Tabla2[[#This Row],[CANTIDAD PUBLICA]]</f>
        <v>902</v>
      </c>
      <c r="L29" s="147">
        <f>Tabla2[[#This Row],[COMISION AGENCIA]]*0.05</f>
        <v>45.1</v>
      </c>
      <c r="N29" s="154" t="s">
        <v>123</v>
      </c>
      <c r="O29" s="136" t="s">
        <v>47</v>
      </c>
    </row>
    <row r="30" spans="1:15" x14ac:dyDescent="0.25">
      <c r="A30" s="146">
        <v>45038</v>
      </c>
      <c r="B30" s="146">
        <v>45038</v>
      </c>
      <c r="C30" s="146">
        <v>45038</v>
      </c>
      <c r="D30" s="1">
        <v>45041</v>
      </c>
      <c r="F30" s="186">
        <v>24580</v>
      </c>
      <c r="G30" t="s">
        <v>124</v>
      </c>
      <c r="H30" t="s">
        <v>125</v>
      </c>
      <c r="I30" s="2">
        <v>3174</v>
      </c>
      <c r="J30" s="2">
        <v>3475</v>
      </c>
      <c r="K30" s="3">
        <f>Tabla2[[#This Row],[PRECIO CLIENTE]]-Tabla2[[#This Row],[CANTIDAD PUBLICA]]</f>
        <v>301</v>
      </c>
      <c r="L30" s="147">
        <f>Tabla2[[#This Row],[COMISION AGENCIA]]*0.05</f>
        <v>15.05</v>
      </c>
      <c r="N30" s="154" t="s">
        <v>126</v>
      </c>
      <c r="O30" s="136" t="s">
        <v>47</v>
      </c>
    </row>
    <row r="31" spans="1:15" x14ac:dyDescent="0.25">
      <c r="A31" s="146">
        <v>45038</v>
      </c>
      <c r="B31" s="146">
        <v>45038</v>
      </c>
      <c r="C31" s="146">
        <v>45034</v>
      </c>
      <c r="D31" s="1">
        <v>45101</v>
      </c>
      <c r="E31" s="1">
        <v>45105</v>
      </c>
      <c r="F31" s="7"/>
      <c r="G31" t="s">
        <v>127</v>
      </c>
      <c r="H31" t="s">
        <v>128</v>
      </c>
      <c r="I31" s="2">
        <v>21982</v>
      </c>
      <c r="J31" s="2">
        <v>19125</v>
      </c>
      <c r="K31" s="3">
        <f>Tabla2[[#This Row],[CANTIDAD PUBLICA]]*0.05</f>
        <v>1099.1000000000001</v>
      </c>
      <c r="L31" s="147">
        <f>Tabla2[[#This Row],[COMISION AGENCIA]]*0.05</f>
        <v>54.955000000000013</v>
      </c>
      <c r="N31" s="154" t="s">
        <v>129</v>
      </c>
      <c r="O31" s="136" t="s">
        <v>130</v>
      </c>
    </row>
    <row r="32" spans="1:15" x14ac:dyDescent="0.25">
      <c r="A32" s="146">
        <v>45040</v>
      </c>
      <c r="B32" s="146">
        <v>45040</v>
      </c>
      <c r="C32" s="146">
        <v>45040</v>
      </c>
      <c r="D32" s="1">
        <v>45044</v>
      </c>
      <c r="F32" s="186">
        <v>24597</v>
      </c>
      <c r="G32" t="s">
        <v>131</v>
      </c>
      <c r="H32" t="s">
        <v>132</v>
      </c>
      <c r="I32" s="2">
        <v>2880</v>
      </c>
      <c r="J32" s="2">
        <v>3200</v>
      </c>
      <c r="K32" s="3">
        <f>Tabla2[[#This Row],[PRECIO CLIENTE]]-Tabla2[[#This Row],[CANTIDAD PUBLICA]]</f>
        <v>320</v>
      </c>
      <c r="L32" s="147">
        <f>Tabla2[[#This Row],[COMISION AGENCIA]]*0.05</f>
        <v>16</v>
      </c>
      <c r="N32" s="154" t="s">
        <v>133</v>
      </c>
      <c r="O32" s="136" t="s">
        <v>56</v>
      </c>
    </row>
    <row r="33" spans="1:15" x14ac:dyDescent="0.25">
      <c r="A33" s="146">
        <v>45040</v>
      </c>
      <c r="B33" s="146">
        <v>45040</v>
      </c>
      <c r="C33" s="146">
        <v>45040</v>
      </c>
      <c r="D33" s="1">
        <v>45049</v>
      </c>
      <c r="E33" s="1">
        <v>45070</v>
      </c>
      <c r="F33" s="186">
        <v>24605</v>
      </c>
      <c r="G33" t="s">
        <v>134</v>
      </c>
      <c r="H33" t="s">
        <v>135</v>
      </c>
      <c r="I33" s="2">
        <v>5330</v>
      </c>
      <c r="J33" s="2">
        <v>5805</v>
      </c>
      <c r="K33" s="3">
        <f>Tabla2[[#This Row],[PRECIO CLIENTE]]-Tabla2[[#This Row],[CANTIDAD PUBLICA]]</f>
        <v>475</v>
      </c>
      <c r="L33" s="147">
        <f>Tabla2[[#This Row],[COMISION AGENCIA]]*0.05</f>
        <v>23.75</v>
      </c>
      <c r="N33" s="154" t="s">
        <v>136</v>
      </c>
      <c r="O33" s="136" t="s">
        <v>137</v>
      </c>
    </row>
    <row r="34" spans="1:15" x14ac:dyDescent="0.25">
      <c r="A34" s="146">
        <v>45040</v>
      </c>
      <c r="B34" s="146">
        <v>45040</v>
      </c>
      <c r="C34" s="146">
        <v>45041</v>
      </c>
      <c r="D34" s="1">
        <v>45045</v>
      </c>
      <c r="E34" s="1">
        <v>45047</v>
      </c>
      <c r="F34" s="186">
        <v>24619</v>
      </c>
      <c r="G34" t="s">
        <v>138</v>
      </c>
      <c r="H34" t="s">
        <v>139</v>
      </c>
      <c r="I34" s="2">
        <v>22139</v>
      </c>
      <c r="J34" s="2">
        <v>19265</v>
      </c>
      <c r="K34" s="3">
        <f>Tabla2[[#This Row],[CANTIDAD PUBLICA]]*0.05</f>
        <v>1106.95</v>
      </c>
      <c r="L34" s="147">
        <f>Tabla2[[#This Row],[COMISION AGENCIA]]*0.05</f>
        <v>55.347500000000004</v>
      </c>
      <c r="N34" s="154" t="s">
        <v>140</v>
      </c>
      <c r="O34" s="136" t="s">
        <v>6</v>
      </c>
    </row>
    <row r="35" spans="1:15" x14ac:dyDescent="0.25">
      <c r="A35" s="146">
        <v>45041</v>
      </c>
      <c r="B35" s="146">
        <v>45041</v>
      </c>
      <c r="C35" s="146">
        <v>45041</v>
      </c>
      <c r="D35" s="1">
        <v>45045</v>
      </c>
      <c r="F35" s="186">
        <v>24632</v>
      </c>
      <c r="G35" t="s">
        <v>141</v>
      </c>
      <c r="H35" t="s">
        <v>110</v>
      </c>
      <c r="I35" s="2">
        <v>2722</v>
      </c>
      <c r="J35" s="2">
        <v>2865</v>
      </c>
      <c r="K35" s="3">
        <f>Tabla2[[#This Row],[PRECIO CLIENTE]]-Tabla2[[#This Row],[CANTIDAD PUBLICA]]</f>
        <v>143</v>
      </c>
      <c r="L35" s="147">
        <f>Tabla2[[#This Row],[COMISION AGENCIA]]*0.05</f>
        <v>7.15</v>
      </c>
      <c r="N35" s="154" t="s">
        <v>142</v>
      </c>
      <c r="O35" s="136" t="s">
        <v>137</v>
      </c>
    </row>
    <row r="36" spans="1:15" x14ac:dyDescent="0.25">
      <c r="A36" s="146">
        <v>45041</v>
      </c>
      <c r="B36" s="146">
        <v>45041</v>
      </c>
      <c r="C36" s="146">
        <v>45041</v>
      </c>
      <c r="D36" s="1">
        <v>45052</v>
      </c>
      <c r="F36" s="186">
        <v>24634</v>
      </c>
      <c r="G36" t="s">
        <v>143</v>
      </c>
      <c r="H36" t="s">
        <v>144</v>
      </c>
      <c r="I36" s="2">
        <v>2651</v>
      </c>
      <c r="J36" s="2">
        <v>2955</v>
      </c>
      <c r="K36" s="3">
        <f>Tabla2[[#This Row],[PRECIO CLIENTE]]-Tabla2[[#This Row],[CANTIDAD PUBLICA]]</f>
        <v>304</v>
      </c>
      <c r="L36" s="147">
        <f>Tabla2[[#This Row],[COMISION AGENCIA]]*0.05</f>
        <v>15.200000000000001</v>
      </c>
      <c r="N36" s="154" t="s">
        <v>145</v>
      </c>
      <c r="O36" s="136" t="s">
        <v>47</v>
      </c>
    </row>
    <row r="37" spans="1:15" x14ac:dyDescent="0.25">
      <c r="A37" s="146">
        <v>45042</v>
      </c>
      <c r="B37" s="146">
        <v>45042</v>
      </c>
      <c r="C37" s="146">
        <v>45042</v>
      </c>
      <c r="D37" s="1">
        <v>45096</v>
      </c>
      <c r="F37" s="186">
        <v>24638</v>
      </c>
      <c r="G37" t="s">
        <v>146</v>
      </c>
      <c r="H37" t="s">
        <v>147</v>
      </c>
      <c r="I37" s="2">
        <v>2823</v>
      </c>
      <c r="J37" s="2">
        <v>3300</v>
      </c>
      <c r="K37" s="3">
        <f>Tabla2[[#This Row],[PRECIO CLIENTE]]-Tabla2[[#This Row],[CANTIDAD PUBLICA]]</f>
        <v>477</v>
      </c>
      <c r="L37" s="147">
        <f>Tabla2[[#This Row],[COMISION AGENCIA]]*0.05</f>
        <v>23.85</v>
      </c>
      <c r="N37" s="154" t="s">
        <v>148</v>
      </c>
      <c r="O37" s="136" t="s">
        <v>47</v>
      </c>
    </row>
    <row r="38" spans="1:15" x14ac:dyDescent="0.25">
      <c r="A38" s="146">
        <v>45042</v>
      </c>
      <c r="B38" s="146">
        <v>45042</v>
      </c>
      <c r="C38" s="146">
        <v>45042</v>
      </c>
      <c r="D38" s="1">
        <v>45131</v>
      </c>
      <c r="E38" s="1">
        <v>45144</v>
      </c>
      <c r="F38" s="186">
        <v>24648</v>
      </c>
      <c r="G38" t="s">
        <v>149</v>
      </c>
      <c r="H38" t="s">
        <v>150</v>
      </c>
      <c r="I38" s="2">
        <v>6753</v>
      </c>
      <c r="J38" s="2">
        <v>7055</v>
      </c>
      <c r="K38" s="3">
        <f>Tabla2[[#This Row],[PRECIO CLIENTE]]-Tabla2[[#This Row],[CANTIDAD PUBLICA]]</f>
        <v>302</v>
      </c>
      <c r="L38" s="147">
        <f>Tabla2[[#This Row],[COMISION AGENCIA]]*0.05</f>
        <v>15.100000000000001</v>
      </c>
      <c r="N38" s="154" t="s">
        <v>151</v>
      </c>
      <c r="O38" s="136" t="s">
        <v>47</v>
      </c>
    </row>
    <row r="39" spans="1:15" ht="15.75" x14ac:dyDescent="0.25">
      <c r="A39" s="146">
        <v>45042</v>
      </c>
      <c r="B39" s="146">
        <v>45042</v>
      </c>
      <c r="C39" s="146">
        <v>45042</v>
      </c>
      <c r="D39" s="1">
        <v>45059</v>
      </c>
      <c r="F39" s="7"/>
      <c r="G39" s="171" t="s">
        <v>152</v>
      </c>
      <c r="H39" t="s">
        <v>153</v>
      </c>
      <c r="I39" s="2">
        <v>3043</v>
      </c>
      <c r="J39" s="2">
        <v>3345</v>
      </c>
      <c r="K39" s="3">
        <f>Tabla2[[#This Row],[PRECIO CLIENTE]]-Tabla2[[#This Row],[CANTIDAD PUBLICA]]</f>
        <v>302</v>
      </c>
      <c r="L39" s="147">
        <f>Tabla2[[#This Row],[COMISION AGENCIA]]*0.05</f>
        <v>15.100000000000001</v>
      </c>
      <c r="N39" s="154" t="s">
        <v>154</v>
      </c>
      <c r="O39" s="136" t="s">
        <v>47</v>
      </c>
    </row>
    <row r="40" spans="1:15" x14ac:dyDescent="0.25">
      <c r="A40" s="146">
        <v>45045</v>
      </c>
      <c r="B40" s="146">
        <v>45045</v>
      </c>
      <c r="C40" s="146">
        <v>47237</v>
      </c>
      <c r="D40" s="1">
        <v>45068</v>
      </c>
      <c r="E40" s="1">
        <v>45156</v>
      </c>
      <c r="F40" s="186">
        <v>24688</v>
      </c>
      <c r="G40" t="s">
        <v>155</v>
      </c>
      <c r="H40" t="s">
        <v>156</v>
      </c>
      <c r="I40" s="2">
        <v>17397</v>
      </c>
      <c r="J40" s="2">
        <v>17550</v>
      </c>
      <c r="K40" s="3">
        <f>Tabla2[[#This Row],[PRECIO CLIENTE]]-Tabla2[[#This Row],[CANTIDAD PUBLICA]]</f>
        <v>153</v>
      </c>
      <c r="L40" s="147">
        <f>Tabla2[[#This Row],[COMISION AGENCIA]]*0.05</f>
        <v>7.65</v>
      </c>
      <c r="N40" s="173" t="s">
        <v>157</v>
      </c>
      <c r="O40" s="136" t="s">
        <v>73</v>
      </c>
    </row>
    <row r="41" spans="1:15" ht="15.75" x14ac:dyDescent="0.25">
      <c r="A41" s="146">
        <v>45048</v>
      </c>
      <c r="B41" s="146">
        <v>45048</v>
      </c>
      <c r="C41" s="146">
        <v>45048</v>
      </c>
      <c r="D41" s="1">
        <v>45059</v>
      </c>
      <c r="E41" s="1">
        <v>45069</v>
      </c>
      <c r="F41" s="186">
        <v>24740</v>
      </c>
      <c r="G41" s="171" t="s">
        <v>158</v>
      </c>
      <c r="H41" t="s">
        <v>159</v>
      </c>
      <c r="I41" s="2">
        <v>16539</v>
      </c>
      <c r="J41" s="2">
        <v>18390</v>
      </c>
      <c r="K41" s="3">
        <f>Tabla2[[#This Row],[PRECIO CLIENTE]]-Tabla2[[#This Row],[CANTIDAD PUBLICA]]</f>
        <v>1851</v>
      </c>
      <c r="L41" s="147">
        <f>Tabla2[[#This Row],[COMISION AGENCIA]]*0.05</f>
        <v>92.550000000000011</v>
      </c>
      <c r="N41" s="154" t="s">
        <v>160</v>
      </c>
      <c r="O41" s="136" t="s">
        <v>47</v>
      </c>
    </row>
    <row r="42" spans="1:15" ht="15.75" x14ac:dyDescent="0.25">
      <c r="A42" s="146">
        <v>45049</v>
      </c>
      <c r="B42" s="146">
        <v>45049</v>
      </c>
      <c r="C42" s="146">
        <v>45049</v>
      </c>
      <c r="D42" s="1">
        <v>45058</v>
      </c>
      <c r="F42" s="186">
        <v>24752</v>
      </c>
      <c r="G42" s="172" t="s">
        <v>161</v>
      </c>
      <c r="H42" t="s">
        <v>162</v>
      </c>
      <c r="I42" s="2">
        <v>3930</v>
      </c>
      <c r="J42" s="2">
        <v>4400</v>
      </c>
      <c r="K42" s="3">
        <f>Tabla2[[#This Row],[PRECIO CLIENTE]]-Tabla2[[#This Row],[CANTIDAD PUBLICA]]</f>
        <v>470</v>
      </c>
      <c r="L42" s="147">
        <f>Tabla2[[#This Row],[COMISION AGENCIA]]*0.05</f>
        <v>23.5</v>
      </c>
      <c r="N42" s="154" t="s">
        <v>163</v>
      </c>
      <c r="O42" s="136" t="s">
        <v>47</v>
      </c>
    </row>
    <row r="43" spans="1:15" x14ac:dyDescent="0.25">
      <c r="A43" s="146">
        <f>Tabla2[[#This Row],[FECHA IN]]-22</f>
        <v>45050</v>
      </c>
      <c r="B43" s="146">
        <v>45010</v>
      </c>
      <c r="C43" s="146">
        <v>45006</v>
      </c>
      <c r="D43" s="1">
        <v>45072</v>
      </c>
      <c r="E43" s="1">
        <v>45076</v>
      </c>
      <c r="F43" s="7"/>
      <c r="G43" t="s">
        <v>48</v>
      </c>
      <c r="H43" t="s">
        <v>164</v>
      </c>
      <c r="I43" s="2">
        <v>74681</v>
      </c>
      <c r="J43" s="2">
        <v>64975</v>
      </c>
      <c r="K43" s="3">
        <f>Tabla2[[#This Row],[CANTIDAD PUBLICA]]*0.05</f>
        <v>3734.05</v>
      </c>
      <c r="L43" s="147">
        <f>Tabla2[[#This Row],[COMISION AGENCIA]]*0.05</f>
        <v>186.70250000000001</v>
      </c>
      <c r="M43">
        <v>3481020636</v>
      </c>
      <c r="N43" s="154" t="s">
        <v>165</v>
      </c>
      <c r="O43" s="136" t="s">
        <v>6</v>
      </c>
    </row>
    <row r="44" spans="1:15" x14ac:dyDescent="0.25">
      <c r="A44" s="146">
        <v>45050</v>
      </c>
      <c r="B44" s="146">
        <v>45050</v>
      </c>
      <c r="C44" s="146">
        <v>45028</v>
      </c>
      <c r="D44" s="1">
        <v>45074</v>
      </c>
      <c r="E44" s="1">
        <v>45076</v>
      </c>
      <c r="F44" s="7"/>
      <c r="G44" t="s">
        <v>166</v>
      </c>
      <c r="H44" t="s">
        <v>167</v>
      </c>
      <c r="I44" s="2">
        <v>8425</v>
      </c>
      <c r="J44" s="2">
        <v>7330</v>
      </c>
      <c r="K44" s="3">
        <f>Tabla2[[#This Row],[CANTIDAD PUBLICA]]*0.05</f>
        <v>421.25</v>
      </c>
      <c r="L44" s="147">
        <f>Tabla2[[#This Row],[COMISION AGENCIA]]*0.05</f>
        <v>21.0625</v>
      </c>
      <c r="N44" s="154" t="s">
        <v>168</v>
      </c>
      <c r="O44" s="136" t="s">
        <v>130</v>
      </c>
    </row>
    <row r="45" spans="1:15" x14ac:dyDescent="0.25">
      <c r="A45" s="146">
        <v>45050</v>
      </c>
      <c r="B45" s="146">
        <v>45050</v>
      </c>
      <c r="C45" s="146">
        <v>45050</v>
      </c>
      <c r="D45" s="1">
        <v>45054</v>
      </c>
      <c r="E45" s="1">
        <v>45057</v>
      </c>
      <c r="F45" s="7"/>
      <c r="G45" t="s">
        <v>169</v>
      </c>
      <c r="H45" t="s">
        <v>170</v>
      </c>
      <c r="I45" s="2">
        <v>9044</v>
      </c>
      <c r="J45" s="2">
        <v>8720</v>
      </c>
      <c r="K45" s="3">
        <f>Tabla2[[#This Row],[CANTIDAD PUBLICA]]*0.05</f>
        <v>452.20000000000005</v>
      </c>
      <c r="L45" s="147">
        <f>Tabla2[[#This Row],[COMISION AGENCIA]]*0.05</f>
        <v>22.610000000000003</v>
      </c>
      <c r="N45" s="154" t="s">
        <v>171</v>
      </c>
      <c r="O45" s="136" t="s">
        <v>6</v>
      </c>
    </row>
    <row r="46" spans="1:15" x14ac:dyDescent="0.25">
      <c r="A46" s="146">
        <v>45051</v>
      </c>
      <c r="B46" s="146">
        <v>45051</v>
      </c>
      <c r="C46" s="146">
        <v>45051</v>
      </c>
      <c r="D46" s="1">
        <v>45103</v>
      </c>
      <c r="E46" s="1">
        <v>45123</v>
      </c>
      <c r="F46" s="186">
        <v>24778</v>
      </c>
      <c r="G46" t="s">
        <v>172</v>
      </c>
      <c r="H46" t="s">
        <v>173</v>
      </c>
      <c r="I46" s="2">
        <v>26209</v>
      </c>
      <c r="J46" s="2">
        <v>27060</v>
      </c>
      <c r="K46" s="3">
        <f>Tabla2[[#This Row],[PRECIO CLIENTE]]-Tabla2[[#This Row],[CANTIDAD PUBLICA]]</f>
        <v>851</v>
      </c>
      <c r="L46" s="147">
        <f>Tabla2[[#This Row],[COMISION AGENCIA]]*0.05</f>
        <v>42.550000000000004</v>
      </c>
      <c r="N46" s="154" t="s">
        <v>174</v>
      </c>
      <c r="O46" s="136" t="s">
        <v>47</v>
      </c>
    </row>
    <row r="47" spans="1:15" x14ac:dyDescent="0.25">
      <c r="A47" s="146">
        <v>45051</v>
      </c>
      <c r="B47" s="146">
        <v>45051</v>
      </c>
      <c r="C47" s="146">
        <v>45051</v>
      </c>
      <c r="D47" s="1">
        <v>45271</v>
      </c>
      <c r="E47" s="1">
        <v>45274</v>
      </c>
      <c r="F47" s="186">
        <v>24799</v>
      </c>
      <c r="G47" t="s">
        <v>175</v>
      </c>
      <c r="H47" t="s">
        <v>176</v>
      </c>
      <c r="I47" s="2">
        <v>6420</v>
      </c>
      <c r="J47" s="2">
        <v>7020</v>
      </c>
      <c r="K47" s="3">
        <f>Tabla2[[#This Row],[PRECIO CLIENTE]]-Tabla2[[#This Row],[CANTIDAD PUBLICA]]</f>
        <v>600</v>
      </c>
      <c r="L47" s="147">
        <f>Tabla2[[#This Row],[COMISION AGENCIA]]*0.05</f>
        <v>30</v>
      </c>
      <c r="N47" s="154" t="s">
        <v>177</v>
      </c>
      <c r="O47" s="136" t="s">
        <v>47</v>
      </c>
    </row>
    <row r="48" spans="1:15" ht="15.75" x14ac:dyDescent="0.25">
      <c r="A48" s="146">
        <v>45053</v>
      </c>
      <c r="B48" s="146">
        <v>45053</v>
      </c>
      <c r="C48" s="146">
        <v>45053</v>
      </c>
      <c r="D48" s="1">
        <v>45056</v>
      </c>
      <c r="F48" s="186">
        <v>24809</v>
      </c>
      <c r="G48" s="171" t="s">
        <v>178</v>
      </c>
      <c r="H48" t="s">
        <v>179</v>
      </c>
      <c r="I48" s="2">
        <v>3192</v>
      </c>
      <c r="J48" s="2">
        <v>3530</v>
      </c>
      <c r="K48" s="3">
        <f>Tabla2[[#This Row],[PRECIO CLIENTE]]-Tabla2[[#This Row],[CANTIDAD PUBLICA]]</f>
        <v>338</v>
      </c>
      <c r="L48" s="147">
        <f>Tabla2[[#This Row],[COMISION AGENCIA]]*0.05</f>
        <v>16.900000000000002</v>
      </c>
      <c r="N48" s="154" t="s">
        <v>180</v>
      </c>
      <c r="O48" s="136" t="s">
        <v>47</v>
      </c>
    </row>
    <row r="49" spans="1:15" ht="15.75" x14ac:dyDescent="0.25">
      <c r="A49" s="146">
        <v>45053</v>
      </c>
      <c r="B49" s="146">
        <v>45053</v>
      </c>
      <c r="C49" s="146">
        <v>45053</v>
      </c>
      <c r="D49" s="1">
        <v>45092</v>
      </c>
      <c r="F49" s="7" t="s">
        <v>181</v>
      </c>
      <c r="G49" s="171" t="s">
        <v>182</v>
      </c>
      <c r="H49" t="s">
        <v>183</v>
      </c>
      <c r="I49" s="2">
        <v>2590</v>
      </c>
      <c r="J49" s="2">
        <v>2890</v>
      </c>
      <c r="K49" s="3">
        <f>Tabla2[[#This Row],[PRECIO CLIENTE]]-Tabla2[[#This Row],[CANTIDAD PUBLICA]]</f>
        <v>300</v>
      </c>
      <c r="L49" s="147">
        <f>Tabla2[[#This Row],[COMISION AGENCIA]]*0.05</f>
        <v>15</v>
      </c>
      <c r="N49" s="154" t="s">
        <v>184</v>
      </c>
      <c r="O49" s="136" t="s">
        <v>47</v>
      </c>
    </row>
    <row r="50" spans="1:15" x14ac:dyDescent="0.25">
      <c r="A50" s="146">
        <v>45053</v>
      </c>
      <c r="B50" s="146">
        <v>45053</v>
      </c>
      <c r="C50" s="146">
        <v>45048</v>
      </c>
      <c r="D50" s="1">
        <v>45068</v>
      </c>
      <c r="E50" s="1">
        <v>45073</v>
      </c>
      <c r="F50" s="7"/>
      <c r="G50" t="s">
        <v>185</v>
      </c>
      <c r="H50" t="s">
        <v>186</v>
      </c>
      <c r="I50" s="2">
        <v>6969</v>
      </c>
      <c r="J50" s="2">
        <v>6275</v>
      </c>
      <c r="K50" s="3">
        <f>Tabla2[[#This Row],[CANTIDAD PUBLICA]]*0.05</f>
        <v>348.45000000000005</v>
      </c>
      <c r="L50" s="147">
        <f>Tabla2[[#This Row],[COMISION AGENCIA]]*0.05</f>
        <v>17.422500000000003</v>
      </c>
      <c r="N50" s="154">
        <v>10845343</v>
      </c>
      <c r="O50" s="136" t="s">
        <v>93</v>
      </c>
    </row>
    <row r="51" spans="1:15" x14ac:dyDescent="0.25">
      <c r="A51" s="146">
        <v>45053</v>
      </c>
      <c r="B51" s="146">
        <v>45053</v>
      </c>
      <c r="C51" s="146">
        <v>45053</v>
      </c>
      <c r="D51" s="1">
        <v>45056</v>
      </c>
      <c r="F51" s="186">
        <v>24809</v>
      </c>
      <c r="G51" t="s">
        <v>187</v>
      </c>
      <c r="H51" t="s">
        <v>188</v>
      </c>
      <c r="I51" s="2">
        <v>4203</v>
      </c>
      <c r="J51" s="2">
        <v>4353</v>
      </c>
      <c r="K51" s="3">
        <f>Tabla2[[#This Row],[PRECIO CLIENTE]]-Tabla2[[#This Row],[CANTIDAD PUBLICA]]</f>
        <v>150</v>
      </c>
      <c r="L51" s="147">
        <f>Tabla2[[#This Row],[COMISION AGENCIA]]*0.05</f>
        <v>7.5</v>
      </c>
      <c r="N51" s="154" t="s">
        <v>189</v>
      </c>
      <c r="O51" s="136" t="s">
        <v>63</v>
      </c>
    </row>
    <row r="52" spans="1:15" x14ac:dyDescent="0.25">
      <c r="A52" s="146">
        <v>45053</v>
      </c>
      <c r="B52" s="146">
        <v>45053</v>
      </c>
      <c r="C52" s="146">
        <v>45053</v>
      </c>
      <c r="D52" s="1">
        <v>45082</v>
      </c>
      <c r="E52" s="1">
        <v>45092</v>
      </c>
      <c r="F52" s="186">
        <v>24811</v>
      </c>
      <c r="G52" t="s">
        <v>190</v>
      </c>
      <c r="H52" t="s">
        <v>191</v>
      </c>
      <c r="I52" s="2">
        <v>10626</v>
      </c>
      <c r="J52" s="2">
        <v>11370</v>
      </c>
      <c r="K52" s="3">
        <f>Tabla2[[#This Row],[PRECIO CLIENTE]]-Tabla2[[#This Row],[CANTIDAD PUBLICA]]</f>
        <v>744</v>
      </c>
      <c r="L52" s="147">
        <f>Tabla2[[#This Row],[COMISION AGENCIA]]*0.05</f>
        <v>37.200000000000003</v>
      </c>
      <c r="N52" s="154" t="s">
        <v>192</v>
      </c>
      <c r="O52" s="136" t="s">
        <v>47</v>
      </c>
    </row>
    <row r="53" spans="1:15" x14ac:dyDescent="0.25">
      <c r="A53" s="146">
        <v>45054</v>
      </c>
      <c r="B53" s="146">
        <v>45054</v>
      </c>
      <c r="C53" s="146">
        <v>45054</v>
      </c>
      <c r="D53" s="1">
        <v>45100</v>
      </c>
      <c r="E53" s="1">
        <v>45131</v>
      </c>
      <c r="F53" s="7"/>
      <c r="G53" t="s">
        <v>193</v>
      </c>
      <c r="H53" t="s">
        <v>194</v>
      </c>
      <c r="I53" s="2">
        <v>20502</v>
      </c>
      <c r="J53" s="2">
        <v>20505</v>
      </c>
      <c r="K53" s="3">
        <f>Tabla2[[#This Row],[PRECIO CLIENTE]]-Tabla2[[#This Row],[CANTIDAD PUBLICA]]</f>
        <v>3</v>
      </c>
      <c r="L53" s="147">
        <f>Tabla2[[#This Row],[COMISION AGENCIA]]*0.05</f>
        <v>0.15000000000000002</v>
      </c>
      <c r="N53" s="154" t="s">
        <v>195</v>
      </c>
      <c r="O53" s="136" t="s">
        <v>196</v>
      </c>
    </row>
    <row r="54" spans="1:15" x14ac:dyDescent="0.25">
      <c r="A54" s="146">
        <v>45054</v>
      </c>
      <c r="B54" s="146">
        <v>45054</v>
      </c>
      <c r="C54" s="146">
        <v>45054</v>
      </c>
      <c r="D54" s="1">
        <v>45074</v>
      </c>
      <c r="F54" s="186">
        <v>24816</v>
      </c>
      <c r="G54" t="s">
        <v>197</v>
      </c>
      <c r="H54" t="s">
        <v>198</v>
      </c>
      <c r="I54" s="2">
        <v>2919</v>
      </c>
      <c r="J54" s="2">
        <v>3255</v>
      </c>
      <c r="K54" s="3">
        <f>Tabla2[[#This Row],[PRECIO CLIENTE]]-Tabla2[[#This Row],[CANTIDAD PUBLICA]]</f>
        <v>336</v>
      </c>
      <c r="L54" s="147">
        <f>Tabla2[[#This Row],[COMISION AGENCIA]]*0.05</f>
        <v>16.8</v>
      </c>
      <c r="N54" s="154" t="s">
        <v>199</v>
      </c>
      <c r="O54" s="136" t="s">
        <v>56</v>
      </c>
    </row>
    <row r="55" spans="1:15" x14ac:dyDescent="0.25">
      <c r="A55" s="146">
        <v>45054</v>
      </c>
      <c r="B55" s="146">
        <v>45054</v>
      </c>
      <c r="C55" s="146">
        <v>45054</v>
      </c>
      <c r="D55" s="1">
        <v>45074</v>
      </c>
      <c r="F55" s="186">
        <v>24816</v>
      </c>
      <c r="G55" t="s">
        <v>197</v>
      </c>
      <c r="H55" t="s">
        <v>200</v>
      </c>
      <c r="I55" s="2">
        <v>2995</v>
      </c>
      <c r="J55" s="2">
        <v>3095</v>
      </c>
      <c r="K55" s="3">
        <f>Tabla2[[#This Row],[PRECIO CLIENTE]]-Tabla2[[#This Row],[CANTIDAD PUBLICA]]</f>
        <v>100</v>
      </c>
      <c r="L55" s="147">
        <f>Tabla2[[#This Row],[COMISION AGENCIA]]*0.05</f>
        <v>5</v>
      </c>
      <c r="N55" s="154" t="s">
        <v>201</v>
      </c>
      <c r="O55" s="136" t="s">
        <v>202</v>
      </c>
    </row>
    <row r="56" spans="1:15" x14ac:dyDescent="0.25">
      <c r="A56" s="146">
        <v>45055</v>
      </c>
      <c r="B56" s="146">
        <v>45055</v>
      </c>
      <c r="C56" s="146">
        <v>45055</v>
      </c>
      <c r="D56" s="1">
        <v>45067</v>
      </c>
      <c r="F56" s="186">
        <v>24848</v>
      </c>
      <c r="G56" s="152" t="s">
        <v>203</v>
      </c>
      <c r="H56" t="s">
        <v>144</v>
      </c>
      <c r="I56" s="2">
        <v>1816</v>
      </c>
      <c r="J56" s="2">
        <v>2185</v>
      </c>
      <c r="K56" s="3">
        <f>Tabla2[[#This Row],[PRECIO CLIENTE]]-Tabla2[[#This Row],[CANTIDAD PUBLICA]]</f>
        <v>369</v>
      </c>
      <c r="L56" s="147">
        <f>Tabla2[[#This Row],[COMISION AGENCIA]]*0.05</f>
        <v>18.45</v>
      </c>
      <c r="N56" s="154" t="s">
        <v>204</v>
      </c>
      <c r="O56" s="136" t="s">
        <v>47</v>
      </c>
    </row>
    <row r="57" spans="1:15" x14ac:dyDescent="0.25">
      <c r="A57" s="146">
        <v>45057</v>
      </c>
      <c r="B57" s="146">
        <v>45057</v>
      </c>
      <c r="C57" s="146">
        <v>45057</v>
      </c>
      <c r="D57" s="1">
        <v>45059</v>
      </c>
      <c r="F57" s="186">
        <v>24870</v>
      </c>
      <c r="G57" t="s">
        <v>205</v>
      </c>
      <c r="H57" t="s">
        <v>153</v>
      </c>
      <c r="I57" s="2">
        <v>3321</v>
      </c>
      <c r="J57" s="2">
        <v>3660</v>
      </c>
      <c r="K57" s="3">
        <f>Tabla2[[#This Row],[PRECIO CLIENTE]]-Tabla2[[#This Row],[CANTIDAD PUBLICA]]</f>
        <v>339</v>
      </c>
      <c r="L57" s="147">
        <f>Tabla2[[#This Row],[COMISION AGENCIA]]*0.05</f>
        <v>16.95</v>
      </c>
      <c r="N57" s="154" t="s">
        <v>206</v>
      </c>
      <c r="O57" s="136" t="s">
        <v>47</v>
      </c>
    </row>
    <row r="58" spans="1:15" x14ac:dyDescent="0.25">
      <c r="A58" s="146">
        <v>45061</v>
      </c>
      <c r="B58" s="146">
        <v>45061</v>
      </c>
      <c r="C58" s="13" t="s">
        <v>207</v>
      </c>
      <c r="D58" s="1">
        <v>45071</v>
      </c>
      <c r="F58" s="188">
        <v>24927</v>
      </c>
      <c r="G58" t="s">
        <v>208</v>
      </c>
      <c r="H58" t="s">
        <v>58</v>
      </c>
      <c r="I58" s="2">
        <v>3930</v>
      </c>
      <c r="J58" s="2">
        <v>4800</v>
      </c>
      <c r="K58" s="3">
        <f>Tabla2[[#This Row],[PRECIO CLIENTE]]-Tabla2[[#This Row],[CANTIDAD PUBLICA]]</f>
        <v>870</v>
      </c>
      <c r="L58" s="147">
        <f>Tabla2[[#This Row],[COMISION AGENCIA]]*0.05</f>
        <v>43.5</v>
      </c>
      <c r="N58" s="154" t="s">
        <v>209</v>
      </c>
      <c r="O58" s="136" t="s">
        <v>47</v>
      </c>
    </row>
    <row r="59" spans="1:15" x14ac:dyDescent="0.25">
      <c r="A59" s="146">
        <v>45062</v>
      </c>
      <c r="B59" s="146">
        <v>45062</v>
      </c>
      <c r="C59" s="146">
        <v>45062</v>
      </c>
      <c r="D59" s="1">
        <v>45068</v>
      </c>
      <c r="E59" s="1">
        <v>45077</v>
      </c>
      <c r="F59" s="189">
        <v>25025</v>
      </c>
      <c r="G59" t="s">
        <v>210</v>
      </c>
      <c r="H59" t="s">
        <v>144</v>
      </c>
      <c r="I59" s="2">
        <v>5204</v>
      </c>
      <c r="J59" s="2">
        <v>5790</v>
      </c>
      <c r="K59" s="3">
        <f>Tabla2[[#This Row],[PRECIO CLIENTE]]-Tabla2[[#This Row],[CANTIDAD PUBLICA]]</f>
        <v>586</v>
      </c>
      <c r="L59" s="147">
        <f>Tabla2[[#This Row],[COMISION AGENCIA]]*0.05</f>
        <v>29.3</v>
      </c>
      <c r="N59" s="154" t="s">
        <v>211</v>
      </c>
      <c r="O59" s="136" t="s">
        <v>47</v>
      </c>
    </row>
    <row r="60" spans="1:15" ht="15.75" x14ac:dyDescent="0.25">
      <c r="A60" s="146">
        <v>45064</v>
      </c>
      <c r="B60" s="13" t="s">
        <v>212</v>
      </c>
      <c r="C60" s="146">
        <v>45064</v>
      </c>
      <c r="D60" s="1">
        <v>45066</v>
      </c>
      <c r="F60" s="189">
        <v>25025</v>
      </c>
      <c r="G60" s="171" t="s">
        <v>213</v>
      </c>
      <c r="H60" t="s">
        <v>179</v>
      </c>
      <c r="I60" s="2">
        <v>5843</v>
      </c>
      <c r="J60" s="2">
        <v>6195</v>
      </c>
      <c r="K60" s="3">
        <f>Tabla2[[#This Row],[PRECIO CLIENTE]]-Tabla2[[#This Row],[CANTIDAD PUBLICA]]</f>
        <v>352</v>
      </c>
      <c r="L60" s="147">
        <f>Tabla2[[#This Row],[COMISION AGENCIA]]*0.05</f>
        <v>17.600000000000001</v>
      </c>
      <c r="N60" s="154" t="s">
        <v>214</v>
      </c>
      <c r="O60" s="136" t="s">
        <v>47</v>
      </c>
    </row>
    <row r="61" spans="1:15" x14ac:dyDescent="0.25">
      <c r="A61" s="146">
        <v>45064</v>
      </c>
      <c r="B61" s="146">
        <v>45064</v>
      </c>
      <c r="C61" s="146">
        <v>45064</v>
      </c>
      <c r="D61" s="1">
        <v>45065</v>
      </c>
      <c r="F61" s="189">
        <v>25025</v>
      </c>
      <c r="G61" t="s">
        <v>215</v>
      </c>
      <c r="H61" t="s">
        <v>216</v>
      </c>
      <c r="I61" s="2">
        <v>2910</v>
      </c>
      <c r="J61" s="2">
        <v>3115</v>
      </c>
      <c r="K61" s="3">
        <f>Tabla2[[#This Row],[PRECIO CLIENTE]]-Tabla2[[#This Row],[CANTIDAD PUBLICA]]</f>
        <v>205</v>
      </c>
      <c r="L61" s="147">
        <f>Tabla2[[#This Row],[COMISION AGENCIA]]*0.05</f>
        <v>10.25</v>
      </c>
      <c r="N61" s="154" t="s">
        <v>217</v>
      </c>
      <c r="O61" s="136" t="s">
        <v>47</v>
      </c>
    </row>
    <row r="62" spans="1:15" x14ac:dyDescent="0.25">
      <c r="A62" s="146">
        <v>45067</v>
      </c>
      <c r="B62" s="146">
        <v>45067</v>
      </c>
      <c r="C62" s="146">
        <v>45067</v>
      </c>
      <c r="D62" s="1">
        <v>45109</v>
      </c>
      <c r="F62" s="188">
        <v>25025</v>
      </c>
      <c r="G62" t="s">
        <v>218</v>
      </c>
      <c r="H62" t="s">
        <v>219</v>
      </c>
      <c r="I62" s="2">
        <v>5940</v>
      </c>
      <c r="J62" s="2">
        <v>6540</v>
      </c>
      <c r="K62" s="3">
        <f>Tabla2[[#This Row],[PRECIO CLIENTE]]-Tabla2[[#This Row],[CANTIDAD PUBLICA]]</f>
        <v>600</v>
      </c>
      <c r="L62" s="147">
        <f>Tabla2[[#This Row],[COMISION AGENCIA]]*0.05</f>
        <v>30</v>
      </c>
      <c r="N62" s="154" t="s">
        <v>220</v>
      </c>
      <c r="O62" s="136" t="s">
        <v>47</v>
      </c>
    </row>
    <row r="63" spans="1:15" x14ac:dyDescent="0.25">
      <c r="A63" s="146">
        <v>45068</v>
      </c>
      <c r="B63" s="146">
        <v>45068</v>
      </c>
      <c r="C63" s="146">
        <v>45068</v>
      </c>
      <c r="D63" s="1">
        <v>45245</v>
      </c>
      <c r="E63" s="1">
        <v>45249</v>
      </c>
      <c r="F63" s="7"/>
      <c r="G63" t="s">
        <v>221</v>
      </c>
      <c r="H63" t="s">
        <v>222</v>
      </c>
      <c r="I63" s="2">
        <v>6618</v>
      </c>
      <c r="J63" s="2">
        <v>7080</v>
      </c>
      <c r="K63" s="3">
        <f>Tabla2[[#This Row],[PRECIO CLIENTE]]-Tabla2[[#This Row],[CANTIDAD PUBLICA]]</f>
        <v>462</v>
      </c>
      <c r="L63" s="147">
        <f>Tabla2[[#This Row],[COMISION AGENCIA]]*0.05</f>
        <v>23.1</v>
      </c>
      <c r="N63" s="154" t="s">
        <v>223</v>
      </c>
      <c r="O63" s="136" t="s">
        <v>224</v>
      </c>
    </row>
    <row r="64" spans="1:15" x14ac:dyDescent="0.25">
      <c r="A64" s="146">
        <v>45069</v>
      </c>
      <c r="B64" s="146">
        <v>45069</v>
      </c>
      <c r="C64" s="146">
        <v>45069</v>
      </c>
      <c r="D64" s="1" t="s">
        <v>225</v>
      </c>
      <c r="E64" s="1">
        <v>45088</v>
      </c>
      <c r="F64" s="188">
        <v>25077</v>
      </c>
      <c r="G64" t="s">
        <v>226</v>
      </c>
      <c r="H64" t="s">
        <v>227</v>
      </c>
      <c r="I64" s="2">
        <v>1771</v>
      </c>
      <c r="J64" s="2">
        <v>2185</v>
      </c>
      <c r="K64" s="3">
        <f>Tabla2[[#This Row],[PRECIO CLIENTE]]-Tabla2[[#This Row],[CANTIDAD PUBLICA]]</f>
        <v>414</v>
      </c>
      <c r="L64" s="147">
        <f>Tabla2[[#This Row],[COMISION AGENCIA]]*0.05</f>
        <v>20.700000000000003</v>
      </c>
      <c r="N64" s="154" t="s">
        <v>228</v>
      </c>
      <c r="O64" s="136" t="s">
        <v>47</v>
      </c>
    </row>
    <row r="65" spans="1:15" x14ac:dyDescent="0.25">
      <c r="A65" s="146">
        <v>45069</v>
      </c>
      <c r="B65" s="146">
        <v>45069</v>
      </c>
      <c r="C65" s="146">
        <v>45069</v>
      </c>
      <c r="D65" s="177" t="s">
        <v>229</v>
      </c>
      <c r="E65" s="1">
        <v>45085</v>
      </c>
      <c r="F65" s="188">
        <v>25090</v>
      </c>
      <c r="G65" t="s">
        <v>230</v>
      </c>
      <c r="H65" t="s">
        <v>89</v>
      </c>
      <c r="I65" s="2">
        <v>6596</v>
      </c>
      <c r="J65" s="2">
        <v>7890</v>
      </c>
      <c r="K65" s="3">
        <f>Tabla2[[#This Row],[PRECIO CLIENTE]]-Tabla2[[#This Row],[CANTIDAD PUBLICA]]</f>
        <v>1294</v>
      </c>
      <c r="L65" s="147">
        <f>Tabla2[[#This Row],[COMISION AGENCIA]]*0.05</f>
        <v>64.7</v>
      </c>
      <c r="N65" s="154" t="s">
        <v>231</v>
      </c>
      <c r="O65" s="136" t="s">
        <v>47</v>
      </c>
    </row>
    <row r="66" spans="1:15" x14ac:dyDescent="0.25">
      <c r="A66" s="146">
        <v>45070</v>
      </c>
      <c r="B66" s="146">
        <v>45070</v>
      </c>
      <c r="C66" s="146">
        <v>45070</v>
      </c>
      <c r="D66" s="1">
        <v>45208</v>
      </c>
      <c r="E66" s="1">
        <v>45215</v>
      </c>
      <c r="F66" s="188">
        <v>25111</v>
      </c>
      <c r="G66" t="s">
        <v>232</v>
      </c>
      <c r="H66" t="s">
        <v>219</v>
      </c>
      <c r="I66" s="2">
        <v>10435</v>
      </c>
      <c r="J66" s="2">
        <v>10740</v>
      </c>
      <c r="K66" s="3">
        <f>Tabla2[[#This Row],[PRECIO CLIENTE]]-Tabla2[[#This Row],[CANTIDAD PUBLICA]]</f>
        <v>305</v>
      </c>
      <c r="L66" s="147">
        <f>Tabla2[[#This Row],[COMISION AGENCIA]]*0.05</f>
        <v>15.25</v>
      </c>
      <c r="N66" s="154" t="s">
        <v>233</v>
      </c>
      <c r="O66" s="136" t="s">
        <v>224</v>
      </c>
    </row>
    <row r="67" spans="1:15" x14ac:dyDescent="0.25">
      <c r="A67" s="146">
        <v>45071</v>
      </c>
      <c r="B67" s="13">
        <v>257572023</v>
      </c>
      <c r="C67" s="146">
        <v>45071</v>
      </c>
      <c r="D67" s="1">
        <v>45078</v>
      </c>
      <c r="F67" s="188">
        <v>25124</v>
      </c>
      <c r="G67" t="s">
        <v>234</v>
      </c>
      <c r="H67" t="s">
        <v>235</v>
      </c>
      <c r="I67" s="2">
        <v>3099</v>
      </c>
      <c r="J67" s="2">
        <v>3490</v>
      </c>
      <c r="K67" s="3">
        <f>Tabla2[[#This Row],[PRECIO CLIENTE]]-Tabla2[[#This Row],[CANTIDAD PUBLICA]]</f>
        <v>391</v>
      </c>
      <c r="L67" s="147">
        <f>Tabla2[[#This Row],[COMISION AGENCIA]]*0.05</f>
        <v>19.55</v>
      </c>
      <c r="N67" s="154" t="s">
        <v>236</v>
      </c>
      <c r="O67" s="136" t="s">
        <v>47</v>
      </c>
    </row>
    <row r="68" spans="1:15" x14ac:dyDescent="0.25">
      <c r="A68" s="146">
        <v>45071</v>
      </c>
      <c r="B68" s="146">
        <v>45071</v>
      </c>
      <c r="C68" s="146">
        <v>45071</v>
      </c>
      <c r="D68" s="1">
        <v>45078</v>
      </c>
      <c r="E68" s="1">
        <v>45081</v>
      </c>
      <c r="F68" s="7"/>
      <c r="G68" t="s">
        <v>237</v>
      </c>
      <c r="H68" t="s">
        <v>235</v>
      </c>
      <c r="I68" s="2">
        <v>6460</v>
      </c>
      <c r="J68" s="2">
        <v>6960</v>
      </c>
      <c r="K68" s="3">
        <f>Tabla2[[#This Row],[PRECIO CLIENTE]]-Tabla2[[#This Row],[CANTIDAD PUBLICA]]</f>
        <v>500</v>
      </c>
      <c r="L68" s="147">
        <f>Tabla2[[#This Row],[COMISION AGENCIA]]*0.05</f>
        <v>25</v>
      </c>
      <c r="N68" s="154" t="s">
        <v>238</v>
      </c>
      <c r="O68" s="136" t="s">
        <v>47</v>
      </c>
    </row>
    <row r="69" spans="1:15" ht="16.5" customHeight="1" x14ac:dyDescent="0.25">
      <c r="A69" s="146">
        <v>45071</v>
      </c>
      <c r="B69" s="146">
        <v>45071</v>
      </c>
      <c r="C69" s="146">
        <v>45068</v>
      </c>
      <c r="D69" s="1">
        <v>45082</v>
      </c>
      <c r="E69" s="1">
        <v>45086</v>
      </c>
      <c r="F69" s="7"/>
      <c r="G69" t="s">
        <v>239</v>
      </c>
      <c r="H69" t="s">
        <v>240</v>
      </c>
      <c r="I69" s="2">
        <v>14478</v>
      </c>
      <c r="J69" s="2">
        <v>12595</v>
      </c>
      <c r="K69" s="3">
        <f>Tabla2[[#This Row],[CANTIDAD PUBLICA]]*0.05</f>
        <v>723.90000000000009</v>
      </c>
      <c r="L69" s="147">
        <f>Tabla2[[#This Row],[COMISION AGENCIA]]*0.05</f>
        <v>36.195000000000007</v>
      </c>
      <c r="N69" s="154" t="s">
        <v>241</v>
      </c>
      <c r="O69" s="136" t="s">
        <v>6</v>
      </c>
    </row>
    <row r="70" spans="1:15" x14ac:dyDescent="0.25">
      <c r="A70" s="146">
        <v>45072</v>
      </c>
      <c r="B70" s="146">
        <v>45072</v>
      </c>
      <c r="C70" s="146">
        <v>45072</v>
      </c>
      <c r="D70" s="1">
        <v>45079</v>
      </c>
      <c r="F70" s="188">
        <v>25131</v>
      </c>
      <c r="G70" t="s">
        <v>242</v>
      </c>
      <c r="H70" t="s">
        <v>243</v>
      </c>
      <c r="I70" s="2">
        <v>6275</v>
      </c>
      <c r="J70" s="2">
        <v>6875</v>
      </c>
      <c r="K70" s="3">
        <f>Tabla2[[#This Row],[PRECIO CLIENTE]]-Tabla2[[#This Row],[CANTIDAD PUBLICA]]</f>
        <v>600</v>
      </c>
      <c r="L70" s="147">
        <f>Tabla2[[#This Row],[COMISION AGENCIA]]*0.05</f>
        <v>30</v>
      </c>
      <c r="N70" s="154" t="s">
        <v>244</v>
      </c>
      <c r="O70" s="136" t="s">
        <v>47</v>
      </c>
    </row>
    <row r="71" spans="1:15" x14ac:dyDescent="0.25">
      <c r="A71" s="146">
        <v>45072</v>
      </c>
      <c r="B71" s="146">
        <v>45072</v>
      </c>
      <c r="C71" s="146">
        <v>45072</v>
      </c>
      <c r="D71" s="1">
        <v>45098</v>
      </c>
      <c r="F71" s="188">
        <v>25134</v>
      </c>
      <c r="G71" t="s">
        <v>242</v>
      </c>
      <c r="H71" t="s">
        <v>245</v>
      </c>
      <c r="I71" s="2">
        <v>5595</v>
      </c>
      <c r="J71" s="2">
        <v>6420</v>
      </c>
      <c r="K71" s="3">
        <f>Tabla2[[#This Row],[PRECIO CLIENTE]]-Tabla2[[#This Row],[CANTIDAD PUBLICA]]</f>
        <v>825</v>
      </c>
      <c r="L71" s="147">
        <f>Tabla2[[#This Row],[COMISION AGENCIA]]*0.05</f>
        <v>41.25</v>
      </c>
      <c r="N71" s="154" t="s">
        <v>246</v>
      </c>
      <c r="O71" s="136" t="s">
        <v>56</v>
      </c>
    </row>
    <row r="72" spans="1:15" x14ac:dyDescent="0.25">
      <c r="A72" s="146">
        <v>45072</v>
      </c>
      <c r="B72" s="146">
        <v>45072</v>
      </c>
      <c r="C72" s="146">
        <v>45072</v>
      </c>
      <c r="D72" t="s">
        <v>247</v>
      </c>
      <c r="E72" s="1"/>
      <c r="F72" s="7"/>
      <c r="G72" t="s">
        <v>248</v>
      </c>
      <c r="H72" t="s">
        <v>249</v>
      </c>
      <c r="I72" s="2">
        <v>5595</v>
      </c>
      <c r="J72" s="2">
        <v>6420</v>
      </c>
      <c r="K72" s="3">
        <f>Tabla2[[#This Row],[PRECIO CLIENTE]]-Tabla2[[#This Row],[CANTIDAD PUBLICA]]</f>
        <v>825</v>
      </c>
      <c r="L72" s="147">
        <f>Tabla2[[#This Row],[COMISION AGENCIA]]*0.05</f>
        <v>41.25</v>
      </c>
      <c r="N72" s="154" t="s">
        <v>246</v>
      </c>
      <c r="O72" s="136" t="s">
        <v>47</v>
      </c>
    </row>
    <row r="73" spans="1:15" x14ac:dyDescent="0.25">
      <c r="A73" s="146">
        <f>Tabla2[[#This Row],[FECHA IN]]-22</f>
        <v>45075</v>
      </c>
      <c r="B73" s="146">
        <v>45073</v>
      </c>
      <c r="C73" s="146">
        <v>45033</v>
      </c>
      <c r="D73" s="1">
        <v>45097</v>
      </c>
      <c r="E73" s="1">
        <v>45102</v>
      </c>
      <c r="F73" s="191">
        <v>24488</v>
      </c>
      <c r="G73" t="s">
        <v>250</v>
      </c>
      <c r="H73" t="s">
        <v>251</v>
      </c>
      <c r="I73" s="2">
        <v>23160</v>
      </c>
      <c r="J73" s="2">
        <v>20150</v>
      </c>
      <c r="K73" s="3">
        <f>Tabla2[[#This Row],[CANTIDAD PUBLICA]]*0.05</f>
        <v>1158</v>
      </c>
      <c r="L73" s="147">
        <f>Tabla2[[#This Row],[COMISION AGENCIA]]*0.05</f>
        <v>57.900000000000006</v>
      </c>
      <c r="N73" s="154" t="s">
        <v>252</v>
      </c>
      <c r="O73" s="136" t="s">
        <v>6</v>
      </c>
    </row>
    <row r="74" spans="1:15" x14ac:dyDescent="0.25">
      <c r="A74" s="146">
        <v>45078</v>
      </c>
      <c r="B74" s="146">
        <v>45078</v>
      </c>
      <c r="C74" s="146">
        <v>45078</v>
      </c>
      <c r="D74" s="1">
        <v>45079</v>
      </c>
      <c r="E74" s="1">
        <v>44974</v>
      </c>
      <c r="F74" s="192">
        <v>25247</v>
      </c>
      <c r="G74" s="152" t="s">
        <v>253</v>
      </c>
      <c r="H74" t="s">
        <v>254</v>
      </c>
      <c r="I74" s="2">
        <v>4673</v>
      </c>
      <c r="J74" s="2">
        <v>5785</v>
      </c>
      <c r="K74" s="3">
        <f>Tabla2[[#This Row],[PRECIO CLIENTE]]-Tabla2[[#This Row],[CANTIDAD PUBLICA]]</f>
        <v>1112</v>
      </c>
      <c r="L74" s="147">
        <f>Tabla2[[#This Row],[COMISION AGENCIA]]*0.05</f>
        <v>55.6</v>
      </c>
      <c r="N74" s="154" t="s">
        <v>255</v>
      </c>
      <c r="O74" s="136" t="s">
        <v>47</v>
      </c>
    </row>
    <row r="75" spans="1:15" x14ac:dyDescent="0.25">
      <c r="A75" s="146">
        <v>45078</v>
      </c>
      <c r="B75" s="146">
        <v>45078</v>
      </c>
      <c r="C75" s="146">
        <v>45078</v>
      </c>
      <c r="D75" s="1">
        <v>45082</v>
      </c>
      <c r="E75" s="1">
        <v>45086</v>
      </c>
      <c r="F75" s="7"/>
      <c r="G75" t="s">
        <v>256</v>
      </c>
      <c r="H75" t="s">
        <v>95</v>
      </c>
      <c r="I75" s="2">
        <v>14274</v>
      </c>
      <c r="J75" s="2">
        <v>15425</v>
      </c>
      <c r="K75" s="3">
        <f>Tabla2[[#This Row],[PRECIO CLIENTE]]-Tabla2[[#This Row],[CANTIDAD PUBLICA]]</f>
        <v>1151</v>
      </c>
      <c r="L75" s="147">
        <f>Tabla2[[#This Row],[COMISION AGENCIA]]*0.05</f>
        <v>57.550000000000004</v>
      </c>
      <c r="N75" s="154" t="s">
        <v>257</v>
      </c>
      <c r="O75" s="136" t="s">
        <v>47</v>
      </c>
    </row>
    <row r="76" spans="1:15" x14ac:dyDescent="0.25">
      <c r="A76" s="146">
        <v>45079</v>
      </c>
      <c r="B76" s="146">
        <v>45079</v>
      </c>
      <c r="C76" s="146">
        <v>45079</v>
      </c>
      <c r="D76" s="1">
        <v>45163</v>
      </c>
      <c r="E76" s="1">
        <v>45173</v>
      </c>
      <c r="F76" s="192">
        <v>25256</v>
      </c>
      <c r="G76" t="s">
        <v>258</v>
      </c>
      <c r="H76" t="s">
        <v>259</v>
      </c>
      <c r="I76" s="2">
        <v>5647</v>
      </c>
      <c r="J76" s="2">
        <v>6340</v>
      </c>
      <c r="K76" s="3">
        <f>Tabla2[[#This Row],[PRECIO CLIENTE]]-Tabla2[[#This Row],[CANTIDAD PUBLICA]]</f>
        <v>693</v>
      </c>
      <c r="L76" s="147">
        <f>Tabla2[[#This Row],[COMISION AGENCIA]]*0.05</f>
        <v>34.65</v>
      </c>
      <c r="N76" s="154" t="s">
        <v>260</v>
      </c>
      <c r="O76" s="136" t="s">
        <v>47</v>
      </c>
    </row>
    <row r="77" spans="1:15" x14ac:dyDescent="0.25">
      <c r="A77" s="146">
        <v>45079</v>
      </c>
      <c r="B77" s="182">
        <v>45079</v>
      </c>
      <c r="C77" s="146">
        <v>45079</v>
      </c>
      <c r="D77" s="1">
        <v>45197</v>
      </c>
      <c r="E77" s="1">
        <v>45200</v>
      </c>
      <c r="F77" s="192">
        <v>25268</v>
      </c>
      <c r="G77" t="s">
        <v>261</v>
      </c>
      <c r="H77" t="s">
        <v>262</v>
      </c>
      <c r="I77" s="2">
        <v>7994</v>
      </c>
      <c r="J77" s="2">
        <v>9390</v>
      </c>
      <c r="K77" s="3">
        <f>Tabla2[[#This Row],[PRECIO CLIENTE]]-Tabla2[[#This Row],[CANTIDAD PUBLICA]]</f>
        <v>1396</v>
      </c>
      <c r="L77" s="147">
        <f>Tabla2[[#This Row],[COMISION AGENCIA]]*0.05</f>
        <v>69.8</v>
      </c>
      <c r="N77" s="154" t="s">
        <v>263</v>
      </c>
      <c r="O77" s="136" t="s">
        <v>47</v>
      </c>
    </row>
    <row r="78" spans="1:15" x14ac:dyDescent="0.25">
      <c r="A78" s="146">
        <v>45080</v>
      </c>
      <c r="B78" s="146">
        <v>45080</v>
      </c>
      <c r="C78" s="146">
        <v>45080</v>
      </c>
      <c r="D78" s="1">
        <v>45090</v>
      </c>
      <c r="E78" s="1">
        <v>45095</v>
      </c>
      <c r="F78" s="7"/>
      <c r="G78" t="s">
        <v>264</v>
      </c>
      <c r="H78" t="s">
        <v>265</v>
      </c>
      <c r="I78" s="2">
        <v>42968</v>
      </c>
      <c r="J78" s="2">
        <v>55440</v>
      </c>
      <c r="K78" s="3">
        <f>Tabla2[[#This Row],[PRECIO CLIENTE]]-Tabla2[[#This Row],[CANTIDAD PUBLICA]]</f>
        <v>12472</v>
      </c>
      <c r="L78" s="147">
        <f>Tabla2[[#This Row],[COMISION AGENCIA]]*0.05</f>
        <v>623.6</v>
      </c>
      <c r="N78" s="154" t="s">
        <v>266</v>
      </c>
      <c r="O78" s="136" t="s">
        <v>47</v>
      </c>
    </row>
    <row r="79" spans="1:15" x14ac:dyDescent="0.25">
      <c r="A79" s="146">
        <v>45081</v>
      </c>
      <c r="B79" s="146">
        <v>45081</v>
      </c>
      <c r="C79" s="146">
        <v>45064</v>
      </c>
      <c r="D79" s="1">
        <v>45101</v>
      </c>
      <c r="E79" s="1">
        <v>45105</v>
      </c>
      <c r="F79" s="7"/>
      <c r="G79" t="s">
        <v>267</v>
      </c>
      <c r="H79" t="s">
        <v>128</v>
      </c>
      <c r="I79" s="2">
        <v>31286</v>
      </c>
      <c r="J79" s="2">
        <v>27220</v>
      </c>
      <c r="K79" s="3">
        <f>Tabla2[[#This Row],[CANTIDAD PUBLICA]]*0.05</f>
        <v>1564.3000000000002</v>
      </c>
      <c r="L79" s="147">
        <f>Tabla2[[#This Row],[COMISION AGENCIA]]*0.05</f>
        <v>78.215000000000018</v>
      </c>
      <c r="N79" s="154" t="s">
        <v>268</v>
      </c>
      <c r="O79" s="136" t="s">
        <v>6</v>
      </c>
    </row>
    <row r="80" spans="1:15" x14ac:dyDescent="0.25">
      <c r="A80" s="146">
        <v>45082</v>
      </c>
      <c r="B80" s="146">
        <v>45082</v>
      </c>
      <c r="C80" s="146">
        <v>45082</v>
      </c>
      <c r="D80" s="1">
        <v>45088</v>
      </c>
      <c r="F80" s="193">
        <v>25290</v>
      </c>
      <c r="G80" t="s">
        <v>269</v>
      </c>
      <c r="H80" t="s">
        <v>270</v>
      </c>
      <c r="I80" s="2">
        <v>2659</v>
      </c>
      <c r="J80" s="2">
        <v>30355</v>
      </c>
      <c r="K80" s="3">
        <f>Tabla2[[#This Row],[PRECIO CLIENTE]]-Tabla2[[#This Row],[CANTIDAD PUBLICA]]</f>
        <v>27696</v>
      </c>
      <c r="L80" s="147">
        <f>Tabla2[[#This Row],[COMISION AGENCIA]]*0.05</f>
        <v>1384.8000000000002</v>
      </c>
      <c r="N80" s="154" t="s">
        <v>271</v>
      </c>
      <c r="O80" s="136" t="s">
        <v>47</v>
      </c>
    </row>
    <row r="81" spans="1:15" x14ac:dyDescent="0.25">
      <c r="A81" s="146">
        <v>45082</v>
      </c>
      <c r="B81" s="146">
        <v>45082</v>
      </c>
      <c r="C81" s="146">
        <v>45082</v>
      </c>
      <c r="D81" s="1">
        <v>45213</v>
      </c>
      <c r="E81" s="1">
        <v>45304</v>
      </c>
      <c r="F81" s="193">
        <v>25297</v>
      </c>
      <c r="G81" t="s">
        <v>272</v>
      </c>
      <c r="H81" t="s">
        <v>273</v>
      </c>
      <c r="I81" s="2">
        <v>4255</v>
      </c>
      <c r="J81" s="2">
        <v>4715</v>
      </c>
      <c r="K81" s="3">
        <f>Tabla2[[#This Row],[PRECIO CLIENTE]]-Tabla2[[#This Row],[CANTIDAD PUBLICA]]</f>
        <v>460</v>
      </c>
      <c r="L81" s="147">
        <f>Tabla2[[#This Row],[COMISION AGENCIA]]*0.05</f>
        <v>23</v>
      </c>
      <c r="N81" s="154" t="s">
        <v>274</v>
      </c>
      <c r="O81" s="136" t="s">
        <v>47</v>
      </c>
    </row>
    <row r="82" spans="1:15" x14ac:dyDescent="0.25">
      <c r="A82" s="146">
        <v>45082</v>
      </c>
      <c r="B82" s="146">
        <v>45082</v>
      </c>
      <c r="C82" s="146">
        <v>45082</v>
      </c>
      <c r="D82" s="1">
        <v>45083</v>
      </c>
      <c r="E82" s="1">
        <v>45083</v>
      </c>
      <c r="F82" s="193">
        <v>25294</v>
      </c>
      <c r="G82" t="s">
        <v>275</v>
      </c>
      <c r="H82" t="s">
        <v>276</v>
      </c>
      <c r="I82" s="2">
        <v>7320</v>
      </c>
      <c r="J82" s="2">
        <v>7630</v>
      </c>
      <c r="K82" s="3">
        <f>Tabla2[[#This Row],[PRECIO CLIENTE]]-Tabla2[[#This Row],[CANTIDAD PUBLICA]]</f>
        <v>310</v>
      </c>
      <c r="L82" s="147">
        <f>Tabla2[[#This Row],[COMISION AGENCIA]]*0.05</f>
        <v>15.5</v>
      </c>
      <c r="N82" s="154" t="s">
        <v>277</v>
      </c>
      <c r="O82" s="136" t="s">
        <v>47</v>
      </c>
    </row>
    <row r="83" spans="1:15" x14ac:dyDescent="0.25">
      <c r="A83" s="146">
        <v>45082</v>
      </c>
      <c r="B83" s="146">
        <v>45082</v>
      </c>
      <c r="C83" s="146">
        <v>45082</v>
      </c>
      <c r="D83" s="1">
        <v>45138</v>
      </c>
      <c r="E83" s="1">
        <v>45145</v>
      </c>
      <c r="F83" s="192">
        <v>25311</v>
      </c>
      <c r="G83" t="s">
        <v>278</v>
      </c>
      <c r="H83" t="s">
        <v>279</v>
      </c>
      <c r="I83" s="2">
        <v>2179</v>
      </c>
      <c r="J83" s="2">
        <v>2945</v>
      </c>
      <c r="K83" s="3">
        <f>Tabla2[[#This Row],[PRECIO CLIENTE]]-Tabla2[[#This Row],[CANTIDAD PUBLICA]]</f>
        <v>766</v>
      </c>
      <c r="L83" s="147">
        <f>Tabla2[[#This Row],[COMISION AGENCIA]]*0.05</f>
        <v>38.300000000000004</v>
      </c>
      <c r="N83" s="154" t="s">
        <v>280</v>
      </c>
      <c r="O83" s="136" t="s">
        <v>47</v>
      </c>
    </row>
    <row r="84" spans="1:15" x14ac:dyDescent="0.25">
      <c r="A84" s="146">
        <v>45082</v>
      </c>
      <c r="B84" s="146">
        <v>45082</v>
      </c>
      <c r="C84" s="146">
        <v>45082</v>
      </c>
      <c r="D84" s="1">
        <v>45182</v>
      </c>
      <c r="F84" s="193">
        <v>25309</v>
      </c>
      <c r="G84" t="s">
        <v>281</v>
      </c>
      <c r="H84" t="s">
        <v>282</v>
      </c>
      <c r="I84" s="2">
        <v>766</v>
      </c>
      <c r="J84" s="2">
        <v>1125</v>
      </c>
      <c r="K84" s="3">
        <f>Tabla2[[#This Row],[PRECIO CLIENTE]]-Tabla2[[#This Row],[CANTIDAD PUBLICA]]</f>
        <v>359</v>
      </c>
      <c r="L84" s="147">
        <f>Tabla2[[#This Row],[COMISION AGENCIA]]*0.05</f>
        <v>17.95</v>
      </c>
      <c r="N84" s="154" t="s">
        <v>283</v>
      </c>
      <c r="O84" s="136" t="s">
        <v>47</v>
      </c>
    </row>
    <row r="85" spans="1:15" x14ac:dyDescent="0.25">
      <c r="A85" s="146">
        <v>45082</v>
      </c>
      <c r="B85" s="146">
        <v>45082</v>
      </c>
      <c r="C85" s="146">
        <v>45082</v>
      </c>
      <c r="D85" s="1">
        <v>45152</v>
      </c>
      <c r="E85" s="1">
        <v>45182</v>
      </c>
      <c r="F85" s="193">
        <v>25309</v>
      </c>
      <c r="G85" t="s">
        <v>284</v>
      </c>
      <c r="H85" t="s">
        <v>285</v>
      </c>
      <c r="I85" s="2">
        <v>1818</v>
      </c>
      <c r="J85" s="2">
        <v>2260</v>
      </c>
      <c r="K85" s="3">
        <f>Tabla2[[#This Row],[PRECIO CLIENTE]]-Tabla2[[#This Row],[CANTIDAD PUBLICA]]</f>
        <v>442</v>
      </c>
      <c r="L85" s="147">
        <f>Tabla2[[#This Row],[COMISION AGENCIA]]*0.05</f>
        <v>22.1</v>
      </c>
      <c r="N85" s="154" t="s">
        <v>286</v>
      </c>
      <c r="O85" s="136" t="s">
        <v>47</v>
      </c>
    </row>
    <row r="86" spans="1:15" x14ac:dyDescent="0.25">
      <c r="A86" s="146">
        <v>45082</v>
      </c>
      <c r="B86" s="146">
        <v>45082</v>
      </c>
      <c r="C86" s="146">
        <v>45080</v>
      </c>
      <c r="D86" t="s">
        <v>287</v>
      </c>
      <c r="E86" s="1">
        <v>45095</v>
      </c>
      <c r="F86" s="7"/>
      <c r="G86" t="s">
        <v>288</v>
      </c>
      <c r="H86" t="s">
        <v>289</v>
      </c>
      <c r="I86" s="2">
        <v>22301</v>
      </c>
      <c r="J86" s="2">
        <v>19405</v>
      </c>
      <c r="K86" s="3">
        <f>Tabla2[[#This Row],[CANTIDAD PUBLICA]]*0.05</f>
        <v>1115.05</v>
      </c>
      <c r="L86" s="147">
        <f>Tabla2[[#This Row],[COMISION AGENCIA]]*0.05</f>
        <v>55.752499999999998</v>
      </c>
      <c r="N86" s="154" t="s">
        <v>290</v>
      </c>
      <c r="O86" s="136" t="s">
        <v>6</v>
      </c>
    </row>
    <row r="87" spans="1:15" x14ac:dyDescent="0.25">
      <c r="A87" s="146">
        <v>45082</v>
      </c>
      <c r="B87" s="146">
        <v>45082</v>
      </c>
      <c r="C87" s="146">
        <v>45080</v>
      </c>
      <c r="D87" t="s">
        <v>287</v>
      </c>
      <c r="E87" s="1">
        <v>45095</v>
      </c>
      <c r="F87" s="7"/>
      <c r="G87" t="s">
        <v>291</v>
      </c>
      <c r="H87" t="s">
        <v>289</v>
      </c>
      <c r="I87" s="2">
        <v>22301</v>
      </c>
      <c r="J87" s="2">
        <v>19405</v>
      </c>
      <c r="K87" s="3">
        <f>Tabla2[[#This Row],[CANTIDAD PUBLICA]]*0.05</f>
        <v>1115.05</v>
      </c>
      <c r="L87" s="147">
        <f>Tabla2[[#This Row],[COMISION AGENCIA]]*0.05</f>
        <v>55.752499999999998</v>
      </c>
      <c r="N87" s="185" t="s">
        <v>292</v>
      </c>
      <c r="O87" s="136" t="s">
        <v>6</v>
      </c>
    </row>
    <row r="88" spans="1:15" x14ac:dyDescent="0.25">
      <c r="A88" s="146">
        <v>45082</v>
      </c>
      <c r="B88" s="146">
        <v>45082</v>
      </c>
      <c r="C88" s="146">
        <v>45080</v>
      </c>
      <c r="D88" t="s">
        <v>287</v>
      </c>
      <c r="E88" s="1">
        <v>45095</v>
      </c>
      <c r="F88" s="7"/>
      <c r="G88" t="s">
        <v>293</v>
      </c>
      <c r="H88" t="s">
        <v>289</v>
      </c>
      <c r="I88" s="2">
        <v>22301</v>
      </c>
      <c r="J88" s="2">
        <v>19405</v>
      </c>
      <c r="K88" s="3">
        <f>Tabla2[[#This Row],[CANTIDAD PUBLICA]]*0.05</f>
        <v>1115.05</v>
      </c>
      <c r="L88" s="147">
        <f>Tabla2[[#This Row],[COMISION AGENCIA]]*0.05</f>
        <v>55.752499999999998</v>
      </c>
      <c r="N88" s="154" t="s">
        <v>294</v>
      </c>
      <c r="O88" s="136" t="s">
        <v>6</v>
      </c>
    </row>
    <row r="89" spans="1:15" x14ac:dyDescent="0.25">
      <c r="A89" s="146">
        <v>45083</v>
      </c>
      <c r="B89" s="146">
        <v>45083</v>
      </c>
      <c r="C89" s="146">
        <v>45083</v>
      </c>
      <c r="D89" s="1">
        <v>45107</v>
      </c>
      <c r="E89" s="1">
        <v>45140</v>
      </c>
      <c r="F89" s="7"/>
      <c r="G89" t="s">
        <v>88</v>
      </c>
      <c r="H89" t="s">
        <v>58</v>
      </c>
      <c r="I89" s="2">
        <v>5475</v>
      </c>
      <c r="J89" s="2">
        <v>7970</v>
      </c>
      <c r="K89" s="3">
        <f>Tabla2[[#This Row],[PRECIO CLIENTE]]-Tabla2[[#This Row],[CANTIDAD PUBLICA]]</f>
        <v>2495</v>
      </c>
      <c r="L89" s="147">
        <f>Tabla2[[#This Row],[COMISION AGENCIA]]*0.05</f>
        <v>124.75</v>
      </c>
      <c r="N89" s="154" t="s">
        <v>90</v>
      </c>
      <c r="O89" s="136" t="s">
        <v>224</v>
      </c>
    </row>
    <row r="90" spans="1:15" x14ac:dyDescent="0.25">
      <c r="A90" s="146">
        <v>45083</v>
      </c>
      <c r="B90" s="146">
        <v>45078</v>
      </c>
      <c r="C90" s="146">
        <v>45063</v>
      </c>
      <c r="D90" s="1">
        <v>45099</v>
      </c>
      <c r="E90" s="1">
        <v>45102</v>
      </c>
      <c r="F90" s="7"/>
      <c r="G90" t="s">
        <v>295</v>
      </c>
      <c r="H90" t="s">
        <v>296</v>
      </c>
      <c r="I90" s="2">
        <v>17217</v>
      </c>
      <c r="J90" s="2">
        <v>15495</v>
      </c>
      <c r="K90" s="3">
        <f>Tabla2[[#This Row],[CANTIDAD PUBLICA]]*0.05</f>
        <v>860.85</v>
      </c>
      <c r="L90" s="147">
        <f>Tabla2[[#This Row],[COMISION AGENCIA]]*0.05</f>
        <v>43.042500000000004</v>
      </c>
      <c r="N90" s="154">
        <v>10821420</v>
      </c>
      <c r="O90" s="136" t="s">
        <v>93</v>
      </c>
    </row>
    <row r="91" spans="1:15" x14ac:dyDescent="0.25">
      <c r="A91" s="146">
        <v>45084</v>
      </c>
      <c r="B91" s="146">
        <v>45084</v>
      </c>
      <c r="C91" s="146">
        <v>45084</v>
      </c>
      <c r="D91" s="1">
        <v>45105</v>
      </c>
      <c r="F91" s="193">
        <v>25356</v>
      </c>
      <c r="G91" t="s">
        <v>152</v>
      </c>
      <c r="H91" t="s">
        <v>179</v>
      </c>
      <c r="I91" s="2">
        <v>10167</v>
      </c>
      <c r="J91" s="2">
        <v>11550</v>
      </c>
      <c r="K91" s="3">
        <f>Tabla2[[#This Row],[PRECIO CLIENTE]]-Tabla2[[#This Row],[CANTIDAD PUBLICA]]</f>
        <v>1383</v>
      </c>
      <c r="L91" s="147">
        <f>Tabla2[[#This Row],[COMISION AGENCIA]]*0.05</f>
        <v>69.150000000000006</v>
      </c>
      <c r="N91" s="154" t="s">
        <v>297</v>
      </c>
      <c r="O91" s="136" t="s">
        <v>47</v>
      </c>
    </row>
    <row r="92" spans="1:15" ht="15.75" x14ac:dyDescent="0.25">
      <c r="A92" s="146">
        <v>45084</v>
      </c>
      <c r="B92" s="146">
        <v>45084</v>
      </c>
      <c r="C92" s="146">
        <v>45084</v>
      </c>
      <c r="D92" s="1">
        <v>45113</v>
      </c>
      <c r="E92" s="1">
        <v>45117</v>
      </c>
      <c r="F92" s="193">
        <v>25365</v>
      </c>
      <c r="G92" t="s">
        <v>298</v>
      </c>
      <c r="H92" t="s">
        <v>299</v>
      </c>
      <c r="I92" s="2">
        <v>7340</v>
      </c>
      <c r="J92" s="2">
        <v>7860</v>
      </c>
      <c r="K92" s="3">
        <f>Tabla2[[#This Row],[PRECIO CLIENTE]]-Tabla2[[#This Row],[CANTIDAD PUBLICA]]</f>
        <v>520</v>
      </c>
      <c r="L92" s="147">
        <f>Tabla2[[#This Row],[COMISION AGENCIA]]*0.05</f>
        <v>26</v>
      </c>
      <c r="N92" s="180" t="s">
        <v>300</v>
      </c>
      <c r="O92" s="136" t="s">
        <v>47</v>
      </c>
    </row>
    <row r="93" spans="1:15" x14ac:dyDescent="0.25">
      <c r="A93" s="146">
        <v>45085</v>
      </c>
      <c r="B93" s="146">
        <v>45054</v>
      </c>
      <c r="C93" s="146">
        <v>45029</v>
      </c>
      <c r="D93" s="1">
        <v>45101</v>
      </c>
      <c r="E93" s="1">
        <v>45105</v>
      </c>
      <c r="F93" s="7"/>
      <c r="G93" t="s">
        <v>301</v>
      </c>
      <c r="H93" t="s">
        <v>128</v>
      </c>
      <c r="I93" s="2">
        <v>28085</v>
      </c>
      <c r="J93" s="2">
        <v>24435</v>
      </c>
      <c r="K93" s="3">
        <f>Tabla2[[#This Row],[CANTIDAD PUBLICA]]*0.05</f>
        <v>1404.25</v>
      </c>
      <c r="L93" s="147">
        <f>Tabla2[[#This Row],[COMISION AGENCIA]]*0.05</f>
        <v>70.212500000000006</v>
      </c>
      <c r="N93" s="154" t="s">
        <v>302</v>
      </c>
      <c r="O93" s="136" t="s">
        <v>130</v>
      </c>
    </row>
    <row r="94" spans="1:15" x14ac:dyDescent="0.25">
      <c r="A94" s="146">
        <v>45085</v>
      </c>
      <c r="B94" s="146">
        <v>45085</v>
      </c>
      <c r="C94" s="146">
        <v>45085</v>
      </c>
      <c r="D94" s="1">
        <v>45114</v>
      </c>
      <c r="F94" s="193">
        <v>25398</v>
      </c>
      <c r="G94" s="152" t="s">
        <v>303</v>
      </c>
      <c r="H94" t="s">
        <v>304</v>
      </c>
      <c r="I94" s="2">
        <v>3140</v>
      </c>
      <c r="J94" s="2">
        <v>3585</v>
      </c>
      <c r="K94" s="3">
        <f>Tabla2[[#This Row],[PRECIO CLIENTE]]-Tabla2[[#This Row],[CANTIDAD PUBLICA]]</f>
        <v>445</v>
      </c>
      <c r="L94" s="147">
        <f>Tabla2[[#This Row],[COMISION AGENCIA]]*0.05</f>
        <v>22.25</v>
      </c>
      <c r="N94" s="154" t="s">
        <v>305</v>
      </c>
      <c r="O94" s="136" t="s">
        <v>47</v>
      </c>
    </row>
    <row r="95" spans="1:15" x14ac:dyDescent="0.25">
      <c r="A95" s="146">
        <v>45086</v>
      </c>
      <c r="B95" s="146">
        <v>45086</v>
      </c>
      <c r="C95" s="146">
        <v>45086</v>
      </c>
      <c r="D95" s="1">
        <v>45091</v>
      </c>
      <c r="F95" s="7"/>
      <c r="G95" t="s">
        <v>306</v>
      </c>
      <c r="H95" t="s">
        <v>179</v>
      </c>
      <c r="I95" s="2">
        <v>5990</v>
      </c>
      <c r="J95" s="2">
        <v>6860</v>
      </c>
      <c r="K95" s="3">
        <f>Tabla2[[#This Row],[PRECIO CLIENTE]]-Tabla2[[#This Row],[CANTIDAD PUBLICA]]</f>
        <v>870</v>
      </c>
      <c r="L95" s="147">
        <f>Tabla2[[#This Row],[COMISION AGENCIA]]*0.05</f>
        <v>43.5</v>
      </c>
      <c r="N95" s="154" t="s">
        <v>307</v>
      </c>
      <c r="O95" s="136" t="s">
        <v>47</v>
      </c>
    </row>
    <row r="96" spans="1:15" x14ac:dyDescent="0.25">
      <c r="A96" s="146">
        <v>45086</v>
      </c>
      <c r="B96" s="146">
        <v>45086</v>
      </c>
      <c r="C96" s="182">
        <v>45086</v>
      </c>
      <c r="D96" s="1">
        <v>45123</v>
      </c>
      <c r="E96" s="1">
        <v>45127</v>
      </c>
      <c r="F96" s="193">
        <v>25398</v>
      </c>
      <c r="G96" t="s">
        <v>308</v>
      </c>
      <c r="H96" t="s">
        <v>222</v>
      </c>
      <c r="I96" s="2">
        <v>3573</v>
      </c>
      <c r="J96" s="2">
        <v>4180</v>
      </c>
      <c r="K96" s="3">
        <f>Tabla2[[#This Row],[PRECIO CLIENTE]]-Tabla2[[#This Row],[CANTIDAD PUBLICA]]</f>
        <v>607</v>
      </c>
      <c r="L96" s="147">
        <f>Tabla2[[#This Row],[COMISION AGENCIA]]*0.05</f>
        <v>30.35</v>
      </c>
      <c r="N96" s="154" t="s">
        <v>309</v>
      </c>
      <c r="O96" s="136" t="s">
        <v>224</v>
      </c>
    </row>
    <row r="97" spans="1:15" x14ac:dyDescent="0.25">
      <c r="A97" s="146">
        <v>45088</v>
      </c>
      <c r="B97" s="146">
        <v>45088</v>
      </c>
      <c r="C97" s="146">
        <v>45088</v>
      </c>
      <c r="D97" s="1">
        <v>45101</v>
      </c>
      <c r="F97" s="193">
        <v>25422</v>
      </c>
      <c r="G97" t="s">
        <v>310</v>
      </c>
      <c r="H97" t="s">
        <v>311</v>
      </c>
      <c r="I97" s="2">
        <v>4726</v>
      </c>
      <c r="J97" s="2">
        <v>5305</v>
      </c>
      <c r="K97" s="3">
        <f>Tabla2[[#This Row],[PRECIO CLIENTE]]-Tabla2[[#This Row],[CANTIDAD PUBLICA]]</f>
        <v>579</v>
      </c>
      <c r="L97" s="147">
        <f>Tabla2[[#This Row],[COMISION AGENCIA]]*0.05</f>
        <v>28.950000000000003</v>
      </c>
      <c r="N97" s="154" t="s">
        <v>312</v>
      </c>
      <c r="O97" s="136" t="s">
        <v>47</v>
      </c>
    </row>
    <row r="98" spans="1:15" x14ac:dyDescent="0.25">
      <c r="A98" s="146">
        <v>45089</v>
      </c>
      <c r="B98" s="146">
        <v>45089</v>
      </c>
      <c r="C98" s="146">
        <v>45089</v>
      </c>
      <c r="D98" s="1">
        <v>45101</v>
      </c>
      <c r="F98" s="192">
        <v>25434</v>
      </c>
      <c r="G98" t="s">
        <v>313</v>
      </c>
      <c r="H98" t="s">
        <v>314</v>
      </c>
      <c r="I98" s="2">
        <v>8055</v>
      </c>
      <c r="J98" s="2">
        <v>8205</v>
      </c>
      <c r="K98" s="3">
        <f>Tabla2[[#This Row],[PRECIO CLIENTE]]-Tabla2[[#This Row],[CANTIDAD PUBLICA]]</f>
        <v>150</v>
      </c>
      <c r="L98" s="147">
        <f>Tabla2[[#This Row],[COMISION AGENCIA]]*0.05</f>
        <v>7.5</v>
      </c>
      <c r="N98" s="154" t="s">
        <v>315</v>
      </c>
      <c r="O98" s="136" t="s">
        <v>196</v>
      </c>
    </row>
    <row r="99" spans="1:15" x14ac:dyDescent="0.25">
      <c r="A99" s="146">
        <v>45090</v>
      </c>
      <c r="B99" s="182">
        <v>45090</v>
      </c>
      <c r="C99" s="146">
        <v>45090</v>
      </c>
      <c r="D99" s="1">
        <v>45101</v>
      </c>
      <c r="E99" s="1">
        <v>45107</v>
      </c>
      <c r="F99" s="193">
        <v>25452</v>
      </c>
      <c r="G99" t="s">
        <v>316</v>
      </c>
      <c r="H99" t="s">
        <v>179</v>
      </c>
      <c r="I99" s="2">
        <v>24165</v>
      </c>
      <c r="J99" s="2">
        <v>28440</v>
      </c>
      <c r="K99" s="3">
        <f>Tabla2[[#This Row],[PRECIO CLIENTE]]-Tabla2[[#This Row],[CANTIDAD PUBLICA]]</f>
        <v>4275</v>
      </c>
      <c r="L99" s="147">
        <f>Tabla2[[#This Row],[COMISION AGENCIA]]*0.05</f>
        <v>213.75</v>
      </c>
      <c r="N99" s="154" t="s">
        <v>317</v>
      </c>
      <c r="O99" s="136" t="s">
        <v>47</v>
      </c>
    </row>
    <row r="100" spans="1:15" x14ac:dyDescent="0.25">
      <c r="A100" s="146">
        <v>45090</v>
      </c>
      <c r="B100" s="146">
        <v>45090</v>
      </c>
      <c r="C100" s="146">
        <v>45090</v>
      </c>
      <c r="D100" s="1">
        <v>45090</v>
      </c>
      <c r="E100" s="1">
        <v>45092</v>
      </c>
      <c r="F100" s="7"/>
      <c r="G100" t="s">
        <v>318</v>
      </c>
      <c r="H100" t="s">
        <v>319</v>
      </c>
      <c r="I100" s="2">
        <v>300</v>
      </c>
      <c r="J100" s="2">
        <v>300</v>
      </c>
      <c r="K100" s="3">
        <v>300</v>
      </c>
      <c r="L100" s="147">
        <f>Tabla2[[#This Row],[COMISION AGENCIA]]*0.05</f>
        <v>15</v>
      </c>
      <c r="N100" s="154" t="s">
        <v>320</v>
      </c>
      <c r="O100" s="136" t="s">
        <v>224</v>
      </c>
    </row>
    <row r="101" spans="1:15" x14ac:dyDescent="0.25">
      <c r="A101" s="146">
        <f>Tabla2[[#This Row],[FECHA IN]]-22</f>
        <v>45090</v>
      </c>
      <c r="B101" s="146">
        <v>45091</v>
      </c>
      <c r="C101" s="146">
        <v>45082</v>
      </c>
      <c r="D101" s="1">
        <v>45112</v>
      </c>
      <c r="E101" s="1">
        <v>45114</v>
      </c>
      <c r="F101" s="7"/>
      <c r="G101" t="s">
        <v>321</v>
      </c>
      <c r="H101" t="s">
        <v>322</v>
      </c>
      <c r="I101" s="2">
        <v>10497</v>
      </c>
      <c r="J101" s="2">
        <v>9135</v>
      </c>
      <c r="K101" s="3">
        <f>Tabla2[[#This Row],[CANTIDAD PUBLICA]]*0.05</f>
        <v>524.85</v>
      </c>
      <c r="L101" s="147">
        <f>Tabla2[[#This Row],[COMISION AGENCIA]]*0.05</f>
        <v>26.242500000000003</v>
      </c>
      <c r="N101" s="154" t="s">
        <v>323</v>
      </c>
      <c r="O101" s="136" t="s">
        <v>6</v>
      </c>
    </row>
    <row r="102" spans="1:15" x14ac:dyDescent="0.25">
      <c r="A102" s="146">
        <v>45091</v>
      </c>
      <c r="B102" s="146">
        <v>45091</v>
      </c>
      <c r="C102" s="182">
        <v>45091</v>
      </c>
      <c r="D102" s="1">
        <v>45182</v>
      </c>
      <c r="E102" s="1">
        <v>45190</v>
      </c>
      <c r="F102" s="193">
        <v>25478</v>
      </c>
      <c r="G102" t="s">
        <v>324</v>
      </c>
      <c r="H102" t="s">
        <v>325</v>
      </c>
      <c r="I102" s="2">
        <v>3223</v>
      </c>
      <c r="J102" s="2">
        <v>3665</v>
      </c>
      <c r="K102" s="3">
        <f>Tabla2[[#This Row],[PRECIO CLIENTE]]-Tabla2[[#This Row],[CANTIDAD PUBLICA]]</f>
        <v>442</v>
      </c>
      <c r="L102" s="147">
        <f>Tabla2[[#This Row],[COMISION AGENCIA]]*0.05</f>
        <v>22.1</v>
      </c>
      <c r="N102" s="154" t="s">
        <v>326</v>
      </c>
      <c r="O102" s="136" t="s">
        <v>47</v>
      </c>
    </row>
    <row r="103" spans="1:15" ht="15.75" x14ac:dyDescent="0.25">
      <c r="A103" s="146">
        <v>45092</v>
      </c>
      <c r="B103" s="182">
        <v>45092</v>
      </c>
      <c r="C103" s="146">
        <v>45092</v>
      </c>
      <c r="D103" s="1">
        <v>45108</v>
      </c>
      <c r="F103" s="193">
        <v>25489</v>
      </c>
      <c r="G103" s="181" t="s">
        <v>327</v>
      </c>
      <c r="H103" t="s">
        <v>328</v>
      </c>
      <c r="I103" s="2">
        <v>2568</v>
      </c>
      <c r="J103" s="2">
        <v>3210</v>
      </c>
      <c r="K103" s="3">
        <f>Tabla2[[#This Row],[PRECIO CLIENTE]]-Tabla2[[#This Row],[CANTIDAD PUBLICA]]</f>
        <v>642</v>
      </c>
      <c r="L103" s="147">
        <f>Tabla2[[#This Row],[COMISION AGENCIA]]*0.05</f>
        <v>32.1</v>
      </c>
      <c r="N103" s="154" t="s">
        <v>329</v>
      </c>
      <c r="O103" s="136" t="s">
        <v>47</v>
      </c>
    </row>
    <row r="104" spans="1:15" x14ac:dyDescent="0.25">
      <c r="A104" s="146">
        <v>45092</v>
      </c>
      <c r="B104" s="182">
        <v>45092</v>
      </c>
      <c r="C104" s="146">
        <v>45092</v>
      </c>
      <c r="D104" s="1">
        <v>45165</v>
      </c>
      <c r="E104" s="1">
        <v>45169</v>
      </c>
      <c r="F104" s="7">
        <v>25507</v>
      </c>
      <c r="G104" t="s">
        <v>330</v>
      </c>
      <c r="H104" t="s">
        <v>265</v>
      </c>
      <c r="I104" s="2">
        <v>5558</v>
      </c>
      <c r="J104" s="2">
        <v>6500</v>
      </c>
      <c r="K104" s="3">
        <f>Tabla2[[#This Row],[PRECIO CLIENTE]]-Tabla2[[#This Row],[CANTIDAD PUBLICA]]</f>
        <v>942</v>
      </c>
      <c r="L104" s="147">
        <f>Tabla2[[#This Row],[COMISION AGENCIA]]*0.05</f>
        <v>47.1</v>
      </c>
      <c r="N104" s="154" t="s">
        <v>331</v>
      </c>
      <c r="O104" s="136" t="s">
        <v>47</v>
      </c>
    </row>
    <row r="105" spans="1:15" x14ac:dyDescent="0.25">
      <c r="A105" s="146">
        <v>45092</v>
      </c>
      <c r="B105" s="146">
        <v>45092</v>
      </c>
      <c r="C105" s="146">
        <v>45092</v>
      </c>
      <c r="D105" s="1">
        <v>45107</v>
      </c>
      <c r="E105" s="1" t="s">
        <v>332</v>
      </c>
      <c r="F105" s="193">
        <v>25487</v>
      </c>
      <c r="G105" t="s">
        <v>333</v>
      </c>
      <c r="H105" t="s">
        <v>334</v>
      </c>
      <c r="I105" s="2">
        <v>14457</v>
      </c>
      <c r="J105" s="2">
        <v>16320</v>
      </c>
      <c r="K105" s="3">
        <f>Tabla2[[#This Row],[PRECIO CLIENTE]]-Tabla2[[#This Row],[CANTIDAD PUBLICA]]</f>
        <v>1863</v>
      </c>
      <c r="L105" s="147">
        <f>Tabla2[[#This Row],[COMISION AGENCIA]]*0.05</f>
        <v>93.15</v>
      </c>
      <c r="N105" s="154" t="s">
        <v>335</v>
      </c>
      <c r="O105" s="136" t="s">
        <v>47</v>
      </c>
    </row>
    <row r="106" spans="1:15" x14ac:dyDescent="0.25">
      <c r="A106" s="146">
        <v>45092</v>
      </c>
      <c r="B106" s="146">
        <v>45092</v>
      </c>
      <c r="C106" s="146">
        <v>45092</v>
      </c>
      <c r="D106" s="1">
        <v>45107</v>
      </c>
      <c r="E106" s="1">
        <v>45143</v>
      </c>
      <c r="F106" s="7">
        <v>25488</v>
      </c>
      <c r="G106" t="s">
        <v>336</v>
      </c>
      <c r="H106" t="s">
        <v>334</v>
      </c>
      <c r="I106" s="2">
        <v>4914</v>
      </c>
      <c r="J106" s="2">
        <v>5560</v>
      </c>
      <c r="K106" s="3">
        <f>Tabla2[[#This Row],[CANTIDAD PUBLICA]]*0.05</f>
        <v>245.70000000000002</v>
      </c>
      <c r="L106" s="147">
        <f>Tabla2[[#This Row],[COMISION AGENCIA]]*0.05</f>
        <v>12.285000000000002</v>
      </c>
      <c r="N106" s="185" t="s">
        <v>337</v>
      </c>
      <c r="O106" s="136" t="s">
        <v>47</v>
      </c>
    </row>
    <row r="107" spans="1:15" x14ac:dyDescent="0.25">
      <c r="A107" s="146">
        <v>45093</v>
      </c>
      <c r="B107" s="146">
        <v>45093</v>
      </c>
      <c r="C107" s="146">
        <v>45093</v>
      </c>
      <c r="D107" s="1">
        <v>45121</v>
      </c>
      <c r="E107" s="1">
        <v>45136</v>
      </c>
      <c r="F107" s="193">
        <v>25520</v>
      </c>
      <c r="G107" t="s">
        <v>338</v>
      </c>
      <c r="H107" t="s">
        <v>339</v>
      </c>
      <c r="I107" s="2">
        <v>7992</v>
      </c>
      <c r="J107" s="2">
        <v>9040</v>
      </c>
      <c r="K107" s="3">
        <f>Tabla2[[#This Row],[PRECIO CLIENTE]]-Tabla2[[#This Row],[CANTIDAD PUBLICA]]</f>
        <v>1048</v>
      </c>
      <c r="L107" s="147">
        <f>Tabla2[[#This Row],[COMISION AGENCIA]]*0.05</f>
        <v>52.400000000000006</v>
      </c>
      <c r="N107" s="154" t="s">
        <v>340</v>
      </c>
      <c r="O107" s="136" t="s">
        <v>47</v>
      </c>
    </row>
    <row r="108" spans="1:15" ht="15.75" x14ac:dyDescent="0.25">
      <c r="A108" s="146">
        <v>45093</v>
      </c>
      <c r="B108" s="146">
        <v>45093</v>
      </c>
      <c r="C108" s="146">
        <v>45093</v>
      </c>
      <c r="D108" s="1">
        <v>45098</v>
      </c>
      <c r="F108" s="193">
        <v>25520</v>
      </c>
      <c r="G108" s="181" t="s">
        <v>341</v>
      </c>
      <c r="H108" t="s">
        <v>125</v>
      </c>
      <c r="I108" s="2">
        <v>3346</v>
      </c>
      <c r="J108" s="2">
        <v>3890</v>
      </c>
      <c r="K108" s="3">
        <f>Tabla2[[#This Row],[PRECIO CLIENTE]]-Tabla2[[#This Row],[CANTIDAD PUBLICA]]</f>
        <v>544</v>
      </c>
      <c r="L108" s="147">
        <f>Tabla2[[#This Row],[COMISION AGENCIA]]*0.05</f>
        <v>27.200000000000003</v>
      </c>
      <c r="N108" s="154" t="s">
        <v>342</v>
      </c>
      <c r="O108" s="136" t="s">
        <v>47</v>
      </c>
    </row>
    <row r="109" spans="1:15" ht="15.75" x14ac:dyDescent="0.25">
      <c r="A109" s="146">
        <v>45094</v>
      </c>
      <c r="B109" s="146">
        <v>45094</v>
      </c>
      <c r="C109" s="146">
        <v>45094</v>
      </c>
      <c r="D109" s="1">
        <v>45115</v>
      </c>
      <c r="F109" s="193">
        <v>25535</v>
      </c>
      <c r="G109" s="181" t="s">
        <v>343</v>
      </c>
      <c r="H109" t="s">
        <v>235</v>
      </c>
      <c r="I109" s="2">
        <v>3355</v>
      </c>
      <c r="J109" s="2">
        <v>3845</v>
      </c>
      <c r="K109" s="3">
        <f>Tabla2[[#This Row],[PRECIO CLIENTE]]-Tabla2[[#This Row],[CANTIDAD PUBLICA]]</f>
        <v>490</v>
      </c>
      <c r="L109" s="147">
        <f>Tabla2[[#This Row],[COMISION AGENCIA]]*0.05</f>
        <v>24.5</v>
      </c>
      <c r="N109" s="154" t="s">
        <v>344</v>
      </c>
      <c r="O109" s="136" t="s">
        <v>47</v>
      </c>
    </row>
    <row r="110" spans="1:15" x14ac:dyDescent="0.25">
      <c r="A110" s="146">
        <v>45094</v>
      </c>
      <c r="B110" s="146">
        <v>45094</v>
      </c>
      <c r="C110" s="146">
        <v>45094</v>
      </c>
      <c r="D110" s="1">
        <v>45097</v>
      </c>
      <c r="F110" s="193">
        <v>25532</v>
      </c>
      <c r="G110" t="s">
        <v>345</v>
      </c>
      <c r="H110" t="s">
        <v>179</v>
      </c>
      <c r="I110" s="2">
        <v>3352</v>
      </c>
      <c r="J110" s="2">
        <v>3840</v>
      </c>
      <c r="K110" s="3">
        <f>Tabla2[[#This Row],[PRECIO CLIENTE]]-Tabla2[[#This Row],[CANTIDAD PUBLICA]]</f>
        <v>488</v>
      </c>
      <c r="L110" s="147">
        <f>Tabla2[[#This Row],[COMISION AGENCIA]]*0.05</f>
        <v>24.400000000000002</v>
      </c>
      <c r="N110" s="154" t="s">
        <v>346</v>
      </c>
      <c r="O110" s="136" t="s">
        <v>47</v>
      </c>
    </row>
    <row r="111" spans="1:15" x14ac:dyDescent="0.25">
      <c r="A111" s="146">
        <v>45094</v>
      </c>
      <c r="B111" s="146">
        <v>45094</v>
      </c>
      <c r="C111" s="182">
        <v>45094</v>
      </c>
      <c r="D111" s="1">
        <v>45139</v>
      </c>
      <c r="F111" s="193">
        <v>25533</v>
      </c>
      <c r="G111" t="s">
        <v>347</v>
      </c>
      <c r="H111" t="s">
        <v>348</v>
      </c>
      <c r="I111" s="2">
        <v>1758</v>
      </c>
      <c r="J111" s="2">
        <v>2340</v>
      </c>
      <c r="K111" s="3">
        <f>Tabla2[[#This Row],[PRECIO CLIENTE]]-Tabla2[[#This Row],[CANTIDAD PUBLICA]]</f>
        <v>582</v>
      </c>
      <c r="L111" s="147">
        <f>Tabla2[[#This Row],[COMISION AGENCIA]]*0.05</f>
        <v>29.1</v>
      </c>
      <c r="N111" s="154" t="s">
        <v>349</v>
      </c>
      <c r="O111" s="136" t="s">
        <v>47</v>
      </c>
    </row>
    <row r="112" spans="1:15" x14ac:dyDescent="0.25">
      <c r="A112" s="146">
        <v>45096</v>
      </c>
      <c r="B112" s="146">
        <v>45096</v>
      </c>
      <c r="C112" s="146">
        <v>45096</v>
      </c>
      <c r="D112" s="1">
        <v>45030</v>
      </c>
      <c r="E112" s="1">
        <v>45133</v>
      </c>
      <c r="F112" s="193">
        <v>25573</v>
      </c>
      <c r="G112" t="s">
        <v>350</v>
      </c>
      <c r="H112" t="s">
        <v>179</v>
      </c>
      <c r="I112" s="2">
        <v>31705</v>
      </c>
      <c r="J112" s="2">
        <v>36475</v>
      </c>
      <c r="K112" s="3">
        <f>Tabla2[[#This Row],[PRECIO CLIENTE]]-Tabla2[[#This Row],[CANTIDAD PUBLICA]]</f>
        <v>4770</v>
      </c>
      <c r="L112" s="147">
        <f>Tabla2[[#This Row],[COMISION AGENCIA]]*0.05</f>
        <v>238.5</v>
      </c>
      <c r="N112" s="154" t="s">
        <v>351</v>
      </c>
      <c r="O112" s="136" t="s">
        <v>47</v>
      </c>
    </row>
    <row r="113" spans="1:15" x14ac:dyDescent="0.25">
      <c r="A113" s="146">
        <v>45097</v>
      </c>
      <c r="B113" s="146">
        <v>45097</v>
      </c>
      <c r="C113" s="146">
        <v>45097</v>
      </c>
      <c r="D113" s="1">
        <v>45228</v>
      </c>
      <c r="E113" s="1">
        <v>45238</v>
      </c>
      <c r="F113" s="193">
        <v>25592</v>
      </c>
      <c r="G113" t="s">
        <v>352</v>
      </c>
      <c r="H113" t="s">
        <v>334</v>
      </c>
      <c r="I113" s="2">
        <v>14692</v>
      </c>
      <c r="J113" s="2">
        <v>16700</v>
      </c>
      <c r="K113" s="3">
        <f>Tabla2[[#This Row],[PRECIO CLIENTE]]-Tabla2[[#This Row],[CANTIDAD PUBLICA]]</f>
        <v>2008</v>
      </c>
      <c r="L113" s="147">
        <f>Tabla2[[#This Row],[COMISION AGENCIA]]*0.05</f>
        <v>100.4</v>
      </c>
      <c r="N113" s="154" t="s">
        <v>353</v>
      </c>
      <c r="O113" s="136" t="s">
        <v>47</v>
      </c>
    </row>
    <row r="114" spans="1:15" x14ac:dyDescent="0.25">
      <c r="A114" s="146">
        <v>45099</v>
      </c>
      <c r="B114" s="146">
        <v>45099</v>
      </c>
      <c r="C114" s="146">
        <v>45099</v>
      </c>
      <c r="D114" s="1">
        <v>45112</v>
      </c>
      <c r="E114" s="1">
        <v>45167</v>
      </c>
      <c r="F114" s="193">
        <v>25618</v>
      </c>
      <c r="G114" t="s">
        <v>354</v>
      </c>
      <c r="H114" t="s">
        <v>198</v>
      </c>
      <c r="I114" s="2">
        <v>13446</v>
      </c>
      <c r="J114" s="2">
        <v>14150</v>
      </c>
      <c r="K114" s="3">
        <f>Tabla2[[#This Row],[PRECIO CLIENTE]]-Tabla2[[#This Row],[CANTIDAD PUBLICA]]</f>
        <v>704</v>
      </c>
      <c r="L114" s="147">
        <f>Tabla2[[#This Row],[COMISION AGENCIA]]*0.05</f>
        <v>35.200000000000003</v>
      </c>
      <c r="N114" s="154" t="s">
        <v>355</v>
      </c>
      <c r="O114" s="136" t="s">
        <v>47</v>
      </c>
    </row>
    <row r="115" spans="1:15" x14ac:dyDescent="0.25">
      <c r="A115" s="146">
        <f>Tabla2[[#This Row],[FECHA IN]]-22</f>
        <v>45101</v>
      </c>
      <c r="B115" s="146">
        <v>45102</v>
      </c>
      <c r="C115" s="146">
        <v>45086</v>
      </c>
      <c r="D115" s="1">
        <v>45123</v>
      </c>
      <c r="E115" s="1">
        <v>45127</v>
      </c>
      <c r="F115" s="7">
        <v>25397</v>
      </c>
      <c r="G115" t="s">
        <v>356</v>
      </c>
      <c r="H115" t="s">
        <v>357</v>
      </c>
      <c r="I115" s="2">
        <v>19990</v>
      </c>
      <c r="J115" s="2">
        <v>17400</v>
      </c>
      <c r="K115" s="3">
        <f>Tabla2[[#This Row],[CANTIDAD PUBLICA]]*0.05</f>
        <v>999.5</v>
      </c>
      <c r="L115" s="147">
        <f>Tabla2[[#This Row],[COMISION AGENCIA]]*0.05</f>
        <v>49.975000000000001</v>
      </c>
      <c r="N115" s="154" t="s">
        <v>358</v>
      </c>
      <c r="O115" s="136" t="s">
        <v>6</v>
      </c>
    </row>
    <row r="116" spans="1:15" x14ac:dyDescent="0.25">
      <c r="A116" s="146">
        <v>45102</v>
      </c>
      <c r="B116" s="146">
        <v>45102</v>
      </c>
      <c r="C116" s="146">
        <v>45102</v>
      </c>
      <c r="D116" s="1">
        <v>45077</v>
      </c>
      <c r="E116" s="1">
        <v>45111</v>
      </c>
      <c r="F116" s="7"/>
      <c r="G116" t="s">
        <v>359</v>
      </c>
      <c r="H116" t="s">
        <v>360</v>
      </c>
      <c r="I116" s="2">
        <v>15616</v>
      </c>
      <c r="J116" s="2">
        <v>16770</v>
      </c>
      <c r="K116" s="3">
        <f>Tabla2[[#This Row],[PRECIO CLIENTE]]-Tabla2[[#This Row],[CANTIDAD PUBLICA]]</f>
        <v>1154</v>
      </c>
      <c r="L116" s="147">
        <f>Tabla2[[#This Row],[COMISION AGENCIA]]*0.05</f>
        <v>57.7</v>
      </c>
      <c r="N116" s="154" t="s">
        <v>361</v>
      </c>
      <c r="O116" s="136" t="s">
        <v>47</v>
      </c>
    </row>
    <row r="117" spans="1:15" x14ac:dyDescent="0.25">
      <c r="A117" s="146">
        <v>45103</v>
      </c>
      <c r="B117" s="146">
        <v>45103</v>
      </c>
      <c r="C117" s="146">
        <v>45103</v>
      </c>
      <c r="D117" s="1">
        <v>45106</v>
      </c>
      <c r="E117" s="1">
        <v>45109</v>
      </c>
      <c r="F117" s="7"/>
      <c r="G117" t="s">
        <v>362</v>
      </c>
      <c r="H117" t="s">
        <v>170</v>
      </c>
      <c r="I117" s="2">
        <v>11703</v>
      </c>
      <c r="J117" s="2">
        <v>10190</v>
      </c>
      <c r="K117" s="3">
        <f>Tabla2[[#This Row],[CANTIDAD PUBLICA]]*0.05</f>
        <v>585.15</v>
      </c>
      <c r="L117" s="147">
        <f>Tabla2[[#This Row],[COMISION AGENCIA]]*0.05</f>
        <v>29.2575</v>
      </c>
      <c r="N117" s="154" t="s">
        <v>363</v>
      </c>
      <c r="O117" s="136" t="s">
        <v>6</v>
      </c>
    </row>
    <row r="118" spans="1:15" x14ac:dyDescent="0.25">
      <c r="A118" s="146">
        <v>45103</v>
      </c>
      <c r="B118" s="146">
        <v>45103</v>
      </c>
      <c r="C118" s="146">
        <v>45103</v>
      </c>
      <c r="D118" s="1">
        <v>45106</v>
      </c>
      <c r="E118" s="1">
        <v>45109</v>
      </c>
      <c r="F118" s="7"/>
      <c r="G118" t="s">
        <v>364</v>
      </c>
      <c r="H118" t="s">
        <v>170</v>
      </c>
      <c r="I118" s="2">
        <v>8777</v>
      </c>
      <c r="J118" s="2">
        <v>7760</v>
      </c>
      <c r="K118" s="3">
        <f>Tabla2[[#This Row],[CANTIDAD PUBLICA]]*0.05</f>
        <v>438.85</v>
      </c>
      <c r="L118" s="147">
        <f>Tabla2[[#This Row],[COMISION AGENCIA]]*0.05</f>
        <v>21.942500000000003</v>
      </c>
      <c r="N118" s="154" t="s">
        <v>365</v>
      </c>
      <c r="O118" s="136" t="s">
        <v>130</v>
      </c>
    </row>
    <row r="119" spans="1:15" x14ac:dyDescent="0.25">
      <c r="A119" s="148">
        <f>Tabla2[[#This Row],[FECHA IN]]-22</f>
        <v>45106</v>
      </c>
      <c r="B119" s="148">
        <v>45104</v>
      </c>
      <c r="C119" s="148">
        <v>45082</v>
      </c>
      <c r="D119" s="1">
        <v>45128</v>
      </c>
      <c r="E119" s="1">
        <v>45130</v>
      </c>
      <c r="F119" s="7"/>
      <c r="G119" t="s">
        <v>366</v>
      </c>
      <c r="H119" t="s">
        <v>367</v>
      </c>
      <c r="I119" s="2">
        <v>16869</v>
      </c>
      <c r="J119" s="2">
        <v>14680</v>
      </c>
      <c r="K119" s="3">
        <f>Tabla2[[#This Row],[CANTIDAD PUBLICA]]*0.05</f>
        <v>843.45</v>
      </c>
      <c r="L119" s="147">
        <f>Tabla2[[#This Row],[COMISION AGENCIA]]*0.05</f>
        <v>42.172500000000007</v>
      </c>
      <c r="N119" s="154" t="s">
        <v>368</v>
      </c>
      <c r="O119" s="136" t="s">
        <v>6</v>
      </c>
    </row>
    <row r="120" spans="1:15" x14ac:dyDescent="0.25">
      <c r="A120" s="148">
        <f>Tabla2[[#This Row],[FECHA IN]]-22</f>
        <v>45106</v>
      </c>
      <c r="B120" s="148">
        <v>45104</v>
      </c>
      <c r="C120" s="148">
        <v>45082</v>
      </c>
      <c r="D120" s="1">
        <v>45128</v>
      </c>
      <c r="E120" s="1">
        <v>45130</v>
      </c>
      <c r="F120" s="7"/>
      <c r="G120" t="s">
        <v>369</v>
      </c>
      <c r="H120" t="s">
        <v>367</v>
      </c>
      <c r="I120" s="2">
        <v>16869</v>
      </c>
      <c r="J120" s="2">
        <v>14680</v>
      </c>
      <c r="K120" s="3">
        <f>Tabla2[[#This Row],[CANTIDAD PUBLICA]]*0.05</f>
        <v>843.45</v>
      </c>
      <c r="L120" s="147">
        <f>Tabla2[[#This Row],[COMISION AGENCIA]]*0.05</f>
        <v>42.172500000000007</v>
      </c>
      <c r="N120" s="154" t="s">
        <v>370</v>
      </c>
      <c r="O120" s="136" t="s">
        <v>6</v>
      </c>
    </row>
    <row r="121" spans="1:15" x14ac:dyDescent="0.25">
      <c r="A121" s="148">
        <f>Tabla2[[#This Row],[FECHA IN]]-22</f>
        <v>45106</v>
      </c>
      <c r="B121" s="148">
        <v>45104</v>
      </c>
      <c r="C121" s="148">
        <v>45082</v>
      </c>
      <c r="D121" s="1">
        <v>45128</v>
      </c>
      <c r="E121" s="1">
        <v>45130</v>
      </c>
      <c r="F121" s="7"/>
      <c r="G121" t="s">
        <v>371</v>
      </c>
      <c r="H121" t="s">
        <v>367</v>
      </c>
      <c r="I121" s="2">
        <v>16869</v>
      </c>
      <c r="J121" s="2">
        <v>14680</v>
      </c>
      <c r="K121" s="3">
        <f>Tabla2[[#This Row],[CANTIDAD PUBLICA]]*0.05</f>
        <v>843.45</v>
      </c>
      <c r="L121" s="147">
        <f>Tabla2[[#This Row],[COMISION AGENCIA]]*0.05</f>
        <v>42.172500000000007</v>
      </c>
      <c r="N121" s="154" t="s">
        <v>370</v>
      </c>
      <c r="O121" s="136" t="s">
        <v>6</v>
      </c>
    </row>
    <row r="122" spans="1:15" x14ac:dyDescent="0.25">
      <c r="A122" s="148">
        <f>Tabla2[[#This Row],[FECHA IN]]-22</f>
        <v>45106</v>
      </c>
      <c r="B122" s="148">
        <v>45104</v>
      </c>
      <c r="C122" s="148">
        <v>45082</v>
      </c>
      <c r="D122" s="1">
        <v>45128</v>
      </c>
      <c r="E122" s="1">
        <v>45130</v>
      </c>
      <c r="F122" s="7"/>
      <c r="G122" t="s">
        <v>372</v>
      </c>
      <c r="H122" t="s">
        <v>367</v>
      </c>
      <c r="I122" s="2">
        <v>16869</v>
      </c>
      <c r="J122" s="2">
        <v>14680</v>
      </c>
      <c r="K122" s="3">
        <f>Tabla2[[#This Row],[CANTIDAD PUBLICA]]*0.05</f>
        <v>843.45</v>
      </c>
      <c r="L122" s="147">
        <f>Tabla2[[#This Row],[COMISION AGENCIA]]*0.05</f>
        <v>42.172500000000007</v>
      </c>
      <c r="N122" s="154" t="s">
        <v>373</v>
      </c>
      <c r="O122" s="136" t="s">
        <v>6</v>
      </c>
    </row>
    <row r="123" spans="1:15" x14ac:dyDescent="0.25">
      <c r="A123" s="148">
        <f>Tabla2[[#This Row],[FECHA IN]]-22</f>
        <v>45106</v>
      </c>
      <c r="B123" s="148">
        <v>45104</v>
      </c>
      <c r="C123" s="148">
        <v>45082</v>
      </c>
      <c r="D123" s="1">
        <v>45128</v>
      </c>
      <c r="E123" s="1">
        <v>45130</v>
      </c>
      <c r="F123" s="7"/>
      <c r="G123" t="s">
        <v>374</v>
      </c>
      <c r="H123" t="s">
        <v>367</v>
      </c>
      <c r="I123" s="2">
        <v>16869</v>
      </c>
      <c r="J123" s="2">
        <v>14680</v>
      </c>
      <c r="K123" s="3">
        <f>Tabla2[[#This Row],[CANTIDAD PUBLICA]]*0.05</f>
        <v>843.45</v>
      </c>
      <c r="L123" s="147">
        <f>Tabla2[[#This Row],[COMISION AGENCIA]]*0.05</f>
        <v>42.172500000000007</v>
      </c>
      <c r="N123" s="154" t="s">
        <v>375</v>
      </c>
      <c r="O123" s="136" t="s">
        <v>6</v>
      </c>
    </row>
    <row r="124" spans="1:15" x14ac:dyDescent="0.25">
      <c r="A124" s="148">
        <f>Tabla2[[#This Row],[FECHA IN]]-22</f>
        <v>45106</v>
      </c>
      <c r="B124" s="187">
        <v>45104</v>
      </c>
      <c r="C124" s="148">
        <v>45082</v>
      </c>
      <c r="D124" s="1">
        <v>45128</v>
      </c>
      <c r="E124" s="1">
        <v>45130</v>
      </c>
      <c r="F124" s="7"/>
      <c r="G124" t="s">
        <v>376</v>
      </c>
      <c r="H124" t="s">
        <v>367</v>
      </c>
      <c r="I124" s="2">
        <v>16869</v>
      </c>
      <c r="J124" s="2">
        <v>14680</v>
      </c>
      <c r="K124" s="3">
        <f>Tabla2[[#This Row],[CANTIDAD PUBLICA]]*0.05</f>
        <v>843.45</v>
      </c>
      <c r="L124" s="147">
        <f>Tabla2[[#This Row],[COMISION AGENCIA]]*0.05</f>
        <v>42.172500000000007</v>
      </c>
      <c r="N124" s="154" t="s">
        <v>377</v>
      </c>
      <c r="O124" s="136" t="s">
        <v>6</v>
      </c>
    </row>
    <row r="125" spans="1:15" x14ac:dyDescent="0.25">
      <c r="A125" s="148">
        <f>Tabla2[[#This Row],[FECHA IN]]-22</f>
        <v>45106</v>
      </c>
      <c r="B125" s="148">
        <v>45104</v>
      </c>
      <c r="C125" s="148">
        <v>45082</v>
      </c>
      <c r="D125" s="1">
        <v>45128</v>
      </c>
      <c r="E125" s="1">
        <v>45130</v>
      </c>
      <c r="F125" s="7"/>
      <c r="G125" t="s">
        <v>366</v>
      </c>
      <c r="H125" t="s">
        <v>367</v>
      </c>
      <c r="I125" s="2">
        <v>16869</v>
      </c>
      <c r="J125" s="184">
        <v>14680</v>
      </c>
      <c r="K125" s="3">
        <f>Tabla2[[#This Row],[CANTIDAD PUBLICA]]*0.05</f>
        <v>843.45</v>
      </c>
      <c r="L125" s="147">
        <f>Tabla2[[#This Row],[COMISION AGENCIA]]*0.05</f>
        <v>42.172500000000007</v>
      </c>
      <c r="N125" s="154" t="s">
        <v>378</v>
      </c>
      <c r="O125" s="136" t="s">
        <v>6</v>
      </c>
    </row>
    <row r="126" spans="1:15" x14ac:dyDescent="0.25">
      <c r="A126" s="148">
        <f>Tabla2[[#This Row],[FECHA IN]]-22</f>
        <v>45106</v>
      </c>
      <c r="B126" s="148">
        <v>45104</v>
      </c>
      <c r="C126" s="148">
        <v>45082</v>
      </c>
      <c r="D126" s="1">
        <v>45128</v>
      </c>
      <c r="E126" s="1">
        <v>45130</v>
      </c>
      <c r="F126" s="7"/>
      <c r="G126" t="s">
        <v>379</v>
      </c>
      <c r="H126" t="s">
        <v>367</v>
      </c>
      <c r="I126" s="2">
        <v>16869</v>
      </c>
      <c r="J126" s="2">
        <v>14680</v>
      </c>
      <c r="K126" s="3">
        <f>Tabla2[[#This Row],[CANTIDAD PUBLICA]]*0.05</f>
        <v>843.45</v>
      </c>
      <c r="L126" s="147">
        <f>Tabla2[[#This Row],[COMISION AGENCIA]]*0.05</f>
        <v>42.172500000000007</v>
      </c>
      <c r="N126" s="154" t="s">
        <v>380</v>
      </c>
      <c r="O126" s="136" t="s">
        <v>6</v>
      </c>
    </row>
    <row r="127" spans="1:15" x14ac:dyDescent="0.25">
      <c r="A127" s="146">
        <v>45106</v>
      </c>
      <c r="B127" s="146">
        <v>45106</v>
      </c>
      <c r="C127" s="146">
        <v>45106</v>
      </c>
      <c r="D127" s="1">
        <v>45137</v>
      </c>
      <c r="E127" s="1">
        <v>45151</v>
      </c>
      <c r="F127" s="7">
        <v>25760</v>
      </c>
      <c r="G127" t="s">
        <v>381</v>
      </c>
      <c r="H127" t="s">
        <v>382</v>
      </c>
      <c r="I127" s="2">
        <v>3189</v>
      </c>
      <c r="J127" s="2">
        <v>3665</v>
      </c>
      <c r="K127" s="3">
        <f>Tabla2[[#This Row],[PRECIO CLIENTE]]-Tabla2[[#This Row],[CANTIDAD PUBLICA]]</f>
        <v>476</v>
      </c>
      <c r="L127" s="147">
        <f>Tabla2[[#This Row],[COMISION AGENCIA]]*0.05</f>
        <v>23.8</v>
      </c>
      <c r="N127" s="190">
        <v>45106</v>
      </c>
      <c r="O127" s="136" t="s">
        <v>47</v>
      </c>
    </row>
    <row r="128" spans="1:15" x14ac:dyDescent="0.25">
      <c r="A128" s="146">
        <v>45106</v>
      </c>
      <c r="B128" s="146">
        <v>45106</v>
      </c>
      <c r="C128" s="146">
        <v>45106</v>
      </c>
      <c r="D128" s="1">
        <v>45125</v>
      </c>
      <c r="E128" s="1">
        <v>45134</v>
      </c>
      <c r="F128" s="7">
        <v>25768</v>
      </c>
      <c r="G128" t="s">
        <v>383</v>
      </c>
      <c r="H128" t="s">
        <v>384</v>
      </c>
      <c r="I128" s="2">
        <v>4863</v>
      </c>
      <c r="J128" s="2">
        <v>6060</v>
      </c>
      <c r="K128" s="3">
        <f>Tabla2[[#This Row],[PRECIO CLIENTE]]-Tabla2[[#This Row],[CANTIDAD PUBLICA]]</f>
        <v>1197</v>
      </c>
      <c r="L128" s="147">
        <f>Tabla2[[#This Row],[COMISION AGENCIA]]*0.05</f>
        <v>59.85</v>
      </c>
      <c r="N128" s="154" t="s">
        <v>385</v>
      </c>
      <c r="O128" s="136" t="s">
        <v>47</v>
      </c>
    </row>
    <row r="129" spans="1:15" x14ac:dyDescent="0.25">
      <c r="A129" s="146">
        <v>45107</v>
      </c>
      <c r="B129" s="146">
        <v>45076</v>
      </c>
      <c r="C129" s="146">
        <v>45076</v>
      </c>
      <c r="D129" s="1">
        <v>45079</v>
      </c>
      <c r="F129" s="188">
        <v>25198</v>
      </c>
      <c r="G129" t="s">
        <v>386</v>
      </c>
      <c r="H129" t="s">
        <v>387</v>
      </c>
      <c r="I129" s="2">
        <v>3655</v>
      </c>
      <c r="J129" s="2">
        <v>4200</v>
      </c>
      <c r="K129" s="3">
        <f>Tabla2[[#This Row],[PRECIO CLIENTE]]-Tabla2[[#This Row],[CANTIDAD PUBLICA]]</f>
        <v>545</v>
      </c>
      <c r="L129" s="147">
        <f>Tabla2[[#This Row],[COMISION AGENCIA]]*0.05</f>
        <v>27.25</v>
      </c>
      <c r="N129" s="154" t="s">
        <v>388</v>
      </c>
      <c r="O129" s="136" t="s">
        <v>47</v>
      </c>
    </row>
    <row r="130" spans="1:15" x14ac:dyDescent="0.25">
      <c r="A130" s="146">
        <v>45107</v>
      </c>
      <c r="B130" s="146">
        <v>45107</v>
      </c>
      <c r="C130" s="146">
        <v>45107</v>
      </c>
      <c r="D130" s="1">
        <v>45127</v>
      </c>
      <c r="F130" s="7">
        <v>25771</v>
      </c>
      <c r="G130" t="s">
        <v>389</v>
      </c>
      <c r="H130" t="s">
        <v>390</v>
      </c>
      <c r="I130" s="2">
        <v>4152</v>
      </c>
      <c r="J130" s="2">
        <v>4650</v>
      </c>
      <c r="K130" s="3">
        <f>Tabla2[[#This Row],[PRECIO CLIENTE]]-Tabla2[[#This Row],[CANTIDAD PUBLICA]]</f>
        <v>498</v>
      </c>
      <c r="L130" s="147">
        <f>Tabla2[[#This Row],[COMISION AGENCIA]]*0.05</f>
        <v>24.900000000000002</v>
      </c>
      <c r="N130" s="154" t="s">
        <v>391</v>
      </c>
      <c r="O130" s="136" t="s">
        <v>47</v>
      </c>
    </row>
    <row r="131" spans="1:15" x14ac:dyDescent="0.25">
      <c r="A131" s="148">
        <f>Tabla2[[#This Row],[FECHA IN]]-22</f>
        <v>45121</v>
      </c>
      <c r="B131" s="148">
        <v>45076</v>
      </c>
      <c r="C131" s="148">
        <v>45072</v>
      </c>
      <c r="D131" s="1">
        <v>45143</v>
      </c>
      <c r="E131" s="177" t="s">
        <v>392</v>
      </c>
      <c r="F131" s="7"/>
      <c r="G131" t="s">
        <v>393</v>
      </c>
      <c r="H131" t="s">
        <v>394</v>
      </c>
      <c r="I131" s="2">
        <v>22175</v>
      </c>
      <c r="J131" s="2">
        <v>19295</v>
      </c>
      <c r="K131" s="3">
        <f>Tabla2[[#This Row],[CANTIDAD PUBLICA]]*0.05</f>
        <v>1108.75</v>
      </c>
      <c r="L131" s="147">
        <f>Tabla2[[#This Row],[COMISION AGENCIA]]*0.05</f>
        <v>55.4375</v>
      </c>
      <c r="N131" s="154" t="s">
        <v>395</v>
      </c>
      <c r="O131" s="136" t="s">
        <v>6</v>
      </c>
    </row>
    <row r="132" spans="1:15" x14ac:dyDescent="0.25">
      <c r="A132" s="148">
        <v>45128</v>
      </c>
      <c r="B132" s="148">
        <v>45134</v>
      </c>
      <c r="C132" s="148">
        <v>45071</v>
      </c>
      <c r="D132" s="1">
        <v>45151</v>
      </c>
      <c r="E132" s="1">
        <v>45155</v>
      </c>
      <c r="F132" s="7"/>
      <c r="G132" t="s">
        <v>396</v>
      </c>
      <c r="H132" t="s">
        <v>357</v>
      </c>
      <c r="I132" s="2">
        <v>26487</v>
      </c>
      <c r="J132" s="2">
        <v>23045</v>
      </c>
      <c r="K132" s="3">
        <f>Tabla2[[#This Row],[CANTIDAD PUBLICA]]*0.05</f>
        <v>1324.3500000000001</v>
      </c>
      <c r="L132" s="147">
        <f>Tabla2[[#This Row],[COMISION AGENCIA]]*0.05</f>
        <v>66.217500000000015</v>
      </c>
      <c r="N132" s="154" t="s">
        <v>397</v>
      </c>
      <c r="O132" s="136" t="s">
        <v>6</v>
      </c>
    </row>
    <row r="133" spans="1:15" x14ac:dyDescent="0.25">
      <c r="A133" s="148">
        <v>45128</v>
      </c>
      <c r="B133" s="148">
        <v>45134</v>
      </c>
      <c r="C133" s="187">
        <v>45071</v>
      </c>
      <c r="D133" s="1">
        <v>45151</v>
      </c>
      <c r="E133" s="1">
        <v>45155</v>
      </c>
      <c r="F133" s="7"/>
      <c r="G133" t="s">
        <v>398</v>
      </c>
      <c r="H133" t="s">
        <v>357</v>
      </c>
      <c r="I133" s="2">
        <v>29136</v>
      </c>
      <c r="J133" s="2">
        <v>25350</v>
      </c>
      <c r="K133" s="3">
        <f>Tabla2[[#This Row],[CANTIDAD PUBLICA]]*0.05</f>
        <v>1456.8000000000002</v>
      </c>
      <c r="L133" s="147">
        <f>Tabla2[[#This Row],[COMISION AGENCIA]]*0.05</f>
        <v>72.840000000000018</v>
      </c>
      <c r="N133" s="154" t="s">
        <v>399</v>
      </c>
      <c r="O133" s="136" t="s">
        <v>6</v>
      </c>
    </row>
    <row r="134" spans="1:15" x14ac:dyDescent="0.25">
      <c r="A134" s="148">
        <f>Tabla2[[#This Row],[FECHA IN]]-22</f>
        <v>45178</v>
      </c>
      <c r="B134" s="148">
        <v>45178</v>
      </c>
      <c r="C134" s="148">
        <v>45102</v>
      </c>
      <c r="D134" s="1">
        <v>45200</v>
      </c>
      <c r="E134" s="1">
        <v>45204</v>
      </c>
      <c r="F134" s="7"/>
      <c r="G134" t="s">
        <v>400</v>
      </c>
      <c r="H134" t="s">
        <v>401</v>
      </c>
      <c r="I134" s="2">
        <v>16590</v>
      </c>
      <c r="J134" s="2">
        <v>15160</v>
      </c>
      <c r="K134" s="3">
        <f>Tabla2[[#This Row],[CANTIDAD PUBLICA]]*0.05</f>
        <v>829.5</v>
      </c>
      <c r="L134" s="147">
        <f>Tabla2[[#This Row],[COMISION AGENCIA]]*0.05</f>
        <v>41.475000000000001</v>
      </c>
      <c r="N134" s="154">
        <v>10986839</v>
      </c>
      <c r="O134" s="136" t="s">
        <v>93</v>
      </c>
    </row>
    <row r="135" spans="1:15" x14ac:dyDescent="0.25">
      <c r="A135" s="148">
        <f>Tabla2[[#This Row],[FECHA IN]]-22</f>
        <v>45178</v>
      </c>
      <c r="B135" s="148">
        <v>45178</v>
      </c>
      <c r="C135" s="148">
        <v>45102</v>
      </c>
      <c r="D135" s="1">
        <v>45200</v>
      </c>
      <c r="E135" s="1">
        <v>45204</v>
      </c>
      <c r="F135" s="7"/>
      <c r="G135" t="s">
        <v>402</v>
      </c>
      <c r="H135" t="s">
        <v>401</v>
      </c>
      <c r="I135" s="2">
        <v>24250</v>
      </c>
      <c r="J135" s="2">
        <v>21825</v>
      </c>
      <c r="K135" s="3">
        <f>Tabla2[[#This Row],[CANTIDAD PUBLICA]]*0.05</f>
        <v>1212.5</v>
      </c>
      <c r="L135" s="147">
        <f>Tabla2[[#This Row],[COMISION AGENCIA]]*0.05</f>
        <v>60.625</v>
      </c>
      <c r="N135" s="154">
        <v>10986852</v>
      </c>
      <c r="O135" s="136" t="s">
        <v>93</v>
      </c>
    </row>
    <row r="136" spans="1:15" x14ac:dyDescent="0.25">
      <c r="A136" s="146">
        <v>45222</v>
      </c>
      <c r="B136" s="146">
        <v>45219</v>
      </c>
      <c r="C136" s="146">
        <v>45068</v>
      </c>
      <c r="D136" s="1">
        <v>45245</v>
      </c>
      <c r="E136" s="1">
        <v>45249</v>
      </c>
      <c r="F136" s="7"/>
      <c r="G136" t="s">
        <v>403</v>
      </c>
      <c r="H136" t="s">
        <v>404</v>
      </c>
      <c r="I136" s="2">
        <v>28036</v>
      </c>
      <c r="J136" s="2">
        <v>24395</v>
      </c>
      <c r="K136" s="3">
        <f>Tabla2[[#This Row],[CANTIDAD PUBLICA]]*0.05</f>
        <v>1401.8000000000002</v>
      </c>
      <c r="L136" s="147">
        <f>Tabla2[[#This Row],[COMISION AGENCIA]]*0.05</f>
        <v>70.090000000000018</v>
      </c>
      <c r="N136" s="154" t="s">
        <v>405</v>
      </c>
      <c r="O136" s="136" t="s">
        <v>130</v>
      </c>
    </row>
    <row r="137" spans="1:15" x14ac:dyDescent="0.25">
      <c r="A137" s="148">
        <f>Tabla2[[#This Row],[FECHA IN]]-22</f>
        <v>45249</v>
      </c>
      <c r="B137" s="148">
        <f>Tabla2[[#This Row],[FECHA OUT]]-22</f>
        <v>45252</v>
      </c>
      <c r="C137" s="148">
        <v>45051</v>
      </c>
      <c r="D137" s="1">
        <v>45271</v>
      </c>
      <c r="E137" s="1">
        <v>45274</v>
      </c>
      <c r="F137" s="7"/>
      <c r="G137" t="s">
        <v>175</v>
      </c>
      <c r="H137" t="s">
        <v>406</v>
      </c>
      <c r="I137" s="2"/>
      <c r="J137" s="2">
        <v>700</v>
      </c>
      <c r="K137" s="3">
        <f>Tabla2[[#This Row],[PRECIO CLIENTE]]-Tabla2[[#This Row],[CANTIDAD PUBLICA]]</f>
        <v>700</v>
      </c>
      <c r="L137" s="147">
        <f>Tabla2[[#This Row],[COMISION AGENCIA]]*0.05</f>
        <v>35</v>
      </c>
      <c r="N137" s="154"/>
      <c r="O137" s="136"/>
    </row>
    <row r="138" spans="1:15" x14ac:dyDescent="0.25">
      <c r="A138" s="148">
        <v>45258</v>
      </c>
      <c r="B138" s="148">
        <v>45250</v>
      </c>
      <c r="C138" s="148">
        <v>45051</v>
      </c>
      <c r="D138" s="1">
        <v>45271</v>
      </c>
      <c r="E138" s="1">
        <v>45274</v>
      </c>
      <c r="F138" s="7"/>
      <c r="G138" t="s">
        <v>175</v>
      </c>
      <c r="H138" t="s">
        <v>407</v>
      </c>
      <c r="I138" s="2">
        <v>11717</v>
      </c>
      <c r="J138" s="2">
        <v>10195</v>
      </c>
      <c r="K138" s="3">
        <f>Tabla2[[#This Row],[CANTIDAD PUBLICA]]*0.05</f>
        <v>585.85</v>
      </c>
      <c r="L138" s="147">
        <f>Tabla2[[#This Row],[COMISION AGENCIA]]*0.05</f>
        <v>29.292500000000004</v>
      </c>
      <c r="N138" s="154" t="s">
        <v>408</v>
      </c>
      <c r="O138" s="136" t="s">
        <v>6</v>
      </c>
    </row>
    <row r="139" spans="1:15" x14ac:dyDescent="0.25">
      <c r="A139" s="1">
        <v>45176</v>
      </c>
      <c r="B139" s="1">
        <v>45176</v>
      </c>
      <c r="C139" s="1">
        <v>45104</v>
      </c>
      <c r="D139" s="1">
        <v>45200</v>
      </c>
      <c r="E139" s="1">
        <v>45204</v>
      </c>
      <c r="F139" s="7"/>
      <c r="G139" t="s">
        <v>409</v>
      </c>
      <c r="H139" t="s">
        <v>410</v>
      </c>
      <c r="I139" s="2">
        <v>15085</v>
      </c>
      <c r="J139" s="2">
        <v>13840</v>
      </c>
      <c r="K139" s="3">
        <f>Tabla2[[#This Row],[PRECIO CLIENTE]]-Tabla2[[#This Row],[CANTIDAD PUBLICA]]</f>
        <v>-1245</v>
      </c>
      <c r="L139" s="147">
        <f>Tabla2[[#This Row],[COMISION AGENCIA]]*0.05</f>
        <v>-62.25</v>
      </c>
      <c r="N139" s="154">
        <v>10996857</v>
      </c>
      <c r="O139" s="136" t="s">
        <v>93</v>
      </c>
    </row>
    <row r="140" spans="1:15" x14ac:dyDescent="0.25">
      <c r="A140" s="1">
        <v>45176</v>
      </c>
      <c r="B140" s="1">
        <v>45176</v>
      </c>
      <c r="C140" s="1">
        <v>45104</v>
      </c>
      <c r="D140" s="1">
        <v>45200</v>
      </c>
      <c r="E140" s="1">
        <v>45204</v>
      </c>
      <c r="F140" s="7"/>
      <c r="G140" t="s">
        <v>411</v>
      </c>
      <c r="H140" t="s">
        <v>410</v>
      </c>
      <c r="I140" s="2">
        <v>20381</v>
      </c>
      <c r="J140" s="2">
        <v>17735</v>
      </c>
      <c r="K140" s="3">
        <f>Tabla2[[#This Row],[PRECIO CLIENTE]]-Tabla2[[#This Row],[CANTIDAD PUBLICA]]</f>
        <v>-2646</v>
      </c>
      <c r="L140" s="147">
        <f>Tabla2[[#This Row],[COMISION AGENCIA]]*0.05</f>
        <v>-132.30000000000001</v>
      </c>
      <c r="N140" s="154" t="s">
        <v>412</v>
      </c>
      <c r="O140" s="136" t="s">
        <v>6</v>
      </c>
    </row>
    <row r="141" spans="1:15" x14ac:dyDescent="0.25">
      <c r="A141" s="1">
        <v>45110</v>
      </c>
      <c r="B141" s="1">
        <v>45110</v>
      </c>
      <c r="C141" s="1">
        <v>45110</v>
      </c>
      <c r="D141" s="1">
        <v>45218</v>
      </c>
      <c r="F141" s="7">
        <v>25822</v>
      </c>
      <c r="G141" t="s">
        <v>413</v>
      </c>
      <c r="H141" t="s">
        <v>414</v>
      </c>
      <c r="I141" s="2">
        <v>2747</v>
      </c>
      <c r="J141" s="2">
        <v>3250</v>
      </c>
      <c r="K141" s="3">
        <f>Tabla2[[#This Row],[PRECIO CLIENTE]]-Tabla2[[#This Row],[CANTIDAD PUBLICA]]</f>
        <v>503</v>
      </c>
      <c r="L141" s="147">
        <f>Tabla2[[#This Row],[COMISION AGENCIA]]*0.05</f>
        <v>25.150000000000002</v>
      </c>
      <c r="N141" s="154" t="s">
        <v>415</v>
      </c>
      <c r="O141" s="136" t="s">
        <v>47</v>
      </c>
    </row>
  </sheetData>
  <mergeCells count="2">
    <mergeCell ref="B1:B3"/>
    <mergeCell ref="C1:C3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262"/>
  <sheetViews>
    <sheetView zoomScale="90" zoomScaleNormal="90" workbookViewId="0">
      <pane ySplit="10" topLeftCell="A11" activePane="bottomLeft" state="frozen"/>
      <selection pane="bottomLeft" activeCell="Q121" sqref="Q121"/>
    </sheetView>
  </sheetViews>
  <sheetFormatPr baseColWidth="10" defaultColWidth="11.42578125" defaultRowHeight="15" x14ac:dyDescent="0.25"/>
  <cols>
    <col min="1" max="1" width="16.5703125" customWidth="1"/>
    <col min="2" max="2" width="20" customWidth="1"/>
    <col min="3" max="3" width="25.7109375" bestFit="1" customWidth="1"/>
    <col min="4" max="4" width="14.140625" customWidth="1"/>
    <col min="5" max="5" width="19.28515625" customWidth="1"/>
    <col min="6" max="6" width="16" style="7" customWidth="1"/>
    <col min="7" max="7" width="21.28515625" bestFit="1" customWidth="1"/>
    <col min="8" max="8" width="18.28515625" style="7" bestFit="1" customWidth="1"/>
    <col min="9" max="9" width="15" style="7" customWidth="1"/>
    <col min="10" max="10" width="15.140625" style="25" customWidth="1"/>
    <col min="11" max="11" width="42.28515625" customWidth="1"/>
    <col min="12" max="12" width="50.28515625" bestFit="1" customWidth="1"/>
    <col min="13" max="14" width="22.140625" style="3" bestFit="1" customWidth="1"/>
    <col min="15" max="15" width="23.85546875" customWidth="1"/>
    <col min="16" max="16" width="20.42578125" bestFit="1" customWidth="1"/>
    <col min="17" max="17" width="12.7109375" customWidth="1"/>
    <col min="18" max="18" width="15.140625" customWidth="1"/>
  </cols>
  <sheetData>
    <row r="1" spans="1:39" x14ac:dyDescent="0.25">
      <c r="A1" s="33"/>
      <c r="B1" s="42"/>
      <c r="C1" s="33" t="s">
        <v>416</v>
      </c>
      <c r="D1" s="33"/>
      <c r="E1" s="33"/>
      <c r="F1" s="34"/>
      <c r="G1" s="33"/>
      <c r="H1" s="42"/>
      <c r="I1" s="25" t="s">
        <v>416</v>
      </c>
      <c r="J1" s="35"/>
      <c r="K1" s="33"/>
      <c r="L1" s="33"/>
      <c r="M1" s="36"/>
      <c r="N1" s="36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</row>
    <row r="2" spans="1:39" x14ac:dyDescent="0.25">
      <c r="A2" s="33"/>
      <c r="B2" s="11"/>
      <c r="C2" s="33" t="s">
        <v>417</v>
      </c>
      <c r="D2" s="33"/>
      <c r="E2" s="33"/>
      <c r="F2" s="34"/>
      <c r="G2" s="33"/>
      <c r="H2" s="54"/>
      <c r="I2" s="33" t="s">
        <v>418</v>
      </c>
      <c r="J2" s="35"/>
      <c r="K2" s="33"/>
      <c r="L2" s="33"/>
      <c r="M2" s="36"/>
      <c r="N2" s="36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</row>
    <row r="3" spans="1:39" x14ac:dyDescent="0.25">
      <c r="A3" s="33"/>
      <c r="B3" s="101"/>
      <c r="C3" s="33" t="s">
        <v>24</v>
      </c>
      <c r="D3" s="33"/>
      <c r="E3" s="33"/>
      <c r="G3" s="33"/>
      <c r="H3" s="20"/>
      <c r="I3" s="33" t="s">
        <v>419</v>
      </c>
      <c r="J3" s="35"/>
      <c r="K3" s="33"/>
      <c r="L3" s="33"/>
      <c r="M3" s="36"/>
      <c r="N3" s="36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</row>
    <row r="4" spans="1:39" x14ac:dyDescent="0.25">
      <c r="A4" s="33"/>
      <c r="B4" s="13"/>
      <c r="C4" s="93" t="s">
        <v>26</v>
      </c>
      <c r="D4" s="33"/>
      <c r="E4" s="33"/>
      <c r="F4" s="34"/>
      <c r="G4" s="33"/>
      <c r="H4" s="102"/>
      <c r="I4" s="33" t="s">
        <v>420</v>
      </c>
      <c r="J4" s="35"/>
      <c r="K4" s="33"/>
      <c r="L4" s="33"/>
      <c r="M4" s="36"/>
      <c r="N4" s="36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</row>
    <row r="5" spans="1:39" x14ac:dyDescent="0.25">
      <c r="A5" s="33"/>
      <c r="B5" s="17"/>
      <c r="C5" s="33" t="s">
        <v>421</v>
      </c>
      <c r="D5" s="33"/>
      <c r="E5" s="33"/>
      <c r="F5" s="34"/>
      <c r="G5" s="33"/>
      <c r="H5" s="33"/>
      <c r="I5" s="33"/>
      <c r="J5" s="35"/>
      <c r="K5" s="33"/>
      <c r="L5" s="33"/>
      <c r="M5" s="36"/>
      <c r="N5" s="36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</row>
    <row r="6" spans="1:39" x14ac:dyDescent="0.25">
      <c r="A6" s="33"/>
      <c r="B6" s="19"/>
      <c r="C6" s="33" t="s">
        <v>25</v>
      </c>
      <c r="D6" s="33"/>
      <c r="E6" s="33"/>
      <c r="F6" s="34"/>
      <c r="G6" s="33"/>
      <c r="H6" s="33"/>
      <c r="I6" s="33"/>
      <c r="J6" s="35"/>
      <c r="K6" s="33"/>
      <c r="L6" s="33"/>
      <c r="M6" s="36"/>
      <c r="N6" s="36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</row>
    <row r="7" spans="1:39" x14ac:dyDescent="0.25">
      <c r="A7" s="33"/>
      <c r="B7" s="20"/>
      <c r="C7" s="93" t="s">
        <v>27</v>
      </c>
      <c r="D7" s="33"/>
      <c r="E7" s="33"/>
      <c r="F7" s="34"/>
      <c r="G7" s="33"/>
      <c r="H7" s="33"/>
      <c r="I7" s="103"/>
      <c r="J7" s="35"/>
      <c r="K7" s="33"/>
      <c r="L7" s="33"/>
      <c r="M7" s="36"/>
      <c r="N7" s="36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</row>
    <row r="8" spans="1:39" x14ac:dyDescent="0.25">
      <c r="A8" s="33"/>
      <c r="B8" s="31"/>
      <c r="C8" s="33" t="s">
        <v>422</v>
      </c>
      <c r="D8" s="33"/>
      <c r="E8" s="33"/>
      <c r="F8" s="34"/>
      <c r="G8" s="33"/>
      <c r="H8" s="33"/>
      <c r="I8" s="33"/>
      <c r="J8" s="35"/>
      <c r="K8" s="33"/>
      <c r="L8" s="33"/>
      <c r="M8" s="36"/>
      <c r="N8" s="36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</row>
    <row r="9" spans="1:39" x14ac:dyDescent="0.25">
      <c r="A9" s="33"/>
      <c r="B9" s="33"/>
      <c r="C9" s="33"/>
      <c r="D9" s="33"/>
      <c r="E9" s="33"/>
      <c r="F9" s="34"/>
      <c r="G9" s="33"/>
      <c r="H9" s="34"/>
      <c r="I9" s="34"/>
      <c r="J9" s="35"/>
      <c r="K9" s="33"/>
      <c r="L9" s="33"/>
      <c r="M9" s="36"/>
      <c r="N9" s="36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</row>
    <row r="10" spans="1:39" s="136" customFormat="1" ht="30" x14ac:dyDescent="0.25">
      <c r="A10" s="137" t="s">
        <v>28</v>
      </c>
      <c r="B10" s="136" t="s">
        <v>423</v>
      </c>
      <c r="C10" s="136" t="s">
        <v>41</v>
      </c>
      <c r="D10" s="137" t="s">
        <v>424</v>
      </c>
      <c r="E10" s="136" t="s">
        <v>425</v>
      </c>
      <c r="F10" s="135" t="s">
        <v>426</v>
      </c>
      <c r="G10" s="136" t="s">
        <v>427</v>
      </c>
      <c r="H10" s="136" t="s">
        <v>30</v>
      </c>
      <c r="I10" s="135" t="s">
        <v>31</v>
      </c>
      <c r="J10" s="135" t="s">
        <v>32</v>
      </c>
      <c r="K10" s="136" t="s">
        <v>34</v>
      </c>
      <c r="L10" s="136" t="s">
        <v>35</v>
      </c>
      <c r="M10" s="135" t="s">
        <v>428</v>
      </c>
      <c r="N10" s="138" t="s">
        <v>36</v>
      </c>
      <c r="O10" s="138" t="s">
        <v>37</v>
      </c>
      <c r="P10" s="136" t="s">
        <v>38</v>
      </c>
      <c r="Q10" s="137" t="s">
        <v>39</v>
      </c>
      <c r="R10" s="139" t="s">
        <v>429</v>
      </c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</row>
    <row r="11" spans="1:39" ht="15.75" x14ac:dyDescent="0.25">
      <c r="A11" s="55">
        <f>Tabla156[[#This Row],[FECHA IN]]-15</f>
        <v>44811</v>
      </c>
      <c r="B11" s="29"/>
      <c r="C11" s="32" t="s">
        <v>430</v>
      </c>
      <c r="D11" s="27">
        <v>44811</v>
      </c>
      <c r="E11" s="69" t="s">
        <v>420</v>
      </c>
      <c r="F11" s="70" t="s">
        <v>26</v>
      </c>
      <c r="G11" s="7"/>
      <c r="H11" s="6">
        <v>44811</v>
      </c>
      <c r="I11" s="6">
        <v>44826</v>
      </c>
      <c r="J11" s="6">
        <v>44830</v>
      </c>
      <c r="K11" s="24" t="s">
        <v>431</v>
      </c>
      <c r="L11" s="30" t="s">
        <v>432</v>
      </c>
      <c r="M11" s="60"/>
      <c r="N11" s="8">
        <v>55162.41</v>
      </c>
      <c r="O11" s="9">
        <v>48000</v>
      </c>
      <c r="P11" s="9">
        <f>Tabla156[[#This Row],[CANTIDAD PUBLICA]]*0.05</f>
        <v>2758.1205000000004</v>
      </c>
      <c r="Q11" s="10">
        <f>Tabla156[[#This Row],[COMISION AGENCIA]]*0.05</f>
        <v>137.90602500000003</v>
      </c>
      <c r="R11" s="36" t="s">
        <v>433</v>
      </c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</row>
    <row r="12" spans="1:39" ht="15.75" x14ac:dyDescent="0.25">
      <c r="A12" s="64">
        <f>Tabla156[[#This Row],[FECHA DE VENTA]]</f>
        <v>44822</v>
      </c>
      <c r="B12" s="43"/>
      <c r="C12" s="43"/>
      <c r="D12" s="37"/>
      <c r="E12" s="69" t="s">
        <v>416</v>
      </c>
      <c r="F12" s="98" t="s">
        <v>416</v>
      </c>
      <c r="G12" s="71"/>
      <c r="H12" s="38">
        <v>44822</v>
      </c>
      <c r="I12" s="38">
        <v>44849</v>
      </c>
      <c r="J12" s="38">
        <v>44849</v>
      </c>
      <c r="K12" s="39" t="s">
        <v>434</v>
      </c>
      <c r="L12" s="39" t="s">
        <v>435</v>
      </c>
      <c r="M12" s="61"/>
      <c r="N12" s="40">
        <v>7094</v>
      </c>
      <c r="O12" s="41">
        <v>7690</v>
      </c>
      <c r="P12" s="41">
        <f>Tabla156[[#This Row],[PRECIO CLIENTE]]-Tabla156[[#This Row],[CANTIDAD PUBLICA]]</f>
        <v>596</v>
      </c>
      <c r="Q12" s="10">
        <f>Tabla156[[#This Row],[COMISION AGENCIA]]*0.05</f>
        <v>29.8</v>
      </c>
      <c r="R12" s="36" t="s">
        <v>433</v>
      </c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</row>
    <row r="13" spans="1:39" s="33" customFormat="1" ht="15.75" x14ac:dyDescent="0.25">
      <c r="A13" s="64">
        <f>Tabla156[[#This Row],[FECHA DE VENTA]]</f>
        <v>44824</v>
      </c>
      <c r="B13" s="43"/>
      <c r="C13" s="43"/>
      <c r="D13" s="37"/>
      <c r="E13" s="98" t="s">
        <v>416</v>
      </c>
      <c r="F13" s="98" t="s">
        <v>416</v>
      </c>
      <c r="G13" s="71"/>
      <c r="H13" s="38">
        <v>44824</v>
      </c>
      <c r="I13" s="38">
        <v>44846</v>
      </c>
      <c r="J13" s="38">
        <v>44877</v>
      </c>
      <c r="K13" s="39" t="s">
        <v>436</v>
      </c>
      <c r="L13" s="39" t="s">
        <v>437</v>
      </c>
      <c r="M13" s="61"/>
      <c r="N13" s="40">
        <v>11446</v>
      </c>
      <c r="O13" s="41">
        <v>12190</v>
      </c>
      <c r="P13" s="41">
        <f>Tabla156[[#This Row],[PRECIO CLIENTE]]-Tabla156[[#This Row],[CANTIDAD PUBLICA]]</f>
        <v>744</v>
      </c>
      <c r="Q13" s="10">
        <f>Tabla156[[#This Row],[COMISION AGENCIA]]*0.05</f>
        <v>37.200000000000003</v>
      </c>
      <c r="R13" s="36" t="s">
        <v>433</v>
      </c>
    </row>
    <row r="14" spans="1:39" s="33" customFormat="1" ht="15.75" x14ac:dyDescent="0.25">
      <c r="A14" s="64">
        <f>Tabla156[[#This Row],[FECHA DE VENTA]]</f>
        <v>44824</v>
      </c>
      <c r="B14" s="43"/>
      <c r="C14" s="43"/>
      <c r="D14" s="37"/>
      <c r="E14" s="98" t="s">
        <v>416</v>
      </c>
      <c r="F14" s="98" t="s">
        <v>416</v>
      </c>
      <c r="G14" s="71"/>
      <c r="H14" s="38">
        <v>44824</v>
      </c>
      <c r="I14" s="38">
        <v>44840</v>
      </c>
      <c r="J14" s="38">
        <v>44840</v>
      </c>
      <c r="K14" s="39" t="s">
        <v>438</v>
      </c>
      <c r="L14" s="39" t="s">
        <v>439</v>
      </c>
      <c r="M14" s="61"/>
      <c r="N14" s="40">
        <v>1068</v>
      </c>
      <c r="O14" s="41">
        <v>1245</v>
      </c>
      <c r="P14" s="41">
        <f>Tabla156[[#This Row],[PRECIO CLIENTE]]-Tabla156[[#This Row],[CANTIDAD PUBLICA]]</f>
        <v>177</v>
      </c>
      <c r="Q14" s="10">
        <f>Tabla156[[#This Row],[COMISION AGENCIA]]*0.05</f>
        <v>8.85</v>
      </c>
      <c r="R14" s="36" t="s">
        <v>433</v>
      </c>
    </row>
    <row r="15" spans="1:39" s="33" customFormat="1" ht="15.75" x14ac:dyDescent="0.25">
      <c r="A15" s="64">
        <f>Tabla156[[#This Row],[FECHA DE VENTA]]</f>
        <v>44824</v>
      </c>
      <c r="B15" s="43"/>
      <c r="C15" s="43"/>
      <c r="D15" s="37"/>
      <c r="E15" s="98" t="s">
        <v>416</v>
      </c>
      <c r="F15" s="98" t="s">
        <v>416</v>
      </c>
      <c r="G15" s="71"/>
      <c r="H15" s="38">
        <v>44824</v>
      </c>
      <c r="I15" s="38">
        <v>44827</v>
      </c>
      <c r="J15" s="38">
        <v>44827</v>
      </c>
      <c r="K15" s="39" t="s">
        <v>440</v>
      </c>
      <c r="L15" s="39" t="s">
        <v>441</v>
      </c>
      <c r="M15" s="61"/>
      <c r="N15" s="40">
        <v>3256</v>
      </c>
      <c r="O15" s="41">
        <v>3600</v>
      </c>
      <c r="P15" s="41">
        <f>Tabla156[[#This Row],[PRECIO CLIENTE]]-Tabla156[[#This Row],[CANTIDAD PUBLICA]]</f>
        <v>344</v>
      </c>
      <c r="Q15" s="10">
        <f>Tabla156[[#This Row],[COMISION AGENCIA]]*0.05</f>
        <v>17.2</v>
      </c>
      <c r="R15" s="36" t="s">
        <v>433</v>
      </c>
    </row>
    <row r="16" spans="1:39" s="33" customFormat="1" ht="15.75" x14ac:dyDescent="0.25">
      <c r="A16" s="55">
        <f>Tabla156[[#This Row],[FECHA IN]]-15</f>
        <v>44828</v>
      </c>
      <c r="B16" s="29"/>
      <c r="C16" s="32" t="s">
        <v>442</v>
      </c>
      <c r="D16" s="27">
        <v>44833</v>
      </c>
      <c r="E16" s="69" t="s">
        <v>420</v>
      </c>
      <c r="F16" s="70" t="s">
        <v>26</v>
      </c>
      <c r="G16" s="7"/>
      <c r="H16" s="6">
        <v>44830</v>
      </c>
      <c r="I16" s="6">
        <v>44843</v>
      </c>
      <c r="J16" s="6">
        <v>44847</v>
      </c>
      <c r="K16" s="24" t="s">
        <v>443</v>
      </c>
      <c r="L16" s="30" t="s">
        <v>444</v>
      </c>
      <c r="M16" s="60"/>
      <c r="N16" s="8">
        <v>13935</v>
      </c>
      <c r="O16" s="9">
        <v>12125</v>
      </c>
      <c r="P16" s="9">
        <f>Tabla156[[#This Row],[CANTIDAD PUBLICA]]*0.05</f>
        <v>696.75</v>
      </c>
      <c r="Q16" s="10">
        <f>Tabla156[[#This Row],[COMISION AGENCIA]]*0.05</f>
        <v>34.837499999999999</v>
      </c>
      <c r="R16" s="36" t="s">
        <v>433</v>
      </c>
    </row>
    <row r="17" spans="1:39" s="33" customFormat="1" ht="15.75" x14ac:dyDescent="0.25">
      <c r="A17" s="64">
        <f>Tabla156[[#This Row],[FECHA DE VENTA]]</f>
        <v>44836</v>
      </c>
      <c r="B17" s="43"/>
      <c r="C17" s="43"/>
      <c r="D17" s="37"/>
      <c r="E17" s="98" t="s">
        <v>416</v>
      </c>
      <c r="F17" s="98" t="s">
        <v>416</v>
      </c>
      <c r="G17" s="71"/>
      <c r="H17" s="38">
        <v>44836</v>
      </c>
      <c r="I17" s="38">
        <v>44923</v>
      </c>
      <c r="J17" s="38">
        <v>44951</v>
      </c>
      <c r="K17" s="39" t="s">
        <v>445</v>
      </c>
      <c r="L17" s="39" t="s">
        <v>446</v>
      </c>
      <c r="M17" s="61"/>
      <c r="N17" s="40">
        <v>32060</v>
      </c>
      <c r="O17" s="41">
        <v>34300</v>
      </c>
      <c r="P17" s="41">
        <f>Tabla156[[#This Row],[PRECIO CLIENTE]]-Tabla156[[#This Row],[CANTIDAD PUBLICA]]</f>
        <v>2240</v>
      </c>
      <c r="Q17" s="10">
        <f>Tabla156[[#This Row],[COMISION AGENCIA]]*0.05</f>
        <v>112</v>
      </c>
      <c r="R17" s="36" t="s">
        <v>433</v>
      </c>
    </row>
    <row r="18" spans="1:39" ht="15.75" x14ac:dyDescent="0.25">
      <c r="A18" s="64">
        <f>Tabla156[[#This Row],[FECHA DE VENTA]]</f>
        <v>44837</v>
      </c>
      <c r="B18" s="43"/>
      <c r="C18" s="43"/>
      <c r="D18" s="37"/>
      <c r="E18" s="98" t="s">
        <v>416</v>
      </c>
      <c r="F18" s="98" t="s">
        <v>416</v>
      </c>
      <c r="G18" s="71"/>
      <c r="H18" s="38">
        <v>44837</v>
      </c>
      <c r="I18" s="38">
        <v>44849</v>
      </c>
      <c r="J18" s="38">
        <v>44858</v>
      </c>
      <c r="K18" s="160" t="s">
        <v>447</v>
      </c>
      <c r="L18" s="39" t="s">
        <v>448</v>
      </c>
      <c r="M18" s="61"/>
      <c r="N18" s="40">
        <v>1480</v>
      </c>
      <c r="O18" s="41">
        <v>1790</v>
      </c>
      <c r="P18" s="41">
        <f>Tabla156[[#This Row],[PRECIO CLIENTE]]-Tabla156[[#This Row],[CANTIDAD PUBLICA]]</f>
        <v>310</v>
      </c>
      <c r="Q18" s="10">
        <f>Tabla156[[#This Row],[COMISION AGENCIA]]*0.05</f>
        <v>15.5</v>
      </c>
      <c r="R18" s="36" t="s">
        <v>433</v>
      </c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</row>
    <row r="19" spans="1:39" ht="15.75" x14ac:dyDescent="0.25">
      <c r="A19" s="55">
        <f>Tabla156[[#This Row],[FECHA IN]]-15</f>
        <v>44837</v>
      </c>
      <c r="B19" s="29"/>
      <c r="C19" s="32" t="s">
        <v>449</v>
      </c>
      <c r="D19" s="27">
        <v>44833</v>
      </c>
      <c r="E19" s="69" t="s">
        <v>420</v>
      </c>
      <c r="F19" s="70" t="s">
        <v>26</v>
      </c>
      <c r="G19" s="7"/>
      <c r="H19" s="6">
        <v>44831</v>
      </c>
      <c r="I19" s="6">
        <v>44852</v>
      </c>
      <c r="J19" s="6">
        <v>44856</v>
      </c>
      <c r="K19" s="114" t="s">
        <v>450</v>
      </c>
      <c r="L19" s="30" t="s">
        <v>451</v>
      </c>
      <c r="M19" s="60"/>
      <c r="N19" s="8">
        <v>20870</v>
      </c>
      <c r="O19" s="9">
        <v>18160</v>
      </c>
      <c r="P19" s="9">
        <f>Tabla156[[#This Row],[CANTIDAD PUBLICA]]*0.05</f>
        <v>1043.5</v>
      </c>
      <c r="Q19" s="10">
        <f>Tabla156[[#This Row],[COMISION AGENCIA]]*0.05</f>
        <v>52.175000000000004</v>
      </c>
      <c r="R19" s="36" t="s">
        <v>433</v>
      </c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</row>
    <row r="20" spans="1:39" ht="15.75" x14ac:dyDescent="0.25">
      <c r="A20" s="64">
        <f>Tabla156[[#This Row],[FECHA DE VENTA]]</f>
        <v>44839</v>
      </c>
      <c r="B20" s="43"/>
      <c r="C20" s="43"/>
      <c r="D20" s="37"/>
      <c r="E20" s="98" t="s">
        <v>416</v>
      </c>
      <c r="F20" s="98" t="s">
        <v>416</v>
      </c>
      <c r="G20" s="71"/>
      <c r="H20" s="38">
        <v>44839</v>
      </c>
      <c r="I20" s="38">
        <v>44840</v>
      </c>
      <c r="J20" s="38">
        <v>44840</v>
      </c>
      <c r="K20" s="160" t="s">
        <v>452</v>
      </c>
      <c r="L20" s="39" t="s">
        <v>448</v>
      </c>
      <c r="M20" s="61"/>
      <c r="N20" s="40">
        <v>2523</v>
      </c>
      <c r="O20" s="41">
        <v>3000</v>
      </c>
      <c r="P20" s="41">
        <f>Tabla156[[#This Row],[PRECIO CLIENTE]]-Tabla156[[#This Row],[CANTIDAD PUBLICA]]</f>
        <v>477</v>
      </c>
      <c r="Q20" s="10">
        <f>Tabla156[[#This Row],[COMISION AGENCIA]]*0.05</f>
        <v>23.85</v>
      </c>
      <c r="R20" s="36" t="s">
        <v>433</v>
      </c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</row>
    <row r="21" spans="1:39" ht="15.75" x14ac:dyDescent="0.25">
      <c r="A21" s="55">
        <f>Tabla156[[#This Row],[FECHA IN]]-15</f>
        <v>44842</v>
      </c>
      <c r="B21" s="29"/>
      <c r="C21" s="32" t="s">
        <v>453</v>
      </c>
      <c r="D21" s="27">
        <v>44841</v>
      </c>
      <c r="E21" s="69" t="s">
        <v>420</v>
      </c>
      <c r="F21" s="70" t="s">
        <v>26</v>
      </c>
      <c r="G21" s="7"/>
      <c r="H21" s="6">
        <v>44834</v>
      </c>
      <c r="I21" s="6">
        <v>44857</v>
      </c>
      <c r="J21" s="6">
        <v>44861</v>
      </c>
      <c r="K21" s="24" t="s">
        <v>454</v>
      </c>
      <c r="L21" s="30" t="s">
        <v>455</v>
      </c>
      <c r="M21" s="60"/>
      <c r="N21" s="8">
        <v>30109.09</v>
      </c>
      <c r="O21" s="9">
        <v>26195</v>
      </c>
      <c r="P21" s="9">
        <f>Tabla156[[#This Row],[CANTIDAD PUBLICA]]*0.05</f>
        <v>1505.4545000000001</v>
      </c>
      <c r="Q21" s="10">
        <f>Tabla156[[#This Row],[COMISION AGENCIA]]*0.05</f>
        <v>75.272725000000008</v>
      </c>
      <c r="R21" s="36" t="s">
        <v>433</v>
      </c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</row>
    <row r="22" spans="1:39" s="33" customFormat="1" ht="15.75" x14ac:dyDescent="0.25">
      <c r="A22" s="64">
        <f>Tabla156[[#This Row],[FECHA DE VENTA]]</f>
        <v>44844</v>
      </c>
      <c r="B22" s="43"/>
      <c r="C22" s="43"/>
      <c r="D22" s="37"/>
      <c r="E22" s="98" t="s">
        <v>416</v>
      </c>
      <c r="F22" s="98" t="s">
        <v>416</v>
      </c>
      <c r="G22" s="71"/>
      <c r="H22" s="38">
        <v>44844</v>
      </c>
      <c r="I22" s="38">
        <v>44847</v>
      </c>
      <c r="J22" s="38">
        <v>44854</v>
      </c>
      <c r="K22" s="160" t="s">
        <v>456</v>
      </c>
      <c r="L22" s="39" t="s">
        <v>457</v>
      </c>
      <c r="M22" s="61"/>
      <c r="N22" s="40">
        <v>13577</v>
      </c>
      <c r="O22" s="41">
        <v>13730</v>
      </c>
      <c r="P22" s="41">
        <f>Tabla156[[#This Row],[PRECIO CLIENTE]]-Tabla156[[#This Row],[CANTIDAD PUBLICA]]</f>
        <v>153</v>
      </c>
      <c r="Q22" s="10">
        <f>Tabla156[[#This Row],[COMISION AGENCIA]]*0.05</f>
        <v>7.65</v>
      </c>
      <c r="R22" s="36" t="s">
        <v>433</v>
      </c>
    </row>
    <row r="23" spans="1:39" s="33" customFormat="1" ht="15.75" x14ac:dyDescent="0.25">
      <c r="A23" s="64">
        <f>Tabla156[[#This Row],[FECHA DE VENTA]]</f>
        <v>44844</v>
      </c>
      <c r="B23" s="43"/>
      <c r="C23" s="43"/>
      <c r="D23" s="64"/>
      <c r="E23" s="98" t="s">
        <v>416</v>
      </c>
      <c r="F23" s="98" t="s">
        <v>416</v>
      </c>
      <c r="G23" s="71"/>
      <c r="H23" s="38">
        <v>44844</v>
      </c>
      <c r="I23" s="38">
        <v>44846</v>
      </c>
      <c r="J23" s="38">
        <v>44846</v>
      </c>
      <c r="K23" s="160" t="s">
        <v>458</v>
      </c>
      <c r="L23" s="39" t="s">
        <v>459</v>
      </c>
      <c r="M23" s="161"/>
      <c r="N23" s="40">
        <v>1646</v>
      </c>
      <c r="O23" s="41">
        <v>2822</v>
      </c>
      <c r="P23" s="41">
        <f>Tabla156[[#This Row],[PRECIO CLIENTE]]-Tabla156[[#This Row],[CANTIDAD PUBLICA]]</f>
        <v>1176</v>
      </c>
      <c r="Q23" s="10">
        <f>Tabla156[[#This Row],[COMISION AGENCIA]]*0.05</f>
        <v>58.800000000000004</v>
      </c>
      <c r="R23" s="36" t="s">
        <v>433</v>
      </c>
    </row>
    <row r="24" spans="1:39" ht="15.75" x14ac:dyDescent="0.25">
      <c r="A24" s="55">
        <f>Tabla156[[#This Row],[FECHA IN]]-15</f>
        <v>44845</v>
      </c>
      <c r="B24" s="29"/>
      <c r="C24" s="32" t="s">
        <v>460</v>
      </c>
      <c r="D24" s="27">
        <v>44829</v>
      </c>
      <c r="E24" s="69" t="s">
        <v>420</v>
      </c>
      <c r="F24" s="70" t="s">
        <v>26</v>
      </c>
      <c r="G24" s="7">
        <v>21690</v>
      </c>
      <c r="H24" s="6">
        <v>44822</v>
      </c>
      <c r="I24" s="6">
        <v>44860</v>
      </c>
      <c r="J24" s="6">
        <v>44864</v>
      </c>
      <c r="K24" s="24" t="s">
        <v>461</v>
      </c>
      <c r="L24" s="30" t="s">
        <v>462</v>
      </c>
      <c r="M24" s="60"/>
      <c r="N24" s="8">
        <v>27124.15</v>
      </c>
      <c r="O24" s="9">
        <v>23600</v>
      </c>
      <c r="P24" s="9">
        <f>Tabla156[[#This Row],[CANTIDAD PUBLICA]]*0.05</f>
        <v>1356.2075000000002</v>
      </c>
      <c r="Q24" s="10">
        <f>Tabla156[[#This Row],[COMISION AGENCIA]]*0.05</f>
        <v>67.810375000000008</v>
      </c>
      <c r="R24" s="36" t="s">
        <v>433</v>
      </c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</row>
    <row r="25" spans="1:39" ht="15.75" x14ac:dyDescent="0.25">
      <c r="A25" s="64">
        <f>Tabla156[[#This Row],[FECHA DE VENTA]]</f>
        <v>44846</v>
      </c>
      <c r="B25" s="43"/>
      <c r="C25" s="43"/>
      <c r="D25" s="64"/>
      <c r="E25" s="98" t="s">
        <v>416</v>
      </c>
      <c r="F25" s="98" t="s">
        <v>416</v>
      </c>
      <c r="G25" s="71"/>
      <c r="H25" s="38">
        <v>44846</v>
      </c>
      <c r="I25" s="38">
        <v>44857</v>
      </c>
      <c r="J25" s="38">
        <v>44857</v>
      </c>
      <c r="K25" s="162" t="s">
        <v>463</v>
      </c>
      <c r="L25" s="39" t="s">
        <v>464</v>
      </c>
      <c r="M25" s="161"/>
      <c r="N25" s="40">
        <v>1031</v>
      </c>
      <c r="O25" s="41">
        <v>1350</v>
      </c>
      <c r="P25" s="41">
        <f>Tabla156[[#This Row],[PRECIO CLIENTE]]-Tabla156[[#This Row],[CANTIDAD PUBLICA]]</f>
        <v>319</v>
      </c>
      <c r="Q25" s="10">
        <f>Tabla156[[#This Row],[COMISION AGENCIA]]*0.05</f>
        <v>15.950000000000001</v>
      </c>
      <c r="R25" s="36" t="s">
        <v>433</v>
      </c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</row>
    <row r="26" spans="1:39" ht="15.75" x14ac:dyDescent="0.25">
      <c r="A26" s="64">
        <f>Tabla156[[#This Row],[FECHA DE VENTA]]</f>
        <v>44846</v>
      </c>
      <c r="B26" s="43"/>
      <c r="C26" s="43"/>
      <c r="D26" s="64"/>
      <c r="E26" s="98" t="s">
        <v>416</v>
      </c>
      <c r="F26" s="98" t="s">
        <v>416</v>
      </c>
      <c r="G26" s="71"/>
      <c r="H26" s="38">
        <v>44846</v>
      </c>
      <c r="I26" s="38">
        <v>44853</v>
      </c>
      <c r="J26" s="38">
        <v>44857</v>
      </c>
      <c r="K26" s="160" t="s">
        <v>465</v>
      </c>
      <c r="L26" s="39" t="s">
        <v>466</v>
      </c>
      <c r="M26" s="161"/>
      <c r="N26" s="40">
        <v>4068</v>
      </c>
      <c r="O26" s="41">
        <v>4740</v>
      </c>
      <c r="P26" s="41">
        <f>Tabla156[[#This Row],[PRECIO CLIENTE]]-Tabla156[[#This Row],[CANTIDAD PUBLICA]]</f>
        <v>672</v>
      </c>
      <c r="Q26" s="10">
        <f>Tabla156[[#This Row],[COMISION AGENCIA]]*0.05</f>
        <v>33.6</v>
      </c>
      <c r="R26" s="36" t="s">
        <v>433</v>
      </c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</row>
    <row r="27" spans="1:39" ht="15.75" x14ac:dyDescent="0.25">
      <c r="A27" s="64">
        <f>Tabla156[[#This Row],[FECHA DE VENTA]]</f>
        <v>44847</v>
      </c>
      <c r="B27" s="43"/>
      <c r="C27" s="43"/>
      <c r="D27" s="37"/>
      <c r="E27" s="98" t="s">
        <v>416</v>
      </c>
      <c r="F27" s="98" t="s">
        <v>416</v>
      </c>
      <c r="G27" s="71"/>
      <c r="H27" s="38">
        <v>44847</v>
      </c>
      <c r="I27" s="38">
        <v>44885</v>
      </c>
      <c r="J27" s="38">
        <v>44907</v>
      </c>
      <c r="K27" s="160" t="s">
        <v>467</v>
      </c>
      <c r="L27" s="39" t="s">
        <v>468</v>
      </c>
      <c r="M27" s="61">
        <v>3481210728</v>
      </c>
      <c r="N27" s="40">
        <v>10105</v>
      </c>
      <c r="O27" s="41">
        <v>10475</v>
      </c>
      <c r="P27" s="41">
        <f>Tabla156[[#This Row],[PRECIO CLIENTE]]-Tabla156[[#This Row],[CANTIDAD PUBLICA]]</f>
        <v>370</v>
      </c>
      <c r="Q27" s="10">
        <f>Tabla156[[#This Row],[COMISION AGENCIA]]*0.05</f>
        <v>18.5</v>
      </c>
      <c r="R27" s="36" t="s">
        <v>433</v>
      </c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</row>
    <row r="28" spans="1:39" ht="15.75" x14ac:dyDescent="0.25">
      <c r="A28" s="64">
        <f>Tabla156[[#This Row],[FECHA DE VENTA]]</f>
        <v>44848</v>
      </c>
      <c r="B28" s="43"/>
      <c r="C28" s="43"/>
      <c r="D28" s="37"/>
      <c r="E28" s="98" t="s">
        <v>416</v>
      </c>
      <c r="F28" s="98" t="s">
        <v>416</v>
      </c>
      <c r="G28" s="71"/>
      <c r="H28" s="38">
        <v>44848</v>
      </c>
      <c r="I28" s="38">
        <v>44856</v>
      </c>
      <c r="J28" s="38">
        <v>44905</v>
      </c>
      <c r="K28" s="97" t="s">
        <v>469</v>
      </c>
      <c r="L28" s="39" t="s">
        <v>470</v>
      </c>
      <c r="M28" s="61"/>
      <c r="N28" s="40">
        <v>27470</v>
      </c>
      <c r="O28" s="41">
        <v>27720</v>
      </c>
      <c r="P28" s="41">
        <f>Tabla156[[#This Row],[PRECIO CLIENTE]]-Tabla156[[#This Row],[CANTIDAD PUBLICA]]</f>
        <v>250</v>
      </c>
      <c r="Q28" s="10">
        <f>Tabla156[[#This Row],[COMISION AGENCIA]]*0.05</f>
        <v>12.5</v>
      </c>
      <c r="R28" s="36" t="s">
        <v>433</v>
      </c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</row>
    <row r="29" spans="1:39" ht="15.75" x14ac:dyDescent="0.25">
      <c r="A29" s="64">
        <f>Tabla156[[#This Row],[FECHA DE VENTA]]</f>
        <v>44848</v>
      </c>
      <c r="B29" s="43"/>
      <c r="C29" s="43"/>
      <c r="D29" s="37"/>
      <c r="E29" s="98" t="s">
        <v>416</v>
      </c>
      <c r="F29" s="98" t="s">
        <v>416</v>
      </c>
      <c r="G29" s="71"/>
      <c r="H29" s="38">
        <v>44848</v>
      </c>
      <c r="I29" s="38">
        <v>44911</v>
      </c>
      <c r="J29" s="38">
        <v>44927</v>
      </c>
      <c r="K29" s="160" t="s">
        <v>471</v>
      </c>
      <c r="L29" s="39" t="s">
        <v>435</v>
      </c>
      <c r="M29" s="61"/>
      <c r="N29" s="40">
        <v>24464</v>
      </c>
      <c r="O29" s="41">
        <v>25050</v>
      </c>
      <c r="P29" s="41">
        <f>Tabla156[[#This Row],[PRECIO CLIENTE]]-Tabla156[[#This Row],[CANTIDAD PUBLICA]]</f>
        <v>586</v>
      </c>
      <c r="Q29" s="10">
        <f>Tabla156[[#This Row],[COMISION AGENCIA]]*0.05</f>
        <v>29.3</v>
      </c>
      <c r="R29" s="36" t="s">
        <v>433</v>
      </c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</row>
    <row r="30" spans="1:39" ht="15.75" x14ac:dyDescent="0.25">
      <c r="A30" s="64">
        <f>Tabla156[[#This Row],[FECHA DE VENTA]]</f>
        <v>44848</v>
      </c>
      <c r="B30" s="43"/>
      <c r="C30" s="43"/>
      <c r="D30" s="37"/>
      <c r="E30" s="98" t="s">
        <v>416</v>
      </c>
      <c r="F30" s="98" t="s">
        <v>416</v>
      </c>
      <c r="G30" s="71"/>
      <c r="H30" s="38">
        <v>44848</v>
      </c>
      <c r="I30" s="38">
        <v>44877</v>
      </c>
      <c r="J30" s="38">
        <v>44892</v>
      </c>
      <c r="K30" s="163" t="s">
        <v>472</v>
      </c>
      <c r="L30" s="39" t="s">
        <v>470</v>
      </c>
      <c r="M30" s="61"/>
      <c r="N30" s="40">
        <v>18878</v>
      </c>
      <c r="O30" s="41">
        <v>19030</v>
      </c>
      <c r="P30" s="41">
        <f>Tabla156[[#This Row],[PRECIO CLIENTE]]-Tabla156[[#This Row],[CANTIDAD PUBLICA]]</f>
        <v>152</v>
      </c>
      <c r="Q30" s="10">
        <f>Tabla156[[#This Row],[COMISION AGENCIA]]*0.05</f>
        <v>7.6000000000000005</v>
      </c>
      <c r="R30" s="36" t="s">
        <v>433</v>
      </c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</row>
    <row r="31" spans="1:39" ht="15.75" x14ac:dyDescent="0.25">
      <c r="A31" s="55">
        <f>Tabla156[[#This Row],[FECHA IN]]-15</f>
        <v>44853</v>
      </c>
      <c r="B31" s="29"/>
      <c r="C31" s="32" t="s">
        <v>473</v>
      </c>
      <c r="D31" s="27">
        <v>44848</v>
      </c>
      <c r="E31" s="69" t="s">
        <v>420</v>
      </c>
      <c r="F31" s="70" t="s">
        <v>26</v>
      </c>
      <c r="G31" s="7"/>
      <c r="H31" s="6">
        <v>44844</v>
      </c>
      <c r="I31" s="6">
        <v>44868</v>
      </c>
      <c r="J31" s="164">
        <v>44872</v>
      </c>
      <c r="K31" s="165" t="s">
        <v>474</v>
      </c>
      <c r="L31" s="30" t="s">
        <v>475</v>
      </c>
      <c r="M31" s="157">
        <v>3481115241</v>
      </c>
      <c r="N31" s="8">
        <v>28054.62</v>
      </c>
      <c r="O31" s="9">
        <v>23920</v>
      </c>
      <c r="P31" s="9">
        <f>Tabla156[[#This Row],[CANTIDAD PUBLICA]]*0.05</f>
        <v>1402.731</v>
      </c>
      <c r="Q31" s="10">
        <f>Tabla156[[#This Row],[COMISION AGENCIA]]*0.05</f>
        <v>70.13655</v>
      </c>
      <c r="R31" s="36" t="s">
        <v>433</v>
      </c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</row>
    <row r="32" spans="1:39" ht="15.75" x14ac:dyDescent="0.25">
      <c r="A32" s="64">
        <f>Tabla156[[#This Row],[FECHA DE VENTA]]</f>
        <v>44855</v>
      </c>
      <c r="B32" s="43"/>
      <c r="C32" s="43"/>
      <c r="D32" s="37"/>
      <c r="E32" s="98" t="s">
        <v>416</v>
      </c>
      <c r="F32" s="98" t="s">
        <v>416</v>
      </c>
      <c r="G32" s="71"/>
      <c r="H32" s="38">
        <v>44855</v>
      </c>
      <c r="I32" s="38">
        <v>44863</v>
      </c>
      <c r="J32" s="38">
        <v>44863</v>
      </c>
      <c r="K32" s="160" t="s">
        <v>476</v>
      </c>
      <c r="L32" s="39" t="s">
        <v>477</v>
      </c>
      <c r="M32" s="61"/>
      <c r="N32" s="40">
        <v>3875</v>
      </c>
      <c r="O32" s="41">
        <v>4325</v>
      </c>
      <c r="P32" s="41">
        <f>Tabla156[[#This Row],[PRECIO CLIENTE]]-Tabla156[[#This Row],[CANTIDAD PUBLICA]]</f>
        <v>450</v>
      </c>
      <c r="Q32" s="10">
        <f>Tabla156[[#This Row],[COMISION AGENCIA]]*0.05</f>
        <v>22.5</v>
      </c>
      <c r="R32" s="36" t="s">
        <v>433</v>
      </c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</row>
    <row r="33" spans="1:39" ht="15.75" x14ac:dyDescent="0.25">
      <c r="A33" s="64">
        <f>Tabla156[[#This Row],[FECHA DE VENTA]]</f>
        <v>44859</v>
      </c>
      <c r="B33" s="43"/>
      <c r="C33" s="43"/>
      <c r="D33" s="37"/>
      <c r="E33" s="98" t="s">
        <v>416</v>
      </c>
      <c r="F33" s="98" t="s">
        <v>416</v>
      </c>
      <c r="G33" s="71"/>
      <c r="H33" s="38">
        <v>44859</v>
      </c>
      <c r="I33" s="38">
        <v>44911</v>
      </c>
      <c r="J33" s="38">
        <v>44937</v>
      </c>
      <c r="K33" s="160" t="s">
        <v>478</v>
      </c>
      <c r="L33" s="39" t="s">
        <v>479</v>
      </c>
      <c r="M33" s="61"/>
      <c r="N33" s="40">
        <v>19685</v>
      </c>
      <c r="O33" s="41">
        <v>21450</v>
      </c>
      <c r="P33" s="41">
        <f>Tabla156[[#This Row],[PRECIO CLIENTE]]-Tabla156[[#This Row],[CANTIDAD PUBLICA]]</f>
        <v>1765</v>
      </c>
      <c r="Q33" s="10">
        <f>Tabla156[[#This Row],[COMISION AGENCIA]]*0.05</f>
        <v>88.25</v>
      </c>
      <c r="R33" s="36" t="s">
        <v>433</v>
      </c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</row>
    <row r="34" spans="1:39" ht="15.75" x14ac:dyDescent="0.25">
      <c r="A34" s="64">
        <f>Tabla156[[#This Row],[FECHA DE VENTA]]</f>
        <v>44865</v>
      </c>
      <c r="B34" s="43"/>
      <c r="C34" s="43"/>
      <c r="D34" s="37"/>
      <c r="E34" s="98" t="s">
        <v>416</v>
      </c>
      <c r="F34" s="98" t="s">
        <v>416</v>
      </c>
      <c r="G34" s="71"/>
      <c r="H34" s="38">
        <v>44865</v>
      </c>
      <c r="I34" s="38">
        <v>44921</v>
      </c>
      <c r="J34" s="38">
        <v>44921</v>
      </c>
      <c r="K34" s="160" t="s">
        <v>480</v>
      </c>
      <c r="L34" s="39" t="s">
        <v>481</v>
      </c>
      <c r="M34" s="61"/>
      <c r="N34" s="40">
        <v>6920</v>
      </c>
      <c r="O34" s="41">
        <v>7525</v>
      </c>
      <c r="P34" s="41">
        <f>Tabla156[[#This Row],[PRECIO CLIENTE]]-Tabla156[[#This Row],[CANTIDAD PUBLICA]]</f>
        <v>605</v>
      </c>
      <c r="Q34" s="10">
        <f>Tabla156[[#This Row],[COMISION AGENCIA]]*0.05</f>
        <v>30.25</v>
      </c>
      <c r="R34" s="36" t="s">
        <v>433</v>
      </c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</row>
    <row r="35" spans="1:39" ht="15.75" x14ac:dyDescent="0.25">
      <c r="A35" s="104"/>
      <c r="B35" s="105"/>
      <c r="C35" s="105"/>
      <c r="D35" s="104"/>
      <c r="E35" s="106"/>
      <c r="F35" s="106"/>
      <c r="G35" s="107"/>
      <c r="H35" s="108"/>
      <c r="I35" s="108"/>
      <c r="J35" s="166"/>
      <c r="K35" s="110"/>
      <c r="L35" s="110"/>
      <c r="M35" s="111"/>
      <c r="N35" s="109"/>
      <c r="O35" s="112"/>
      <c r="P35" s="127">
        <v>44914</v>
      </c>
      <c r="Q35" s="113">
        <f>SUM(Q11:Q34)</f>
        <v>1007.438175</v>
      </c>
      <c r="R35" s="127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</row>
    <row r="36" spans="1:39" ht="15.75" x14ac:dyDescent="0.25">
      <c r="A36" s="64">
        <f>Tabla156[[#This Row],[FECHA DE VENTA]]</f>
        <v>44866</v>
      </c>
      <c r="B36" s="43"/>
      <c r="C36" s="43"/>
      <c r="D36" s="64"/>
      <c r="E36" s="98" t="s">
        <v>416</v>
      </c>
      <c r="F36" s="98" t="s">
        <v>416</v>
      </c>
      <c r="G36" s="71"/>
      <c r="H36" s="38">
        <v>44866</v>
      </c>
      <c r="I36" s="38">
        <v>44881</v>
      </c>
      <c r="J36" s="167">
        <v>44888</v>
      </c>
      <c r="K36" s="39" t="s">
        <v>482</v>
      </c>
      <c r="L36" s="39" t="s">
        <v>483</v>
      </c>
      <c r="M36" s="61"/>
      <c r="N36" s="40">
        <v>6268</v>
      </c>
      <c r="O36" s="41">
        <v>6715</v>
      </c>
      <c r="P36" s="41">
        <f>Tabla156[[#This Row],[PRECIO CLIENTE]]-Tabla156[[#This Row],[CANTIDAD PUBLICA]]</f>
        <v>447</v>
      </c>
      <c r="Q36" s="10">
        <f>Tabla156[[#This Row],[COMISION AGENCIA]]*0.05</f>
        <v>22.35</v>
      </c>
      <c r="R36" s="36" t="s">
        <v>433</v>
      </c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</row>
    <row r="37" spans="1:39" ht="15.75" x14ac:dyDescent="0.25">
      <c r="A37" s="55">
        <f>Tabla156[[#This Row],[FECHA IN]]-15</f>
        <v>44866</v>
      </c>
      <c r="B37" s="29"/>
      <c r="C37" s="32" t="s">
        <v>484</v>
      </c>
      <c r="D37" s="27">
        <v>44875</v>
      </c>
      <c r="E37" s="69" t="s">
        <v>420</v>
      </c>
      <c r="F37" s="70" t="s">
        <v>26</v>
      </c>
      <c r="G37" s="7"/>
      <c r="H37" s="6">
        <v>44875</v>
      </c>
      <c r="I37" s="6">
        <v>44881</v>
      </c>
      <c r="J37" s="6">
        <v>44885</v>
      </c>
      <c r="K37" s="24" t="s">
        <v>485</v>
      </c>
      <c r="L37" s="30" t="s">
        <v>451</v>
      </c>
      <c r="M37" s="60"/>
      <c r="N37" s="8">
        <v>30229.7</v>
      </c>
      <c r="O37" s="9">
        <v>26300</v>
      </c>
      <c r="P37" s="9">
        <f>Tabla156[[#This Row],[CANTIDAD PUBLICA]]*0.05</f>
        <v>1511.4850000000001</v>
      </c>
      <c r="Q37" s="10">
        <f>Tabla156[[#This Row],[COMISION AGENCIA]]*0.05</f>
        <v>75.574250000000006</v>
      </c>
      <c r="R37" s="36" t="s">
        <v>433</v>
      </c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</row>
    <row r="38" spans="1:39" ht="15.75" x14ac:dyDescent="0.25">
      <c r="A38" s="64">
        <f>Tabla156[[#This Row],[FECHA DE VENTA]]</f>
        <v>44868</v>
      </c>
      <c r="B38" s="43"/>
      <c r="C38" s="43"/>
      <c r="D38" s="64"/>
      <c r="E38" s="98" t="s">
        <v>416</v>
      </c>
      <c r="F38" s="98" t="s">
        <v>416</v>
      </c>
      <c r="G38" s="71"/>
      <c r="H38" s="38">
        <v>44868</v>
      </c>
      <c r="I38" s="38">
        <v>44905</v>
      </c>
      <c r="J38" s="167">
        <v>44905</v>
      </c>
      <c r="K38" s="39" t="s">
        <v>486</v>
      </c>
      <c r="L38" s="39" t="s">
        <v>487</v>
      </c>
      <c r="M38" s="61"/>
      <c r="N38" s="40">
        <v>3010</v>
      </c>
      <c r="O38" s="41">
        <v>3700</v>
      </c>
      <c r="P38" s="41">
        <f>Tabla156[[#This Row],[PRECIO CLIENTE]]-Tabla156[[#This Row],[CANTIDAD PUBLICA]]</f>
        <v>690</v>
      </c>
      <c r="Q38" s="10">
        <f>Tabla156[[#This Row],[COMISION AGENCIA]]*0.05</f>
        <v>34.5</v>
      </c>
      <c r="R38" s="36" t="s">
        <v>433</v>
      </c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</row>
    <row r="39" spans="1:39" ht="15.75" x14ac:dyDescent="0.25">
      <c r="A39" s="64">
        <f>Tabla156[[#This Row],[FECHA DE VENTA]]</f>
        <v>44869</v>
      </c>
      <c r="B39" s="43"/>
      <c r="C39" s="43"/>
      <c r="D39" s="64"/>
      <c r="E39" s="98" t="s">
        <v>416</v>
      </c>
      <c r="F39" s="98" t="s">
        <v>416</v>
      </c>
      <c r="G39" s="71"/>
      <c r="H39" s="38">
        <v>44869</v>
      </c>
      <c r="I39" s="38">
        <v>44958</v>
      </c>
      <c r="J39" s="38">
        <v>44958</v>
      </c>
      <c r="K39" s="39" t="s">
        <v>488</v>
      </c>
      <c r="L39" s="39" t="s">
        <v>483</v>
      </c>
      <c r="M39" s="61"/>
      <c r="N39" s="40">
        <v>3123</v>
      </c>
      <c r="O39" s="41">
        <v>3395</v>
      </c>
      <c r="P39" s="41">
        <f>Tabla156[[#This Row],[PRECIO CLIENTE]]-Tabla156[[#This Row],[CANTIDAD PUBLICA]]</f>
        <v>272</v>
      </c>
      <c r="Q39" s="10">
        <f>Tabla156[[#This Row],[COMISION AGENCIA]]*0.05</f>
        <v>13.600000000000001</v>
      </c>
      <c r="R39" s="36" t="s">
        <v>433</v>
      </c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</row>
    <row r="40" spans="1:39" ht="15.75" x14ac:dyDescent="0.25">
      <c r="A40" s="64">
        <f>Tabla156[[#This Row],[FECHA DE VENTA]]</f>
        <v>44869</v>
      </c>
      <c r="B40" s="43"/>
      <c r="C40" s="43"/>
      <c r="D40" s="64"/>
      <c r="E40" s="98" t="s">
        <v>416</v>
      </c>
      <c r="F40" s="98" t="s">
        <v>416</v>
      </c>
      <c r="G40" s="71"/>
      <c r="H40" s="38">
        <v>44869</v>
      </c>
      <c r="I40" s="38">
        <v>44870</v>
      </c>
      <c r="J40" s="38">
        <v>44887</v>
      </c>
      <c r="K40" s="39" t="s">
        <v>489</v>
      </c>
      <c r="L40" s="39" t="s">
        <v>490</v>
      </c>
      <c r="M40" s="61"/>
      <c r="N40" s="40">
        <v>4180</v>
      </c>
      <c r="O40" s="41">
        <v>4330</v>
      </c>
      <c r="P40" s="41">
        <f>Tabla156[[#This Row],[PRECIO CLIENTE]]-Tabla156[[#This Row],[CANTIDAD PUBLICA]]</f>
        <v>150</v>
      </c>
      <c r="Q40" s="10">
        <f>Tabla156[[#This Row],[COMISION AGENCIA]]*0.05</f>
        <v>7.5</v>
      </c>
      <c r="R40" s="36" t="s">
        <v>433</v>
      </c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</row>
    <row r="41" spans="1:39" ht="15.75" x14ac:dyDescent="0.25">
      <c r="A41" s="64">
        <f>Tabla156[[#This Row],[FECHA DE VENTA]]</f>
        <v>44873</v>
      </c>
      <c r="B41" s="43"/>
      <c r="C41" s="43"/>
      <c r="D41" s="64"/>
      <c r="E41" s="98" t="s">
        <v>416</v>
      </c>
      <c r="F41" s="98" t="s">
        <v>416</v>
      </c>
      <c r="G41" s="71"/>
      <c r="H41" s="38">
        <v>44873</v>
      </c>
      <c r="I41" s="38">
        <v>44904</v>
      </c>
      <c r="J41" s="38">
        <v>44920</v>
      </c>
      <c r="K41" s="39" t="s">
        <v>491</v>
      </c>
      <c r="L41" s="39" t="s">
        <v>483</v>
      </c>
      <c r="M41" s="61"/>
      <c r="N41" s="40">
        <v>6694</v>
      </c>
      <c r="O41" s="41">
        <v>6995</v>
      </c>
      <c r="P41" s="41">
        <f>Tabla156[[#This Row],[PRECIO CLIENTE]]-Tabla156[[#This Row],[CANTIDAD PUBLICA]]</f>
        <v>301</v>
      </c>
      <c r="Q41" s="10">
        <f>Tabla156[[#This Row],[COMISION AGENCIA]]*0.05</f>
        <v>15.05</v>
      </c>
      <c r="R41" s="36" t="s">
        <v>433</v>
      </c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</row>
    <row r="42" spans="1:39" ht="15.75" x14ac:dyDescent="0.25">
      <c r="A42" s="64">
        <f>Tabla156[[#This Row],[FECHA DE VENTA]]</f>
        <v>44873</v>
      </c>
      <c r="B42" s="43"/>
      <c r="C42" s="43"/>
      <c r="D42" s="64"/>
      <c r="E42" s="98" t="s">
        <v>416</v>
      </c>
      <c r="F42" s="98" t="s">
        <v>416</v>
      </c>
      <c r="G42" s="71"/>
      <c r="H42" s="38">
        <v>44873</v>
      </c>
      <c r="I42" s="38">
        <v>44904</v>
      </c>
      <c r="J42" s="38">
        <v>44932</v>
      </c>
      <c r="K42" s="39" t="s">
        <v>492</v>
      </c>
      <c r="L42" s="39" t="s">
        <v>483</v>
      </c>
      <c r="M42" s="61"/>
      <c r="N42" s="40">
        <v>21165</v>
      </c>
      <c r="O42" s="41">
        <v>22675</v>
      </c>
      <c r="P42" s="41">
        <f>Tabla156[[#This Row],[PRECIO CLIENTE]]-Tabla156[[#This Row],[CANTIDAD PUBLICA]]</f>
        <v>1510</v>
      </c>
      <c r="Q42" s="10">
        <f>Tabla156[[#This Row],[COMISION AGENCIA]]*0.05</f>
        <v>75.5</v>
      </c>
      <c r="R42" s="36" t="s">
        <v>433</v>
      </c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</row>
    <row r="43" spans="1:39" ht="15.75" x14ac:dyDescent="0.25">
      <c r="A43" s="55">
        <f>Tabla156[[#This Row],[FECHA IN]]-15</f>
        <v>44874</v>
      </c>
      <c r="B43" s="29"/>
      <c r="C43" s="32" t="s">
        <v>493</v>
      </c>
      <c r="D43" s="27">
        <v>44871</v>
      </c>
      <c r="E43" s="69" t="s">
        <v>420</v>
      </c>
      <c r="F43" s="70" t="s">
        <v>26</v>
      </c>
      <c r="G43" s="7"/>
      <c r="H43" s="6">
        <v>44833</v>
      </c>
      <c r="I43" s="6">
        <v>44889</v>
      </c>
      <c r="J43" s="6">
        <v>44891</v>
      </c>
      <c r="K43" s="24" t="s">
        <v>494</v>
      </c>
      <c r="L43" s="30" t="s">
        <v>495</v>
      </c>
      <c r="M43" s="60"/>
      <c r="N43" s="8">
        <v>13461.19</v>
      </c>
      <c r="O43" s="9">
        <v>11715</v>
      </c>
      <c r="P43" s="9">
        <f>Tabla156[[#This Row],[CANTIDAD PUBLICA]]*0.05</f>
        <v>673.05950000000007</v>
      </c>
      <c r="Q43" s="10">
        <f>Tabla156[[#This Row],[COMISION AGENCIA]]*0.05</f>
        <v>33.652975000000005</v>
      </c>
      <c r="R43" s="36" t="s">
        <v>433</v>
      </c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</row>
    <row r="44" spans="1:39" s="33" customFormat="1" ht="15.75" x14ac:dyDescent="0.25">
      <c r="A44" s="64">
        <f>Tabla156[[#This Row],[FECHA DE VENTA]]</f>
        <v>44874</v>
      </c>
      <c r="B44" s="43"/>
      <c r="C44" s="43"/>
      <c r="D44" s="64"/>
      <c r="E44" s="98" t="s">
        <v>416</v>
      </c>
      <c r="F44" s="98" t="s">
        <v>416</v>
      </c>
      <c r="G44" s="71"/>
      <c r="H44" s="38">
        <v>44874</v>
      </c>
      <c r="I44" s="38">
        <v>44876</v>
      </c>
      <c r="J44" s="38">
        <v>44876</v>
      </c>
      <c r="K44" s="39" t="s">
        <v>496</v>
      </c>
      <c r="L44" s="39" t="s">
        <v>466</v>
      </c>
      <c r="M44" s="61"/>
      <c r="N44" s="40">
        <v>1345</v>
      </c>
      <c r="O44" s="41">
        <v>1680</v>
      </c>
      <c r="P44" s="41">
        <f>Tabla156[[#This Row],[PRECIO CLIENTE]]-Tabla156[[#This Row],[CANTIDAD PUBLICA]]</f>
        <v>335</v>
      </c>
      <c r="Q44" s="10">
        <f>Tabla156[[#This Row],[COMISION AGENCIA]]*0.05</f>
        <v>16.75</v>
      </c>
      <c r="R44" s="36" t="s">
        <v>433</v>
      </c>
    </row>
    <row r="45" spans="1:39" ht="15.75" x14ac:dyDescent="0.25">
      <c r="A45" s="64">
        <f>Tabla156[[#This Row],[FECHA DE VENTA]]</f>
        <v>44879</v>
      </c>
      <c r="B45" s="43"/>
      <c r="C45" s="43"/>
      <c r="D45" s="64"/>
      <c r="E45" s="98" t="s">
        <v>416</v>
      </c>
      <c r="F45" s="98" t="s">
        <v>416</v>
      </c>
      <c r="G45" s="71"/>
      <c r="H45" s="38">
        <v>44879</v>
      </c>
      <c r="I45" s="38">
        <v>44899</v>
      </c>
      <c r="J45" s="38">
        <v>44941</v>
      </c>
      <c r="K45" s="39" t="s">
        <v>497</v>
      </c>
      <c r="L45" s="39" t="s">
        <v>466</v>
      </c>
      <c r="M45" s="61"/>
      <c r="N45" s="40">
        <v>2829</v>
      </c>
      <c r="O45" s="41">
        <v>3200</v>
      </c>
      <c r="P45" s="41">
        <f>Tabla156[[#This Row],[PRECIO CLIENTE]]-Tabla156[[#This Row],[CANTIDAD PUBLICA]]</f>
        <v>371</v>
      </c>
      <c r="Q45" s="10">
        <f>Tabla156[[#This Row],[COMISION AGENCIA]]*0.05</f>
        <v>18.55</v>
      </c>
      <c r="R45" s="36" t="s">
        <v>433</v>
      </c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</row>
    <row r="46" spans="1:39" ht="15.75" x14ac:dyDescent="0.25">
      <c r="A46" s="64">
        <f>Tabla156[[#This Row],[FECHA DE VENTA]]</f>
        <v>44879</v>
      </c>
      <c r="B46" s="43"/>
      <c r="C46" s="43" t="s">
        <v>498</v>
      </c>
      <c r="D46" s="64"/>
      <c r="E46" s="98" t="s">
        <v>416</v>
      </c>
      <c r="F46" s="98" t="s">
        <v>416</v>
      </c>
      <c r="G46" s="71"/>
      <c r="H46" s="38">
        <v>44879</v>
      </c>
      <c r="I46" s="38">
        <v>44903</v>
      </c>
      <c r="J46" s="38">
        <v>44903</v>
      </c>
      <c r="K46" s="39" t="s">
        <v>499</v>
      </c>
      <c r="L46" s="39" t="s">
        <v>500</v>
      </c>
      <c r="M46" s="61">
        <v>3481810892</v>
      </c>
      <c r="N46" s="40">
        <v>3350</v>
      </c>
      <c r="O46" s="41">
        <v>3500</v>
      </c>
      <c r="P46" s="41">
        <f>Tabla156[[#This Row],[PRECIO CLIENTE]]-Tabla156[[#This Row],[CANTIDAD PUBLICA]]</f>
        <v>150</v>
      </c>
      <c r="Q46" s="10">
        <f>Tabla156[[#This Row],[COMISION AGENCIA]]*0.05</f>
        <v>7.5</v>
      </c>
      <c r="R46" s="36" t="s">
        <v>433</v>
      </c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</row>
    <row r="47" spans="1:39" s="33" customFormat="1" ht="15.75" x14ac:dyDescent="0.25">
      <c r="A47" s="64">
        <f>Tabla156[[#This Row],[FECHA DE VENTA]]</f>
        <v>44883</v>
      </c>
      <c r="B47" s="43"/>
      <c r="C47" s="43"/>
      <c r="D47" s="64"/>
      <c r="E47" s="98" t="s">
        <v>416</v>
      </c>
      <c r="F47" s="98" t="s">
        <v>416</v>
      </c>
      <c r="G47" s="71"/>
      <c r="H47" s="38">
        <v>44883</v>
      </c>
      <c r="I47" s="38">
        <v>45047</v>
      </c>
      <c r="J47" s="38">
        <v>45052</v>
      </c>
      <c r="K47" s="39" t="s">
        <v>501</v>
      </c>
      <c r="L47" s="39" t="s">
        <v>502</v>
      </c>
      <c r="M47" s="61"/>
      <c r="N47" s="40">
        <v>8292</v>
      </c>
      <c r="O47" s="41">
        <v>8900</v>
      </c>
      <c r="P47" s="41">
        <f>Tabla156[[#This Row],[PRECIO CLIENTE]]-Tabla156[[#This Row],[CANTIDAD PUBLICA]]</f>
        <v>608</v>
      </c>
      <c r="Q47" s="10">
        <f>Tabla156[[#This Row],[COMISION AGENCIA]]*0.05</f>
        <v>30.400000000000002</v>
      </c>
      <c r="R47" s="36" t="s">
        <v>433</v>
      </c>
    </row>
    <row r="48" spans="1:39" ht="15.75" x14ac:dyDescent="0.25">
      <c r="A48" s="64">
        <f>Tabla156[[#This Row],[FECHA DE VENTA]]</f>
        <v>44885</v>
      </c>
      <c r="B48" s="43"/>
      <c r="C48" s="43"/>
      <c r="D48" s="64"/>
      <c r="E48" s="98" t="s">
        <v>416</v>
      </c>
      <c r="F48" s="98" t="s">
        <v>416</v>
      </c>
      <c r="G48" s="71">
        <v>22724</v>
      </c>
      <c r="H48" s="38">
        <v>44885</v>
      </c>
      <c r="I48" s="38">
        <v>44900</v>
      </c>
      <c r="J48" s="38">
        <v>44900</v>
      </c>
      <c r="K48" s="39" t="s">
        <v>503</v>
      </c>
      <c r="L48" s="39" t="s">
        <v>446</v>
      </c>
      <c r="M48" s="61"/>
      <c r="N48" s="40">
        <v>8950</v>
      </c>
      <c r="O48" s="41">
        <v>9550</v>
      </c>
      <c r="P48" s="41">
        <f>Tabla156[[#This Row],[PRECIO CLIENTE]]-Tabla156[[#This Row],[CANTIDAD PUBLICA]]</f>
        <v>600</v>
      </c>
      <c r="Q48" s="10">
        <f>Tabla156[[#This Row],[COMISION AGENCIA]]*0.05</f>
        <v>30</v>
      </c>
      <c r="R48" s="36" t="s">
        <v>433</v>
      </c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</row>
    <row r="49" spans="1:39" s="33" customFormat="1" ht="15.75" x14ac:dyDescent="0.25">
      <c r="A49" s="64">
        <f>Tabla156[[#This Row],[FECHA DE VENTA]]</f>
        <v>44888</v>
      </c>
      <c r="B49" s="43"/>
      <c r="C49" s="43"/>
      <c r="D49" s="64"/>
      <c r="E49" s="98" t="s">
        <v>416</v>
      </c>
      <c r="F49" s="98" t="s">
        <v>416</v>
      </c>
      <c r="G49" s="71">
        <v>22775</v>
      </c>
      <c r="H49" s="38">
        <v>44888</v>
      </c>
      <c r="I49" s="38">
        <v>44904</v>
      </c>
      <c r="J49" s="38">
        <v>44917</v>
      </c>
      <c r="K49" s="97" t="s">
        <v>504</v>
      </c>
      <c r="L49" s="39" t="s">
        <v>505</v>
      </c>
      <c r="M49" s="61"/>
      <c r="N49" s="40">
        <v>9920</v>
      </c>
      <c r="O49" s="41">
        <v>11320</v>
      </c>
      <c r="P49" s="41">
        <f>Tabla156[[#This Row],[PRECIO CLIENTE]]-Tabla156[[#This Row],[CANTIDAD PUBLICA]]</f>
        <v>1400</v>
      </c>
      <c r="Q49" s="10">
        <f>Tabla156[[#This Row],[COMISION AGENCIA]]*0.05</f>
        <v>70</v>
      </c>
      <c r="R49" s="36" t="s">
        <v>433</v>
      </c>
    </row>
    <row r="50" spans="1:39" ht="15.75" x14ac:dyDescent="0.25">
      <c r="A50" s="64">
        <f>Tabla156[[#This Row],[FECHA DE VENTA]]</f>
        <v>44892</v>
      </c>
      <c r="B50" s="43"/>
      <c r="C50" s="43"/>
      <c r="D50" s="64"/>
      <c r="E50" s="98" t="s">
        <v>416</v>
      </c>
      <c r="F50" s="98" t="s">
        <v>416</v>
      </c>
      <c r="G50" s="71">
        <v>22803</v>
      </c>
      <c r="H50" s="38">
        <v>44892</v>
      </c>
      <c r="I50" s="38">
        <v>44910</v>
      </c>
      <c r="J50" s="167">
        <v>44917</v>
      </c>
      <c r="K50" s="39" t="s">
        <v>506</v>
      </c>
      <c r="L50" s="39" t="s">
        <v>507</v>
      </c>
      <c r="M50" s="61"/>
      <c r="N50" s="40">
        <v>9903</v>
      </c>
      <c r="O50" s="41">
        <v>10620</v>
      </c>
      <c r="P50" s="41">
        <f>Tabla156[[#This Row],[PRECIO CLIENTE]]-Tabla156[[#This Row],[CANTIDAD PUBLICA]]</f>
        <v>717</v>
      </c>
      <c r="Q50" s="10">
        <f>Tabla156[[#This Row],[COMISION AGENCIA]]*0.05</f>
        <v>35.85</v>
      </c>
      <c r="R50" s="36" t="s">
        <v>433</v>
      </c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</row>
    <row r="51" spans="1:39" ht="15.75" x14ac:dyDescent="0.25">
      <c r="A51" s="64">
        <f>Tabla156[[#This Row],[FECHA DE VENTA]]</f>
        <v>44892</v>
      </c>
      <c r="B51" s="43"/>
      <c r="C51" s="43"/>
      <c r="D51" s="64"/>
      <c r="E51" s="98" t="s">
        <v>416</v>
      </c>
      <c r="F51" s="98" t="s">
        <v>416</v>
      </c>
      <c r="G51" s="71">
        <v>22803</v>
      </c>
      <c r="H51" s="38">
        <v>44892</v>
      </c>
      <c r="I51" s="38">
        <v>44910</v>
      </c>
      <c r="J51" s="167">
        <v>44917</v>
      </c>
      <c r="K51" s="39" t="s">
        <v>508</v>
      </c>
      <c r="L51" s="39" t="s">
        <v>507</v>
      </c>
      <c r="M51" s="61"/>
      <c r="N51" s="40">
        <v>3301</v>
      </c>
      <c r="O51" s="41">
        <v>3690</v>
      </c>
      <c r="P51" s="41">
        <f>Tabla156[[#This Row],[PRECIO CLIENTE]]-Tabla156[[#This Row],[CANTIDAD PUBLICA]]</f>
        <v>389</v>
      </c>
      <c r="Q51" s="10">
        <f>Tabla156[[#This Row],[COMISION AGENCIA]]*0.05</f>
        <v>19.450000000000003</v>
      </c>
      <c r="R51" s="36" t="s">
        <v>433</v>
      </c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</row>
    <row r="52" spans="1:39" ht="15.75" x14ac:dyDescent="0.25">
      <c r="A52" s="64">
        <f>Tabla156[[#This Row],[FECHA DE VENTA]]</f>
        <v>44893</v>
      </c>
      <c r="B52" s="43"/>
      <c r="C52" s="43"/>
      <c r="D52" s="64"/>
      <c r="E52" s="98" t="s">
        <v>416</v>
      </c>
      <c r="F52" s="98" t="s">
        <v>416</v>
      </c>
      <c r="G52" s="71">
        <v>22810</v>
      </c>
      <c r="H52" s="38">
        <v>44893</v>
      </c>
      <c r="I52" s="38">
        <v>44924</v>
      </c>
      <c r="J52" s="38">
        <v>44924</v>
      </c>
      <c r="K52" s="39" t="s">
        <v>509</v>
      </c>
      <c r="L52" s="39" t="s">
        <v>507</v>
      </c>
      <c r="M52" s="61"/>
      <c r="N52" s="40">
        <v>3921</v>
      </c>
      <c r="O52" s="41">
        <v>4920</v>
      </c>
      <c r="P52" s="41">
        <f>Tabla156[[#This Row],[PRECIO CLIENTE]]-Tabla156[[#This Row],[CANTIDAD PUBLICA]]</f>
        <v>999</v>
      </c>
      <c r="Q52" s="10">
        <f>Tabla156[[#This Row],[COMISION AGENCIA]]*0.05</f>
        <v>49.95</v>
      </c>
      <c r="R52" s="36" t="s">
        <v>433</v>
      </c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</row>
    <row r="53" spans="1:39" ht="15.75" x14ac:dyDescent="0.25">
      <c r="A53" s="64">
        <f>Tabla156[[#This Row],[FECHA DE VENTA]]</f>
        <v>44893</v>
      </c>
      <c r="B53" s="43"/>
      <c r="C53" s="43"/>
      <c r="D53" s="64"/>
      <c r="E53" s="98" t="s">
        <v>416</v>
      </c>
      <c r="F53" s="98" t="s">
        <v>416</v>
      </c>
      <c r="G53" s="71">
        <v>22808</v>
      </c>
      <c r="H53" s="38">
        <v>44893</v>
      </c>
      <c r="I53" s="38">
        <v>44898</v>
      </c>
      <c r="J53" s="38">
        <v>44899</v>
      </c>
      <c r="K53" s="39" t="s">
        <v>510</v>
      </c>
      <c r="L53" s="39" t="s">
        <v>507</v>
      </c>
      <c r="M53" s="61"/>
      <c r="N53" s="40">
        <v>2966</v>
      </c>
      <c r="O53" s="41">
        <v>3580</v>
      </c>
      <c r="P53" s="41">
        <f>Tabla156[[#This Row],[PRECIO CLIENTE]]-Tabla156[[#This Row],[CANTIDAD PUBLICA]]</f>
        <v>614</v>
      </c>
      <c r="Q53" s="10">
        <f>Tabla156[[#This Row],[COMISION AGENCIA]]*0.05</f>
        <v>30.700000000000003</v>
      </c>
      <c r="R53" s="36" t="s">
        <v>433</v>
      </c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</row>
    <row r="54" spans="1:39" ht="15.75" x14ac:dyDescent="0.25">
      <c r="A54" s="64">
        <f>Tabla156[[#This Row],[FECHA DE VENTA]]</f>
        <v>44893</v>
      </c>
      <c r="B54" s="43"/>
      <c r="C54" s="43"/>
      <c r="D54" s="64"/>
      <c r="E54" s="98" t="s">
        <v>416</v>
      </c>
      <c r="F54" s="98" t="s">
        <v>416</v>
      </c>
      <c r="G54" s="71">
        <v>22801</v>
      </c>
      <c r="H54" s="38">
        <v>44893</v>
      </c>
      <c r="I54" s="38">
        <v>44925</v>
      </c>
      <c r="J54" s="38">
        <v>44947</v>
      </c>
      <c r="K54" s="39" t="s">
        <v>511</v>
      </c>
      <c r="L54" s="39" t="s">
        <v>464</v>
      </c>
      <c r="M54" s="61"/>
      <c r="N54" s="40">
        <v>11226</v>
      </c>
      <c r="O54" s="41">
        <v>12700</v>
      </c>
      <c r="P54" s="41">
        <f>Tabla156[[#This Row],[PRECIO CLIENTE]]-Tabla156[[#This Row],[CANTIDAD PUBLICA]]</f>
        <v>1474</v>
      </c>
      <c r="Q54" s="10">
        <f>Tabla156[[#This Row],[COMISION AGENCIA]]*0.05</f>
        <v>73.7</v>
      </c>
      <c r="R54" s="36" t="s">
        <v>433</v>
      </c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</row>
    <row r="55" spans="1:39" ht="15.75" x14ac:dyDescent="0.25">
      <c r="A55" s="64">
        <f>Tabla156[[#This Row],[FECHA DE VENTA]]</f>
        <v>44895</v>
      </c>
      <c r="B55" s="43"/>
      <c r="C55" s="43"/>
      <c r="D55" s="64"/>
      <c r="E55" s="98" t="s">
        <v>416</v>
      </c>
      <c r="F55" s="98" t="s">
        <v>416</v>
      </c>
      <c r="G55" s="71">
        <v>22842</v>
      </c>
      <c r="H55" s="38">
        <v>44895</v>
      </c>
      <c r="I55" s="38">
        <v>44929</v>
      </c>
      <c r="J55" s="38">
        <v>44929</v>
      </c>
      <c r="K55" s="39" t="s">
        <v>512</v>
      </c>
      <c r="L55" s="39" t="s">
        <v>502</v>
      </c>
      <c r="M55" s="61">
        <v>8155856129</v>
      </c>
      <c r="N55" s="40">
        <v>33576</v>
      </c>
      <c r="O55" s="41">
        <v>37200</v>
      </c>
      <c r="P55" s="41">
        <f>Tabla156[[#This Row],[PRECIO CLIENTE]]-Tabla156[[#This Row],[CANTIDAD PUBLICA]]</f>
        <v>3624</v>
      </c>
      <c r="Q55" s="10">
        <f>Tabla156[[#This Row],[COMISION AGENCIA]]*0.05</f>
        <v>181.20000000000002</v>
      </c>
      <c r="R55" s="36" t="s">
        <v>433</v>
      </c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</row>
    <row r="56" spans="1:39" ht="15.75" x14ac:dyDescent="0.25">
      <c r="A56" s="64">
        <f>Tabla156[[#This Row],[FECHA DE VENTA]]</f>
        <v>44897</v>
      </c>
      <c r="B56" s="43"/>
      <c r="C56" s="43"/>
      <c r="D56" s="64"/>
      <c r="E56" s="98" t="s">
        <v>416</v>
      </c>
      <c r="F56" s="98" t="s">
        <v>416</v>
      </c>
      <c r="G56" s="71">
        <v>22843</v>
      </c>
      <c r="H56" s="38">
        <v>44897</v>
      </c>
      <c r="I56" s="38">
        <v>44910</v>
      </c>
      <c r="J56" s="38">
        <v>44910</v>
      </c>
      <c r="K56" s="39" t="s">
        <v>513</v>
      </c>
      <c r="L56" s="39" t="s">
        <v>483</v>
      </c>
      <c r="M56" s="61">
        <v>3481951183</v>
      </c>
      <c r="N56" s="40">
        <v>2837</v>
      </c>
      <c r="O56" s="41">
        <v>3160</v>
      </c>
      <c r="P56" s="41">
        <f>Tabla156[[#This Row],[PRECIO CLIENTE]]-Tabla156[[#This Row],[CANTIDAD PUBLICA]]</f>
        <v>323</v>
      </c>
      <c r="Q56" s="10">
        <f>Tabla156[[#This Row],[COMISION AGENCIA]]*0.05</f>
        <v>16.150000000000002</v>
      </c>
      <c r="R56" s="36" t="s">
        <v>433</v>
      </c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</row>
    <row r="57" spans="1:39" ht="15.75" x14ac:dyDescent="0.25">
      <c r="A57" s="64">
        <f>Tabla156[[#This Row],[FECHA DE VENTA]]</f>
        <v>44900</v>
      </c>
      <c r="B57" s="43"/>
      <c r="C57" s="43"/>
      <c r="D57" s="64"/>
      <c r="E57" s="98" t="s">
        <v>416</v>
      </c>
      <c r="F57" s="98" t="s">
        <v>416</v>
      </c>
      <c r="G57" s="71">
        <v>22871</v>
      </c>
      <c r="H57" s="38">
        <v>44900</v>
      </c>
      <c r="I57" s="38">
        <v>44933</v>
      </c>
      <c r="J57" s="167">
        <v>44947</v>
      </c>
      <c r="K57" s="39" t="s">
        <v>514</v>
      </c>
      <c r="L57" s="39" t="s">
        <v>481</v>
      </c>
      <c r="M57" s="61">
        <v>3134565910</v>
      </c>
      <c r="N57" s="40">
        <v>8109</v>
      </c>
      <c r="O57" s="41">
        <v>8620</v>
      </c>
      <c r="P57" s="41">
        <f>Tabla156[[#This Row],[PRECIO CLIENTE]]-Tabla156[[#This Row],[CANTIDAD PUBLICA]]</f>
        <v>511</v>
      </c>
      <c r="Q57" s="10">
        <f>Tabla156[[#This Row],[COMISION AGENCIA]]*0.05</f>
        <v>25.55</v>
      </c>
      <c r="R57" s="36" t="s">
        <v>433</v>
      </c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</row>
    <row r="58" spans="1:39" ht="15.75" x14ac:dyDescent="0.25">
      <c r="A58" s="64">
        <f>Tabla156[[#This Row],[FECHA DE VENTA]]</f>
        <v>44900</v>
      </c>
      <c r="B58" s="43"/>
      <c r="C58" s="43"/>
      <c r="D58" s="64"/>
      <c r="E58" s="98" t="s">
        <v>416</v>
      </c>
      <c r="F58" s="98" t="s">
        <v>416</v>
      </c>
      <c r="G58" s="71">
        <v>22871</v>
      </c>
      <c r="H58" s="38">
        <v>44900</v>
      </c>
      <c r="I58" s="38">
        <v>44933</v>
      </c>
      <c r="J58" s="167">
        <v>44947</v>
      </c>
      <c r="K58" s="39" t="s">
        <v>515</v>
      </c>
      <c r="L58" s="39" t="s">
        <v>481</v>
      </c>
      <c r="M58" s="61">
        <v>3134565910</v>
      </c>
      <c r="N58" s="40">
        <v>8109</v>
      </c>
      <c r="O58" s="41">
        <v>8620</v>
      </c>
      <c r="P58" s="41">
        <f>Tabla156[[#This Row],[PRECIO CLIENTE]]-Tabla156[[#This Row],[CANTIDAD PUBLICA]]</f>
        <v>511</v>
      </c>
      <c r="Q58" s="10">
        <f>Tabla156[[#This Row],[COMISION AGENCIA]]*0.05</f>
        <v>25.55</v>
      </c>
      <c r="R58" s="36" t="s">
        <v>433</v>
      </c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</row>
    <row r="59" spans="1:39" ht="15.75" x14ac:dyDescent="0.25">
      <c r="A59" s="64">
        <f>Tabla156[[#This Row],[FECHA DE VENTA]]</f>
        <v>44900</v>
      </c>
      <c r="B59" s="43"/>
      <c r="C59" s="43"/>
      <c r="D59" s="64"/>
      <c r="E59" s="98" t="s">
        <v>416</v>
      </c>
      <c r="F59" s="98" t="s">
        <v>416</v>
      </c>
      <c r="G59" s="71">
        <v>22871</v>
      </c>
      <c r="H59" s="38">
        <v>44900</v>
      </c>
      <c r="I59" s="38">
        <v>44933</v>
      </c>
      <c r="J59" s="167">
        <v>44947</v>
      </c>
      <c r="K59" s="39" t="s">
        <v>516</v>
      </c>
      <c r="L59" s="39" t="s">
        <v>481</v>
      </c>
      <c r="M59" s="61">
        <v>3134565910</v>
      </c>
      <c r="N59" s="40">
        <v>24327</v>
      </c>
      <c r="O59" s="41">
        <v>25500</v>
      </c>
      <c r="P59" s="41">
        <f>Tabla156[[#This Row],[PRECIO CLIENTE]]-Tabla156[[#This Row],[CANTIDAD PUBLICA]]</f>
        <v>1173</v>
      </c>
      <c r="Q59" s="10">
        <f>Tabla156[[#This Row],[COMISION AGENCIA]]*0.05</f>
        <v>58.650000000000006</v>
      </c>
      <c r="R59" s="36" t="s">
        <v>433</v>
      </c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</row>
    <row r="60" spans="1:39" ht="15.75" x14ac:dyDescent="0.25">
      <c r="A60" s="64">
        <f>Tabla156[[#This Row],[FECHA DE VENTA]]</f>
        <v>44902</v>
      </c>
      <c r="B60" s="43"/>
      <c r="C60" s="43"/>
      <c r="D60" s="64"/>
      <c r="E60" s="98" t="s">
        <v>416</v>
      </c>
      <c r="F60" s="98" t="s">
        <v>416</v>
      </c>
      <c r="G60" s="71">
        <v>22898</v>
      </c>
      <c r="H60" s="38">
        <v>44902</v>
      </c>
      <c r="I60" s="38">
        <v>44903</v>
      </c>
      <c r="J60" s="38">
        <v>44904</v>
      </c>
      <c r="K60" s="39" t="s">
        <v>517</v>
      </c>
      <c r="L60" s="39" t="s">
        <v>518</v>
      </c>
      <c r="M60" s="61"/>
      <c r="N60" s="40">
        <v>1234</v>
      </c>
      <c r="O60" s="41">
        <v>1535</v>
      </c>
      <c r="P60" s="41">
        <f>Tabla156[[#This Row],[PRECIO CLIENTE]]-Tabla156[[#This Row],[CANTIDAD PUBLICA]]</f>
        <v>301</v>
      </c>
      <c r="Q60" s="10">
        <f>Tabla156[[#This Row],[COMISION AGENCIA]]*0.05</f>
        <v>15.05</v>
      </c>
      <c r="R60" s="36" t="s">
        <v>433</v>
      </c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</row>
    <row r="61" spans="1:39" ht="15.75" x14ac:dyDescent="0.25">
      <c r="A61" s="55">
        <f>Tabla156[[#This Row],[FECHA IN]]-15</f>
        <v>44914</v>
      </c>
      <c r="B61" s="29"/>
      <c r="C61" s="32" t="s">
        <v>519</v>
      </c>
      <c r="D61" s="27"/>
      <c r="E61" s="69" t="s">
        <v>420</v>
      </c>
      <c r="F61" s="70" t="s">
        <v>26</v>
      </c>
      <c r="G61" s="7" t="s">
        <v>520</v>
      </c>
      <c r="H61" s="67">
        <v>44895</v>
      </c>
      <c r="I61" s="6">
        <v>44929</v>
      </c>
      <c r="J61" s="6">
        <v>44932</v>
      </c>
      <c r="K61" s="25" t="s">
        <v>521</v>
      </c>
      <c r="L61" s="30" t="s">
        <v>522</v>
      </c>
      <c r="M61" s="157">
        <v>8155856129</v>
      </c>
      <c r="N61" s="8">
        <v>15143.48</v>
      </c>
      <c r="O61" s="3">
        <v>14355</v>
      </c>
      <c r="P61" s="3">
        <f>Tabla156[[#This Row],[CANTIDAD PUBLICA]]*0.05</f>
        <v>757.17399999999998</v>
      </c>
      <c r="Q61" s="15">
        <f>Tabla156[[#This Row],[COMISION AGENCIA]]*0.05</f>
        <v>37.858699999999999</v>
      </c>
      <c r="R61" s="36" t="s">
        <v>433</v>
      </c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</row>
    <row r="62" spans="1:39" ht="15.75" x14ac:dyDescent="0.25">
      <c r="A62" s="64">
        <f>Tabla156[[#This Row],[FECHA DE VENTA]]</f>
        <v>44895</v>
      </c>
      <c r="B62" s="43"/>
      <c r="C62" s="43"/>
      <c r="D62" s="64"/>
      <c r="E62" s="98" t="s">
        <v>416</v>
      </c>
      <c r="F62" s="98" t="s">
        <v>416</v>
      </c>
      <c r="G62" s="71" t="s">
        <v>520</v>
      </c>
      <c r="H62" s="38">
        <v>44895</v>
      </c>
      <c r="I62" s="38">
        <v>44929</v>
      </c>
      <c r="J62" s="167">
        <v>44932</v>
      </c>
      <c r="K62" s="39" t="s">
        <v>523</v>
      </c>
      <c r="L62" s="39" t="s">
        <v>502</v>
      </c>
      <c r="M62" s="61"/>
      <c r="N62" s="40">
        <v>33576</v>
      </c>
      <c r="O62" s="41">
        <v>36000</v>
      </c>
      <c r="P62" s="41">
        <f>Tabla156[[#This Row],[PRECIO CLIENTE]]-Tabla156[[#This Row],[CANTIDAD PUBLICA]]</f>
        <v>2424</v>
      </c>
      <c r="Q62" s="10">
        <f>Tabla156[[#This Row],[COMISION AGENCIA]]*0.05</f>
        <v>121.2</v>
      </c>
      <c r="R62" s="36" t="s">
        <v>433</v>
      </c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</row>
    <row r="63" spans="1:39" ht="15.75" x14ac:dyDescent="0.25">
      <c r="A63" s="55">
        <f>Tabla156[[#This Row],[FECHA IN]]-15</f>
        <v>44914</v>
      </c>
      <c r="B63" s="29"/>
      <c r="C63" s="32" t="s">
        <v>524</v>
      </c>
      <c r="D63" s="27"/>
      <c r="E63" s="69" t="s">
        <v>420</v>
      </c>
      <c r="F63" s="70" t="s">
        <v>26</v>
      </c>
      <c r="G63" s="7" t="s">
        <v>520</v>
      </c>
      <c r="H63" s="67">
        <v>44895</v>
      </c>
      <c r="I63" s="6">
        <v>44929</v>
      </c>
      <c r="J63" s="6">
        <v>44932</v>
      </c>
      <c r="K63" s="25" t="s">
        <v>525</v>
      </c>
      <c r="L63" s="30" t="s">
        <v>522</v>
      </c>
      <c r="M63" s="157">
        <v>8155856129</v>
      </c>
      <c r="N63" s="8">
        <v>20129.55</v>
      </c>
      <c r="O63" s="3">
        <v>17460</v>
      </c>
      <c r="P63" s="3">
        <f>Tabla156[[#This Row],[CANTIDAD PUBLICA]]*0.05</f>
        <v>1006.4775</v>
      </c>
      <c r="Q63" s="15">
        <f>Tabla156[[#This Row],[COMISION AGENCIA]]*0.05</f>
        <v>50.323875000000001</v>
      </c>
      <c r="R63" s="36" t="s">
        <v>433</v>
      </c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</row>
    <row r="64" spans="1:39" ht="15.75" x14ac:dyDescent="0.25">
      <c r="A64" s="55">
        <f>Tabla156[[#This Row],[FECHA IN]]-15</f>
        <v>44954</v>
      </c>
      <c r="B64" s="29"/>
      <c r="C64" s="32" t="s">
        <v>526</v>
      </c>
      <c r="D64" s="27"/>
      <c r="E64" s="69" t="s">
        <v>420</v>
      </c>
      <c r="F64" s="70" t="s">
        <v>26</v>
      </c>
      <c r="G64" s="7">
        <v>22702</v>
      </c>
      <c r="H64" s="67">
        <v>44883</v>
      </c>
      <c r="I64" s="6">
        <v>44969</v>
      </c>
      <c r="J64" s="6">
        <v>44973</v>
      </c>
      <c r="K64" s="24" t="s">
        <v>527</v>
      </c>
      <c r="L64" s="30" t="s">
        <v>444</v>
      </c>
      <c r="M64" s="60">
        <v>3481137074</v>
      </c>
      <c r="N64" s="8">
        <v>12517.3</v>
      </c>
      <c r="O64" s="9">
        <v>10895</v>
      </c>
      <c r="P64" s="9">
        <f>Tabla156[[#This Row],[CANTIDAD PUBLICA]]*0.05</f>
        <v>625.86500000000001</v>
      </c>
      <c r="Q64" s="10">
        <f>Tabla156[[#This Row],[COMISION AGENCIA]]*0.05</f>
        <v>31.29325</v>
      </c>
      <c r="R64" s="36" t="s">
        <v>433</v>
      </c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</row>
    <row r="65" spans="1:39" ht="15.75" x14ac:dyDescent="0.25">
      <c r="A65" s="55">
        <f>Tabla156[[#This Row],[FECHA IN]]-15</f>
        <v>45032</v>
      </c>
      <c r="B65" s="29"/>
      <c r="C65" s="32" t="s">
        <v>528</v>
      </c>
      <c r="D65" s="27">
        <v>44887</v>
      </c>
      <c r="E65" s="99" t="s">
        <v>420</v>
      </c>
      <c r="F65" s="70" t="s">
        <v>26</v>
      </c>
      <c r="G65" s="7">
        <v>22713</v>
      </c>
      <c r="H65" s="6">
        <v>44883</v>
      </c>
      <c r="I65" s="6">
        <v>45047</v>
      </c>
      <c r="J65" s="6">
        <v>45052</v>
      </c>
      <c r="K65" s="24" t="s">
        <v>529</v>
      </c>
      <c r="L65" s="30" t="s">
        <v>530</v>
      </c>
      <c r="M65" s="60">
        <v>3317890645</v>
      </c>
      <c r="N65" s="8">
        <v>70403.88</v>
      </c>
      <c r="O65" s="9">
        <v>61255</v>
      </c>
      <c r="P65" s="9">
        <f>Tabla156[[#This Row],[CANTIDAD PUBLICA]]*0.05</f>
        <v>3520.1940000000004</v>
      </c>
      <c r="Q65" s="10">
        <f>Tabla156[[#This Row],[COMISION AGENCIA]]*0.05</f>
        <v>176.00970000000004</v>
      </c>
      <c r="R65" s="128" t="s">
        <v>531</v>
      </c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</row>
    <row r="66" spans="1:39" ht="15.75" x14ac:dyDescent="0.25">
      <c r="A66" s="64">
        <f>Tabla156[[#This Row],[FECHA DE VENTA]]</f>
        <v>44908</v>
      </c>
      <c r="B66" s="43"/>
      <c r="C66" s="43"/>
      <c r="D66" s="64"/>
      <c r="E66" s="98" t="s">
        <v>416</v>
      </c>
      <c r="F66" s="98" t="s">
        <v>416</v>
      </c>
      <c r="G66" s="71">
        <v>22938</v>
      </c>
      <c r="H66" s="38">
        <v>44908</v>
      </c>
      <c r="I66" s="38">
        <v>44908</v>
      </c>
      <c r="J66" s="167">
        <v>44944</v>
      </c>
      <c r="K66" s="39" t="s">
        <v>532</v>
      </c>
      <c r="L66" s="39" t="s">
        <v>435</v>
      </c>
      <c r="M66" s="61" t="s">
        <v>533</v>
      </c>
      <c r="N66" s="40">
        <v>11333</v>
      </c>
      <c r="O66" s="41">
        <v>12150</v>
      </c>
      <c r="P66" s="41">
        <f>Tabla156[[#This Row],[PRECIO CLIENTE]]-Tabla156[[#This Row],[CANTIDAD PUBLICA]]</f>
        <v>817</v>
      </c>
      <c r="Q66" s="10">
        <f>Tabla156[[#This Row],[COMISION AGENCIA]]*0.05</f>
        <v>40.85</v>
      </c>
      <c r="R66" s="36" t="s">
        <v>433</v>
      </c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</row>
    <row r="67" spans="1:39" ht="15.75" x14ac:dyDescent="0.25">
      <c r="A67" s="64">
        <f>Tabla156[[#This Row],[FECHA DE VENTA]]</f>
        <v>44910</v>
      </c>
      <c r="B67" s="43"/>
      <c r="C67" s="43"/>
      <c r="D67" s="64"/>
      <c r="E67" s="98" t="s">
        <v>416</v>
      </c>
      <c r="F67" s="98" t="s">
        <v>416</v>
      </c>
      <c r="G67" s="71">
        <v>22949</v>
      </c>
      <c r="H67" s="38">
        <v>44910</v>
      </c>
      <c r="I67" s="38">
        <v>44910</v>
      </c>
      <c r="J67" s="167">
        <v>44934</v>
      </c>
      <c r="K67" s="39" t="s">
        <v>534</v>
      </c>
      <c r="L67" s="39" t="s">
        <v>535</v>
      </c>
      <c r="M67" s="61" t="s">
        <v>536</v>
      </c>
      <c r="N67" s="40">
        <v>5468</v>
      </c>
      <c r="O67" s="41">
        <v>6320</v>
      </c>
      <c r="P67" s="41">
        <f>Tabla156[[#This Row],[PRECIO CLIENTE]]-Tabla156[[#This Row],[CANTIDAD PUBLICA]]</f>
        <v>852</v>
      </c>
      <c r="Q67" s="10">
        <f>Tabla156[[#This Row],[COMISION AGENCIA]]*0.05</f>
        <v>42.6</v>
      </c>
      <c r="R67" s="36" t="s">
        <v>433</v>
      </c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</row>
    <row r="68" spans="1:39" ht="15.75" x14ac:dyDescent="0.25">
      <c r="A68" s="64">
        <f>Tabla156[[#This Row],[FECHA DE VENTA]]</f>
        <v>44910</v>
      </c>
      <c r="B68" s="43"/>
      <c r="C68" s="43"/>
      <c r="D68" s="64"/>
      <c r="E68" s="98" t="s">
        <v>416</v>
      </c>
      <c r="F68" s="98" t="s">
        <v>416</v>
      </c>
      <c r="G68" s="71">
        <v>22950</v>
      </c>
      <c r="H68" s="38">
        <v>44910</v>
      </c>
      <c r="I68" s="38">
        <v>44910</v>
      </c>
      <c r="J68" s="167">
        <v>44933</v>
      </c>
      <c r="K68" s="39" t="s">
        <v>537</v>
      </c>
      <c r="L68" s="39" t="s">
        <v>538</v>
      </c>
      <c r="M68" s="61" t="s">
        <v>539</v>
      </c>
      <c r="N68" s="40">
        <v>3588</v>
      </c>
      <c r="O68" s="41">
        <v>4575</v>
      </c>
      <c r="P68" s="41">
        <f>Tabla156[[#This Row],[PRECIO CLIENTE]]-Tabla156[[#This Row],[CANTIDAD PUBLICA]]</f>
        <v>987</v>
      </c>
      <c r="Q68" s="10">
        <f>Tabla156[[#This Row],[COMISION AGENCIA]]*0.05</f>
        <v>49.35</v>
      </c>
      <c r="R68" s="36" t="s">
        <v>433</v>
      </c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</row>
    <row r="69" spans="1:39" ht="15.75" x14ac:dyDescent="0.25">
      <c r="A69" s="64">
        <f>Tabla156[[#This Row],[FECHA DE VENTA]]</f>
        <v>44911</v>
      </c>
      <c r="B69" s="43"/>
      <c r="C69" s="43"/>
      <c r="D69" s="64"/>
      <c r="E69" s="98" t="s">
        <v>416</v>
      </c>
      <c r="F69" s="98" t="s">
        <v>416</v>
      </c>
      <c r="G69" s="71">
        <v>22953</v>
      </c>
      <c r="H69" s="38">
        <v>44911</v>
      </c>
      <c r="I69" s="38">
        <v>44967</v>
      </c>
      <c r="J69" s="167">
        <v>44971</v>
      </c>
      <c r="K69" s="39" t="s">
        <v>540</v>
      </c>
      <c r="L69" s="39" t="s">
        <v>464</v>
      </c>
      <c r="M69" s="61">
        <v>3481099700</v>
      </c>
      <c r="N69" s="40">
        <v>7122</v>
      </c>
      <c r="O69" s="41">
        <v>8190</v>
      </c>
      <c r="P69" s="41">
        <f>Tabla156[[#This Row],[PRECIO CLIENTE]]-Tabla156[[#This Row],[CANTIDAD PUBLICA]]</f>
        <v>1068</v>
      </c>
      <c r="Q69" s="10">
        <f>Tabla156[[#This Row],[COMISION AGENCIA]]*0.05</f>
        <v>53.400000000000006</v>
      </c>
      <c r="R69" s="36" t="s">
        <v>433</v>
      </c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</row>
    <row r="70" spans="1:39" ht="15.75" x14ac:dyDescent="0.25">
      <c r="A70" s="64">
        <f>Tabla156[[#This Row],[FECHA DE VENTA]]</f>
        <v>44913</v>
      </c>
      <c r="B70" s="43"/>
      <c r="C70" s="43"/>
      <c r="D70" s="64"/>
      <c r="E70" s="98" t="s">
        <v>416</v>
      </c>
      <c r="F70" s="98" t="s">
        <v>416</v>
      </c>
      <c r="G70" s="71">
        <v>22963</v>
      </c>
      <c r="H70" s="38">
        <v>44913</v>
      </c>
      <c r="I70" s="38">
        <v>44914</v>
      </c>
      <c r="J70" s="38">
        <v>44914</v>
      </c>
      <c r="K70" s="160" t="s">
        <v>541</v>
      </c>
      <c r="L70" s="39" t="s">
        <v>542</v>
      </c>
      <c r="M70" s="61" t="s">
        <v>543</v>
      </c>
      <c r="N70" s="40">
        <v>2019</v>
      </c>
      <c r="O70" s="41">
        <v>2415</v>
      </c>
      <c r="P70" s="41">
        <f>Tabla156[[#This Row],[PRECIO CLIENTE]]-Tabla156[[#This Row],[CANTIDAD PUBLICA]]</f>
        <v>396</v>
      </c>
      <c r="Q70" s="10">
        <f>Tabla156[[#This Row],[COMISION AGENCIA]]*0.05</f>
        <v>19.8</v>
      </c>
      <c r="R70" s="36" t="s">
        <v>433</v>
      </c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</row>
    <row r="71" spans="1:39" ht="15.75" x14ac:dyDescent="0.25">
      <c r="A71" s="64">
        <f>Tabla156[[#This Row],[FECHA DE VENTA]]</f>
        <v>44913</v>
      </c>
      <c r="B71" s="43"/>
      <c r="C71" s="43"/>
      <c r="D71" s="64"/>
      <c r="E71" s="98" t="s">
        <v>416</v>
      </c>
      <c r="F71" s="98" t="s">
        <v>416</v>
      </c>
      <c r="G71" s="71">
        <v>22964</v>
      </c>
      <c r="H71" s="38">
        <v>44913</v>
      </c>
      <c r="I71" s="38">
        <v>44914</v>
      </c>
      <c r="J71" s="38">
        <v>44914</v>
      </c>
      <c r="K71" s="160" t="s">
        <v>544</v>
      </c>
      <c r="L71" s="39" t="s">
        <v>542</v>
      </c>
      <c r="M71" s="61" t="s">
        <v>545</v>
      </c>
      <c r="N71" s="40">
        <v>2019</v>
      </c>
      <c r="O71" s="41">
        <v>2415</v>
      </c>
      <c r="P71" s="41">
        <f>Tabla156[[#This Row],[PRECIO CLIENTE]]-Tabla156[[#This Row],[CANTIDAD PUBLICA]]</f>
        <v>396</v>
      </c>
      <c r="Q71" s="10">
        <f>Tabla156[[#This Row],[COMISION AGENCIA]]*0.05</f>
        <v>19.8</v>
      </c>
      <c r="R71" s="36" t="s">
        <v>433</v>
      </c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</row>
    <row r="72" spans="1:39" ht="15.75" x14ac:dyDescent="0.25">
      <c r="A72" s="55">
        <f>Tabla156[[#This Row],[FECHA IN]]-15</f>
        <v>44906</v>
      </c>
      <c r="B72" s="29"/>
      <c r="C72" s="32" t="s">
        <v>546</v>
      </c>
      <c r="D72" s="27"/>
      <c r="E72" s="69" t="s">
        <v>420</v>
      </c>
      <c r="F72" s="70" t="s">
        <v>26</v>
      </c>
      <c r="G72" s="7">
        <v>22972</v>
      </c>
      <c r="H72" s="67">
        <v>44914</v>
      </c>
      <c r="I72" s="6">
        <v>44921</v>
      </c>
      <c r="J72" s="6">
        <v>44924</v>
      </c>
      <c r="K72" s="25" t="s">
        <v>547</v>
      </c>
      <c r="L72" s="30" t="s">
        <v>548</v>
      </c>
      <c r="M72" s="83" t="s">
        <v>549</v>
      </c>
      <c r="N72" s="8">
        <v>16678.2</v>
      </c>
      <c r="O72" s="3">
        <v>14515</v>
      </c>
      <c r="P72" s="3">
        <f>Tabla156[[#This Row],[CANTIDAD PUBLICA]]*0.05</f>
        <v>833.91000000000008</v>
      </c>
      <c r="Q72" s="15">
        <f>Tabla156[[#This Row],[COMISION AGENCIA]]*0.05</f>
        <v>41.69550000000001</v>
      </c>
      <c r="R72" s="36" t="s">
        <v>433</v>
      </c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</row>
    <row r="73" spans="1:39" ht="15.75" x14ac:dyDescent="0.25">
      <c r="A73" s="64">
        <f>Tabla156[[#This Row],[FECHA DE VENTA]]</f>
        <v>44915</v>
      </c>
      <c r="B73" s="43"/>
      <c r="C73" s="43"/>
      <c r="D73" s="64"/>
      <c r="E73" s="98" t="s">
        <v>416</v>
      </c>
      <c r="F73" s="98" t="s">
        <v>416</v>
      </c>
      <c r="G73" s="71">
        <v>22976</v>
      </c>
      <c r="H73" s="38">
        <v>44915</v>
      </c>
      <c r="I73" s="38">
        <v>45016</v>
      </c>
      <c r="J73" s="167">
        <v>45032</v>
      </c>
      <c r="K73" s="39" t="s">
        <v>550</v>
      </c>
      <c r="L73" s="39" t="s">
        <v>466</v>
      </c>
      <c r="M73" s="61"/>
      <c r="N73" s="40">
        <v>7623</v>
      </c>
      <c r="O73" s="41">
        <v>8535</v>
      </c>
      <c r="P73" s="41">
        <f>Tabla156[[#This Row],[PRECIO CLIENTE]]-Tabla156[[#This Row],[CANTIDAD PUBLICA]]</f>
        <v>912</v>
      </c>
      <c r="Q73" s="10">
        <f>Tabla156[[#This Row],[COMISION AGENCIA]]*0.05</f>
        <v>45.6</v>
      </c>
      <c r="R73" s="36" t="s">
        <v>433</v>
      </c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</row>
    <row r="74" spans="1:39" ht="15.75" x14ac:dyDescent="0.25">
      <c r="A74" s="64">
        <f>Tabla156[[#This Row],[FECHA DE VENTA]]</f>
        <v>44922</v>
      </c>
      <c r="B74" s="43"/>
      <c r="C74" s="43"/>
      <c r="D74" s="64"/>
      <c r="E74" s="98" t="s">
        <v>416</v>
      </c>
      <c r="F74" s="98" t="s">
        <v>416</v>
      </c>
      <c r="G74" s="71">
        <v>23024</v>
      </c>
      <c r="H74" s="38">
        <v>44922</v>
      </c>
      <c r="I74" s="38">
        <v>44950</v>
      </c>
      <c r="J74" s="167">
        <v>44957</v>
      </c>
      <c r="K74" s="39" t="s">
        <v>551</v>
      </c>
      <c r="L74" s="39" t="s">
        <v>552</v>
      </c>
      <c r="M74" s="61"/>
      <c r="N74" s="40">
        <v>24416</v>
      </c>
      <c r="O74" s="41">
        <v>26000</v>
      </c>
      <c r="P74" s="41">
        <f>Tabla156[[#This Row],[PRECIO CLIENTE]]-Tabla156[[#This Row],[CANTIDAD PUBLICA]]</f>
        <v>1584</v>
      </c>
      <c r="Q74" s="10">
        <f>Tabla156[[#This Row],[COMISION AGENCIA]]*0.05</f>
        <v>79.2</v>
      </c>
      <c r="R74" s="36" t="s">
        <v>433</v>
      </c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</row>
    <row r="75" spans="1:39" ht="15.75" x14ac:dyDescent="0.25">
      <c r="A75" s="64">
        <f>Tabla156[[#This Row],[FECHA DE VENTA]]</f>
        <v>44922</v>
      </c>
      <c r="B75" s="43"/>
      <c r="C75" s="43"/>
      <c r="D75" s="64"/>
      <c r="E75" s="98" t="s">
        <v>416</v>
      </c>
      <c r="F75" s="98" t="s">
        <v>416</v>
      </c>
      <c r="G75" s="71">
        <v>23024</v>
      </c>
      <c r="H75" s="38">
        <v>44922</v>
      </c>
      <c r="I75" s="38">
        <v>44950</v>
      </c>
      <c r="J75" s="167">
        <v>44950</v>
      </c>
      <c r="K75" s="39" t="s">
        <v>553</v>
      </c>
      <c r="L75" s="39" t="s">
        <v>552</v>
      </c>
      <c r="M75" s="61"/>
      <c r="N75" s="40">
        <v>2917</v>
      </c>
      <c r="O75" s="41">
        <v>3265</v>
      </c>
      <c r="P75" s="41">
        <f>Tabla156[[#This Row],[PRECIO CLIENTE]]-Tabla156[[#This Row],[CANTIDAD PUBLICA]]</f>
        <v>348</v>
      </c>
      <c r="Q75" s="10">
        <f>Tabla156[[#This Row],[COMISION AGENCIA]]*0.05</f>
        <v>17.400000000000002</v>
      </c>
      <c r="R75" s="36" t="s">
        <v>433</v>
      </c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</row>
    <row r="76" spans="1:39" ht="15.75" x14ac:dyDescent="0.25">
      <c r="A76" s="64">
        <f>Tabla156[[#This Row],[FECHA DE VENTA]]</f>
        <v>44923</v>
      </c>
      <c r="B76" s="43"/>
      <c r="C76" s="43"/>
      <c r="D76" s="64"/>
      <c r="E76" s="98" t="s">
        <v>416</v>
      </c>
      <c r="F76" s="98" t="s">
        <v>416</v>
      </c>
      <c r="G76" s="71">
        <v>23037</v>
      </c>
      <c r="H76" s="38">
        <v>44923</v>
      </c>
      <c r="I76" s="38">
        <v>44935</v>
      </c>
      <c r="J76" s="167">
        <v>44938</v>
      </c>
      <c r="K76" s="39" t="s">
        <v>554</v>
      </c>
      <c r="L76" s="39" t="s">
        <v>483</v>
      </c>
      <c r="M76" s="61">
        <v>3481460492</v>
      </c>
      <c r="N76" s="40">
        <v>19662</v>
      </c>
      <c r="O76" s="41">
        <v>21020</v>
      </c>
      <c r="P76" s="41">
        <f>Tabla156[[#This Row],[PRECIO CLIENTE]]-Tabla156[[#This Row],[CANTIDAD PUBLICA]]</f>
        <v>1358</v>
      </c>
      <c r="Q76" s="10">
        <f>Tabla156[[#This Row],[COMISION AGENCIA]]*0.05</f>
        <v>67.900000000000006</v>
      </c>
      <c r="R76" s="36" t="s">
        <v>433</v>
      </c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</row>
    <row r="77" spans="1:39" ht="15.75" x14ac:dyDescent="0.25">
      <c r="A77" s="104"/>
      <c r="B77" s="105"/>
      <c r="C77" s="105"/>
      <c r="D77" s="104"/>
      <c r="E77" s="106"/>
      <c r="F77" s="106"/>
      <c r="G77" s="107"/>
      <c r="H77" s="108"/>
      <c r="I77" s="108"/>
      <c r="J77" s="166"/>
      <c r="K77" s="110"/>
      <c r="L77" s="110"/>
      <c r="M77" s="111"/>
      <c r="N77" s="109"/>
      <c r="O77" s="112"/>
      <c r="P77" s="127">
        <v>44974</v>
      </c>
      <c r="Q77" s="126">
        <f>+SUM(Q36:Q76)</f>
        <v>1877.0082499999999</v>
      </c>
      <c r="R77" s="113">
        <f>Tabla156[[#This Row],[COMISION AGENTE]]-Q65</f>
        <v>1700.9985499999998</v>
      </c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</row>
    <row r="78" spans="1:39" ht="15.75" x14ac:dyDescent="0.25">
      <c r="A78" s="64">
        <f>Tabla156[[#This Row],[FECHA IN]]-15</f>
        <v>45032</v>
      </c>
      <c r="B78" s="43"/>
      <c r="C78" s="43"/>
      <c r="D78" s="64"/>
      <c r="E78" s="98" t="s">
        <v>416</v>
      </c>
      <c r="F78" s="98" t="s">
        <v>416</v>
      </c>
      <c r="G78" s="71">
        <v>22691</v>
      </c>
      <c r="H78" s="38">
        <v>44883</v>
      </c>
      <c r="I78" s="38">
        <v>45047</v>
      </c>
      <c r="J78" s="167">
        <v>45052</v>
      </c>
      <c r="K78" s="39" t="s">
        <v>529</v>
      </c>
      <c r="L78" s="39" t="s">
        <v>502</v>
      </c>
      <c r="M78" s="61"/>
      <c r="N78" s="40">
        <v>8292</v>
      </c>
      <c r="O78" s="41">
        <v>8900</v>
      </c>
      <c r="P78" s="41">
        <f>Tabla156[[#This Row],[PRECIO CLIENTE]]-Tabla156[[#This Row],[CANTIDAD PUBLICA]]</f>
        <v>608</v>
      </c>
      <c r="Q78" s="10">
        <f>Tabla156[[#This Row],[COMISION AGENCIA]]*0.05</f>
        <v>30.400000000000002</v>
      </c>
      <c r="R78" s="36" t="s">
        <v>433</v>
      </c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</row>
    <row r="79" spans="1:39" ht="15.75" x14ac:dyDescent="0.25">
      <c r="A79" s="64">
        <f>Tabla156[[#This Row],[FECHA DE VENTA]]</f>
        <v>44928</v>
      </c>
      <c r="B79" s="43"/>
      <c r="C79" s="43"/>
      <c r="D79" s="64"/>
      <c r="E79" s="98" t="s">
        <v>416</v>
      </c>
      <c r="F79" s="98" t="s">
        <v>416</v>
      </c>
      <c r="G79" s="71">
        <v>23083</v>
      </c>
      <c r="H79" s="38">
        <v>44928</v>
      </c>
      <c r="I79" s="38">
        <v>44937</v>
      </c>
      <c r="J79" s="167">
        <v>44937</v>
      </c>
      <c r="K79" s="39" t="s">
        <v>555</v>
      </c>
      <c r="L79" s="39" t="s">
        <v>556</v>
      </c>
      <c r="M79" s="61" t="s">
        <v>557</v>
      </c>
      <c r="N79" s="40">
        <v>4450</v>
      </c>
      <c r="O79" s="41">
        <v>5200</v>
      </c>
      <c r="P79" s="41">
        <f>Tabla156[[#This Row],[PRECIO CLIENTE]]-Tabla156[[#This Row],[CANTIDAD PUBLICA]]</f>
        <v>750</v>
      </c>
      <c r="Q79" s="10">
        <f>Tabla156[[#This Row],[COMISION AGENCIA]]*0.05</f>
        <v>37.5</v>
      </c>
      <c r="R79" s="36" t="s">
        <v>433</v>
      </c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</row>
    <row r="80" spans="1:39" ht="15.75" x14ac:dyDescent="0.25">
      <c r="A80" s="64">
        <f>Tabla156[[#This Row],[FECHA DE VENTA]]</f>
        <v>44930</v>
      </c>
      <c r="B80" s="43"/>
      <c r="C80" s="43"/>
      <c r="D80" s="64"/>
      <c r="E80" s="98" t="s">
        <v>416</v>
      </c>
      <c r="F80" s="98" t="s">
        <v>416</v>
      </c>
      <c r="G80" s="71">
        <v>23099</v>
      </c>
      <c r="H80" s="38">
        <v>44930</v>
      </c>
      <c r="I80" s="38">
        <v>44950</v>
      </c>
      <c r="J80" s="167">
        <v>44958</v>
      </c>
      <c r="K80" s="39" t="s">
        <v>558</v>
      </c>
      <c r="L80" s="39" t="s">
        <v>481</v>
      </c>
      <c r="M80" s="61" t="s">
        <v>559</v>
      </c>
      <c r="N80" s="40">
        <v>16916</v>
      </c>
      <c r="O80" s="41">
        <v>18400</v>
      </c>
      <c r="P80" s="41">
        <f>Tabla156[[#This Row],[PRECIO CLIENTE]]-Tabla156[[#This Row],[CANTIDAD PUBLICA]]</f>
        <v>1484</v>
      </c>
      <c r="Q80" s="10">
        <f>Tabla156[[#This Row],[COMISION AGENCIA]]*0.05</f>
        <v>74.2</v>
      </c>
      <c r="R80" s="36" t="s">
        <v>433</v>
      </c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</row>
    <row r="81" spans="1:39" ht="15.75" x14ac:dyDescent="0.25">
      <c r="A81" s="64">
        <f>Tabla156[[#This Row],[FECHA DE VENTA]]</f>
        <v>44935</v>
      </c>
      <c r="B81" s="43"/>
      <c r="C81" s="43"/>
      <c r="D81" s="64"/>
      <c r="E81" s="98" t="s">
        <v>416</v>
      </c>
      <c r="F81" s="98" t="s">
        <v>416</v>
      </c>
      <c r="G81" s="71">
        <v>23141</v>
      </c>
      <c r="H81" s="38">
        <v>44935</v>
      </c>
      <c r="I81" s="38">
        <v>45168</v>
      </c>
      <c r="J81" s="167">
        <v>45178</v>
      </c>
      <c r="K81" s="39" t="s">
        <v>560</v>
      </c>
      <c r="L81" s="39" t="s">
        <v>561</v>
      </c>
      <c r="M81" s="61"/>
      <c r="N81" s="40">
        <v>3145</v>
      </c>
      <c r="O81" s="41">
        <v>3755</v>
      </c>
      <c r="P81" s="41">
        <f>Tabla156[[#This Row],[PRECIO CLIENTE]]-Tabla156[[#This Row],[CANTIDAD PUBLICA]]</f>
        <v>610</v>
      </c>
      <c r="Q81" s="10">
        <f>Tabla156[[#This Row],[COMISION AGENCIA]]*0.05</f>
        <v>30.5</v>
      </c>
      <c r="R81" s="36" t="s">
        <v>433</v>
      </c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</row>
    <row r="82" spans="1:39" ht="15.75" x14ac:dyDescent="0.25">
      <c r="A82" s="64">
        <f>Tabla156[[#This Row],[FECHA IN]]-15</f>
        <v>44943</v>
      </c>
      <c r="B82" s="43"/>
      <c r="C82" s="43"/>
      <c r="D82" s="64"/>
      <c r="E82" s="98" t="s">
        <v>416</v>
      </c>
      <c r="F82" s="98" t="s">
        <v>416</v>
      </c>
      <c r="G82" s="71">
        <v>23162</v>
      </c>
      <c r="H82" s="38">
        <v>44938</v>
      </c>
      <c r="I82" s="38">
        <v>44958</v>
      </c>
      <c r="J82" s="38">
        <v>44958</v>
      </c>
      <c r="K82" s="39" t="s">
        <v>562</v>
      </c>
      <c r="L82" s="39" t="s">
        <v>435</v>
      </c>
      <c r="M82" s="61"/>
      <c r="N82" s="40">
        <v>3363</v>
      </c>
      <c r="O82" s="41">
        <v>3765</v>
      </c>
      <c r="P82" s="41">
        <f>Tabla156[[#This Row],[PRECIO CLIENTE]]-Tabla156[[#This Row],[CANTIDAD PUBLICA]]</f>
        <v>402</v>
      </c>
      <c r="Q82" s="10">
        <f>Tabla156[[#This Row],[COMISION AGENCIA]]*0.05</f>
        <v>20.100000000000001</v>
      </c>
      <c r="R82" s="36" t="s">
        <v>433</v>
      </c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</row>
    <row r="83" spans="1:39" ht="15.75" x14ac:dyDescent="0.25">
      <c r="A83" s="64">
        <f>Tabla156[[#This Row],[FECHA DE VENTA]]</f>
        <v>44939</v>
      </c>
      <c r="B83" s="43"/>
      <c r="C83" s="43"/>
      <c r="D83" s="64"/>
      <c r="E83" s="98" t="s">
        <v>416</v>
      </c>
      <c r="F83" s="98" t="s">
        <v>416</v>
      </c>
      <c r="G83" s="71">
        <v>23204</v>
      </c>
      <c r="H83" s="38">
        <v>44939</v>
      </c>
      <c r="I83" s="38">
        <v>44978</v>
      </c>
      <c r="J83" s="167">
        <v>44978</v>
      </c>
      <c r="K83" s="39" t="s">
        <v>563</v>
      </c>
      <c r="L83" s="39" t="s">
        <v>564</v>
      </c>
      <c r="M83" s="61" t="s">
        <v>565</v>
      </c>
      <c r="N83" s="40">
        <v>3038</v>
      </c>
      <c r="O83" s="41">
        <v>3385</v>
      </c>
      <c r="P83" s="41">
        <f>Tabla156[[#This Row],[PRECIO CLIENTE]]-Tabla156[[#This Row],[CANTIDAD PUBLICA]]</f>
        <v>347</v>
      </c>
      <c r="Q83" s="10">
        <f>Tabla156[[#This Row],[COMISION AGENCIA]]*0.05</f>
        <v>17.350000000000001</v>
      </c>
      <c r="R83" s="36" t="s">
        <v>433</v>
      </c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</row>
    <row r="84" spans="1:39" ht="15.75" x14ac:dyDescent="0.25">
      <c r="A84" s="64">
        <f>Tabla156[[#This Row],[FECHA DE VENTA]]</f>
        <v>44941</v>
      </c>
      <c r="B84" s="43"/>
      <c r="C84" s="43"/>
      <c r="D84" s="64"/>
      <c r="E84" s="98" t="s">
        <v>416</v>
      </c>
      <c r="F84" s="98" t="s">
        <v>416</v>
      </c>
      <c r="G84" s="71">
        <v>23211</v>
      </c>
      <c r="H84" s="38">
        <v>44941</v>
      </c>
      <c r="I84" s="38">
        <v>44942</v>
      </c>
      <c r="J84" s="167">
        <v>44942</v>
      </c>
      <c r="K84" s="39" t="s">
        <v>566</v>
      </c>
      <c r="L84" s="39" t="s">
        <v>564</v>
      </c>
      <c r="M84" s="61"/>
      <c r="N84" s="40">
        <v>1903.21</v>
      </c>
      <c r="O84" s="41">
        <v>2060</v>
      </c>
      <c r="P84" s="41">
        <f>Tabla156[[#This Row],[PRECIO CLIENTE]]-Tabla156[[#This Row],[CANTIDAD PUBLICA]]</f>
        <v>156.78999999999996</v>
      </c>
      <c r="Q84" s="10">
        <f>Tabla156[[#This Row],[COMISION AGENCIA]]*0.05</f>
        <v>7.8394999999999984</v>
      </c>
      <c r="R84" s="36" t="s">
        <v>433</v>
      </c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</row>
    <row r="85" spans="1:39" ht="15.75" x14ac:dyDescent="0.25">
      <c r="A85" s="64">
        <f>Tabla156[[#This Row],[FECHA DE VENTA]]</f>
        <v>44941</v>
      </c>
      <c r="B85" s="43"/>
      <c r="C85" s="43"/>
      <c r="D85" s="64"/>
      <c r="E85" s="98" t="s">
        <v>416</v>
      </c>
      <c r="F85" s="98" t="s">
        <v>416</v>
      </c>
      <c r="G85" s="71">
        <v>23212</v>
      </c>
      <c r="H85" s="38">
        <v>44941</v>
      </c>
      <c r="I85" s="38">
        <v>44948</v>
      </c>
      <c r="J85" s="167">
        <v>44949</v>
      </c>
      <c r="K85" s="39" t="s">
        <v>567</v>
      </c>
      <c r="L85" s="39" t="s">
        <v>464</v>
      </c>
      <c r="M85" s="61"/>
      <c r="N85" s="40">
        <v>3680</v>
      </c>
      <c r="O85" s="41">
        <v>5250</v>
      </c>
      <c r="P85" s="41">
        <f>Tabla156[[#This Row],[PRECIO CLIENTE]]-Tabla156[[#This Row],[CANTIDAD PUBLICA]]</f>
        <v>1570</v>
      </c>
      <c r="Q85" s="10">
        <f>Tabla156[[#This Row],[COMISION AGENCIA]]*0.05</f>
        <v>78.5</v>
      </c>
      <c r="R85" s="36" t="s">
        <v>433</v>
      </c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</row>
    <row r="86" spans="1:39" ht="15.75" x14ac:dyDescent="0.25">
      <c r="A86" s="64">
        <f>Tabla156[[#This Row],[FECHA DE VENTA]]</f>
        <v>44942</v>
      </c>
      <c r="B86" s="43"/>
      <c r="C86" s="43"/>
      <c r="D86" s="64"/>
      <c r="E86" s="98" t="s">
        <v>416</v>
      </c>
      <c r="F86" s="98" t="s">
        <v>416</v>
      </c>
      <c r="G86" s="71">
        <v>23218</v>
      </c>
      <c r="H86" s="38">
        <v>44942</v>
      </c>
      <c r="I86" s="38">
        <v>44949</v>
      </c>
      <c r="J86" s="167">
        <v>44959</v>
      </c>
      <c r="K86" s="39" t="s">
        <v>568</v>
      </c>
      <c r="L86" s="39" t="s">
        <v>569</v>
      </c>
      <c r="M86" s="61"/>
      <c r="N86" s="40">
        <v>10360</v>
      </c>
      <c r="O86" s="41">
        <v>11260</v>
      </c>
      <c r="P86" s="41">
        <f>Tabla156[[#This Row],[PRECIO CLIENTE]]-Tabla156[[#This Row],[CANTIDAD PUBLICA]]</f>
        <v>900</v>
      </c>
      <c r="Q86" s="10">
        <f>Tabla156[[#This Row],[COMISION AGENCIA]]*0.05</f>
        <v>45</v>
      </c>
      <c r="R86" s="36" t="s">
        <v>433</v>
      </c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</row>
    <row r="87" spans="1:39" ht="15.75" x14ac:dyDescent="0.25">
      <c r="A87" s="64">
        <f>Tabla156[[#This Row],[FECHA DE VENTA]]</f>
        <v>44942</v>
      </c>
      <c r="B87" s="43"/>
      <c r="C87" s="43"/>
      <c r="D87" s="64"/>
      <c r="E87" s="98" t="s">
        <v>416</v>
      </c>
      <c r="F87" s="98" t="s">
        <v>416</v>
      </c>
      <c r="G87" s="71">
        <v>23218</v>
      </c>
      <c r="H87" s="38">
        <v>44942</v>
      </c>
      <c r="I87" s="38">
        <v>44949</v>
      </c>
      <c r="J87" s="38">
        <v>44949</v>
      </c>
      <c r="K87" s="39" t="s">
        <v>570</v>
      </c>
      <c r="L87" s="39" t="s">
        <v>569</v>
      </c>
      <c r="M87" s="61"/>
      <c r="N87" s="40">
        <v>2051</v>
      </c>
      <c r="O87" s="41">
        <v>2410</v>
      </c>
      <c r="P87" s="41">
        <f>Tabla156[[#This Row],[PRECIO CLIENTE]]-Tabla156[[#This Row],[CANTIDAD PUBLICA]]</f>
        <v>359</v>
      </c>
      <c r="Q87" s="10">
        <f>Tabla156[[#This Row],[COMISION AGENCIA]]*0.05</f>
        <v>17.95</v>
      </c>
      <c r="R87" s="36" t="s">
        <v>433</v>
      </c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</row>
    <row r="88" spans="1:39" ht="15.75" x14ac:dyDescent="0.25">
      <c r="A88" s="55">
        <f>Tabla156[[#This Row],[FECHA DE VENTA]]</f>
        <v>44943</v>
      </c>
      <c r="B88" s="29"/>
      <c r="C88" s="32" t="s">
        <v>571</v>
      </c>
      <c r="D88" s="27"/>
      <c r="E88" s="69" t="s">
        <v>420</v>
      </c>
      <c r="F88" s="70" t="s">
        <v>26</v>
      </c>
      <c r="G88" s="7">
        <v>23242</v>
      </c>
      <c r="H88" s="67">
        <v>44943</v>
      </c>
      <c r="I88" s="6">
        <v>44948</v>
      </c>
      <c r="J88" s="6">
        <v>44951</v>
      </c>
      <c r="K88" s="25" t="s">
        <v>572</v>
      </c>
      <c r="L88" s="30" t="s">
        <v>444</v>
      </c>
      <c r="M88" s="83" t="s">
        <v>573</v>
      </c>
      <c r="N88" s="8">
        <v>16411.88</v>
      </c>
      <c r="O88" s="3">
        <v>15540</v>
      </c>
      <c r="P88" s="3">
        <f>Tabla156[[#This Row],[CANTIDAD PUBLICA]]*0.05</f>
        <v>820.59400000000005</v>
      </c>
      <c r="Q88" s="15">
        <f>Tabla156[[#This Row],[COMISION AGENCIA]]*0.05</f>
        <v>41.029700000000005</v>
      </c>
      <c r="R88" s="36" t="s">
        <v>433</v>
      </c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</row>
    <row r="89" spans="1:39" ht="15.75" x14ac:dyDescent="0.25">
      <c r="A89" s="64">
        <f>Tabla156[[#This Row],[FECHA DE VENTA]]</f>
        <v>44944</v>
      </c>
      <c r="B89" s="43"/>
      <c r="C89" s="43"/>
      <c r="D89" s="64"/>
      <c r="E89" s="98" t="s">
        <v>416</v>
      </c>
      <c r="F89" s="98" t="s">
        <v>416</v>
      </c>
      <c r="G89" s="71">
        <v>23237</v>
      </c>
      <c r="H89" s="38">
        <v>44944</v>
      </c>
      <c r="I89" s="38">
        <v>45191</v>
      </c>
      <c r="J89" s="38">
        <v>45195</v>
      </c>
      <c r="K89" s="97" t="s">
        <v>574</v>
      </c>
      <c r="L89" s="39" t="s">
        <v>575</v>
      </c>
      <c r="M89" s="61" t="s">
        <v>576</v>
      </c>
      <c r="N89" s="40">
        <v>3871</v>
      </c>
      <c r="O89" s="41">
        <v>4175</v>
      </c>
      <c r="P89" s="41">
        <f>Tabla156[[#This Row],[PRECIO CLIENTE]]-Tabla156[[#This Row],[CANTIDAD PUBLICA]]</f>
        <v>304</v>
      </c>
      <c r="Q89" s="10">
        <f>Tabla156[[#This Row],[COMISION AGENCIA]]*0.05</f>
        <v>15.200000000000001</v>
      </c>
      <c r="R89" s="36" t="s">
        <v>433</v>
      </c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</row>
    <row r="90" spans="1:39" ht="15.75" x14ac:dyDescent="0.25">
      <c r="A90" s="64">
        <f>Tabla156[[#This Row],[FECHA DE VENTA]]</f>
        <v>44944</v>
      </c>
      <c r="B90" s="43"/>
      <c r="C90" s="43"/>
      <c r="D90" s="64"/>
      <c r="E90" s="98" t="s">
        <v>416</v>
      </c>
      <c r="F90" s="98" t="s">
        <v>416</v>
      </c>
      <c r="G90" s="71">
        <v>23238</v>
      </c>
      <c r="H90" s="38">
        <v>44944</v>
      </c>
      <c r="I90" s="38">
        <v>45182</v>
      </c>
      <c r="J90" s="38">
        <v>45195</v>
      </c>
      <c r="K90" s="39" t="s">
        <v>577</v>
      </c>
      <c r="L90" s="39" t="s">
        <v>575</v>
      </c>
      <c r="M90" s="61" t="s">
        <v>576</v>
      </c>
      <c r="N90" s="40">
        <v>3871</v>
      </c>
      <c r="O90" s="41">
        <v>4175</v>
      </c>
      <c r="P90" s="41">
        <f>Tabla156[[#This Row],[PRECIO CLIENTE]]-Tabla156[[#This Row],[CANTIDAD PUBLICA]]</f>
        <v>304</v>
      </c>
      <c r="Q90" s="10">
        <f>Tabla156[[#This Row],[COMISION AGENCIA]]*0.05</f>
        <v>15.200000000000001</v>
      </c>
      <c r="R90" s="36" t="s">
        <v>433</v>
      </c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</row>
    <row r="91" spans="1:39" ht="15.75" x14ac:dyDescent="0.25">
      <c r="A91" s="64">
        <f>Tabla156[[#This Row],[FECHA DE VENTA]]</f>
        <v>44944</v>
      </c>
      <c r="B91" s="43"/>
      <c r="C91" s="43"/>
      <c r="D91" s="64"/>
      <c r="E91" s="98" t="s">
        <v>416</v>
      </c>
      <c r="F91" s="98" t="s">
        <v>416</v>
      </c>
      <c r="G91" s="71">
        <v>23253</v>
      </c>
      <c r="H91" s="38">
        <v>44944</v>
      </c>
      <c r="I91" s="38">
        <v>44954</v>
      </c>
      <c r="J91" s="167">
        <v>44965</v>
      </c>
      <c r="K91" s="39" t="s">
        <v>578</v>
      </c>
      <c r="L91" s="39" t="s">
        <v>579</v>
      </c>
      <c r="M91" s="61"/>
      <c r="N91" s="40">
        <v>11517</v>
      </c>
      <c r="O91" s="41">
        <v>12420</v>
      </c>
      <c r="P91" s="41">
        <f>Tabla156[[#This Row],[PRECIO CLIENTE]]-Tabla156[[#This Row],[CANTIDAD PUBLICA]]</f>
        <v>903</v>
      </c>
      <c r="Q91" s="10">
        <f>Tabla156[[#This Row],[COMISION AGENCIA]]*0.05</f>
        <v>45.150000000000006</v>
      </c>
      <c r="R91" s="36" t="s">
        <v>433</v>
      </c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</row>
    <row r="92" spans="1:39" ht="15.75" x14ac:dyDescent="0.25">
      <c r="A92" s="64">
        <f>Tabla156[[#This Row],[FECHA IN]]-15</f>
        <v>44933</v>
      </c>
      <c r="B92" s="43"/>
      <c r="C92" s="43"/>
      <c r="D92" s="64"/>
      <c r="E92" s="98" t="s">
        <v>416</v>
      </c>
      <c r="F92" s="98" t="s">
        <v>416</v>
      </c>
      <c r="G92" s="71">
        <v>23268</v>
      </c>
      <c r="H92" s="38">
        <v>44946</v>
      </c>
      <c r="I92" s="38">
        <v>44948</v>
      </c>
      <c r="J92" s="167">
        <v>44956</v>
      </c>
      <c r="K92" s="39" t="s">
        <v>580</v>
      </c>
      <c r="L92" s="39" t="s">
        <v>581</v>
      </c>
      <c r="M92" s="61"/>
      <c r="N92" s="40">
        <v>4745.82</v>
      </c>
      <c r="O92" s="41">
        <v>5100</v>
      </c>
      <c r="P92" s="41">
        <f>Tabla156[[#This Row],[PRECIO CLIENTE]]-Tabla156[[#This Row],[CANTIDAD PUBLICA]]</f>
        <v>354.18000000000029</v>
      </c>
      <c r="Q92" s="10">
        <f>Tabla156[[#This Row],[COMISION AGENCIA]]*0.05</f>
        <v>17.709000000000014</v>
      </c>
      <c r="R92" s="36" t="s">
        <v>433</v>
      </c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</row>
    <row r="93" spans="1:39" ht="15.75" x14ac:dyDescent="0.25">
      <c r="A93" s="64">
        <f>Tabla156[[#This Row],[FECHA DE VENTA]]</f>
        <v>44947</v>
      </c>
      <c r="B93" s="43"/>
      <c r="C93" s="43"/>
      <c r="D93" s="64"/>
      <c r="E93" s="98" t="s">
        <v>416</v>
      </c>
      <c r="F93" s="98" t="s">
        <v>416</v>
      </c>
      <c r="G93" s="71">
        <v>23283</v>
      </c>
      <c r="H93" s="38">
        <v>44947</v>
      </c>
      <c r="I93" s="38">
        <v>45172</v>
      </c>
      <c r="J93" s="167">
        <v>45175</v>
      </c>
      <c r="K93" s="39" t="s">
        <v>582</v>
      </c>
      <c r="L93" s="39" t="s">
        <v>564</v>
      </c>
      <c r="M93" s="61">
        <v>3481512605</v>
      </c>
      <c r="N93" s="40">
        <v>21705</v>
      </c>
      <c r="O93" s="41">
        <v>23475</v>
      </c>
      <c r="P93" s="41">
        <f>Tabla156[[#This Row],[PRECIO CLIENTE]]-Tabla156[[#This Row],[CANTIDAD PUBLICA]]</f>
        <v>1770</v>
      </c>
      <c r="Q93" s="10">
        <f>Tabla156[[#This Row],[COMISION AGENCIA]]*0.05</f>
        <v>88.5</v>
      </c>
      <c r="R93" s="36" t="s">
        <v>433</v>
      </c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</row>
    <row r="94" spans="1:39" ht="15.75" x14ac:dyDescent="0.25">
      <c r="A94" s="55">
        <f>Tabla156[[#This Row],[FECHA DE VENTA]]</f>
        <v>44949</v>
      </c>
      <c r="B94" s="29"/>
      <c r="C94" s="32" t="s">
        <v>583</v>
      </c>
      <c r="D94" s="27"/>
      <c r="E94" s="69" t="s">
        <v>420</v>
      </c>
      <c r="F94" s="70" t="s">
        <v>26</v>
      </c>
      <c r="G94" s="7">
        <v>23294</v>
      </c>
      <c r="H94" s="67">
        <v>44949</v>
      </c>
      <c r="I94" s="6">
        <v>44953</v>
      </c>
      <c r="J94" s="6">
        <v>44955</v>
      </c>
      <c r="K94" s="25" t="s">
        <v>584</v>
      </c>
      <c r="L94" s="30" t="s">
        <v>585</v>
      </c>
      <c r="M94" s="83" t="s">
        <v>586</v>
      </c>
      <c r="N94" s="8">
        <v>23403.45</v>
      </c>
      <c r="O94" s="3">
        <v>22075</v>
      </c>
      <c r="P94" s="3">
        <f>Tabla156[[#This Row],[CANTIDAD PUBLICA]]*0.05</f>
        <v>1170.1725000000001</v>
      </c>
      <c r="Q94" s="15">
        <f>Tabla156[[#This Row],[COMISION AGENCIA]]*0.05</f>
        <v>58.508625000000009</v>
      </c>
      <c r="R94" s="36" t="s">
        <v>433</v>
      </c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</row>
    <row r="95" spans="1:39" ht="15.75" x14ac:dyDescent="0.25">
      <c r="A95" s="64">
        <f>Tabla156[[#This Row],[FECHA DE VENTA]]</f>
        <v>44950</v>
      </c>
      <c r="B95" s="43"/>
      <c r="C95" s="43"/>
      <c r="D95" s="64"/>
      <c r="E95" s="98" t="s">
        <v>416</v>
      </c>
      <c r="F95" s="98" t="s">
        <v>416</v>
      </c>
      <c r="G95" s="71">
        <v>23314</v>
      </c>
      <c r="H95" s="38">
        <v>44950</v>
      </c>
      <c r="I95" s="38">
        <v>44953</v>
      </c>
      <c r="J95" s="167">
        <v>44984</v>
      </c>
      <c r="K95" s="39" t="s">
        <v>587</v>
      </c>
      <c r="L95" s="39" t="s">
        <v>588</v>
      </c>
      <c r="M95" s="61"/>
      <c r="N95" s="40">
        <v>47502</v>
      </c>
      <c r="O95" s="41">
        <v>47810</v>
      </c>
      <c r="P95" s="41">
        <f>Tabla156[[#This Row],[PRECIO CLIENTE]]-Tabla156[[#This Row],[CANTIDAD PUBLICA]]</f>
        <v>308</v>
      </c>
      <c r="Q95" s="10">
        <f>Tabla156[[#This Row],[COMISION AGENCIA]]*0.05</f>
        <v>15.4</v>
      </c>
      <c r="R95" s="36" t="s">
        <v>433</v>
      </c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</row>
    <row r="96" spans="1:39" ht="15.75" x14ac:dyDescent="0.25">
      <c r="A96" s="64">
        <f>Tabla156[[#This Row],[FECHA DE VENTA]]</f>
        <v>44951</v>
      </c>
      <c r="B96" s="43"/>
      <c r="C96" s="43"/>
      <c r="D96" s="64"/>
      <c r="E96" s="98" t="s">
        <v>416</v>
      </c>
      <c r="F96" s="98" t="s">
        <v>416</v>
      </c>
      <c r="G96" s="71">
        <v>23326</v>
      </c>
      <c r="H96" s="38">
        <v>44951</v>
      </c>
      <c r="I96" s="38">
        <v>44953</v>
      </c>
      <c r="J96" s="167">
        <v>44964</v>
      </c>
      <c r="K96" s="39" t="s">
        <v>589</v>
      </c>
      <c r="L96" s="39" t="s">
        <v>479</v>
      </c>
      <c r="M96" s="61"/>
      <c r="N96" s="40">
        <v>9304</v>
      </c>
      <c r="O96" s="41">
        <v>10020</v>
      </c>
      <c r="P96" s="41">
        <f>Tabla156[[#This Row],[PRECIO CLIENTE]]-Tabla156[[#This Row],[CANTIDAD PUBLICA]]</f>
        <v>716</v>
      </c>
      <c r="Q96" s="10">
        <f>Tabla156[[#This Row],[COMISION AGENCIA]]*0.05</f>
        <v>35.800000000000004</v>
      </c>
      <c r="R96" s="36" t="s">
        <v>433</v>
      </c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</row>
    <row r="97" spans="1:39" ht="15.75" x14ac:dyDescent="0.25">
      <c r="A97" s="64">
        <f>Tabla156[[#This Row],[FECHA DE VENTA]]</f>
        <v>44952</v>
      </c>
      <c r="B97" s="43"/>
      <c r="C97" s="43"/>
      <c r="D97" s="64"/>
      <c r="E97" s="98" t="s">
        <v>416</v>
      </c>
      <c r="F97" s="98" t="s">
        <v>416</v>
      </c>
      <c r="G97" s="71">
        <v>23334</v>
      </c>
      <c r="H97" s="38">
        <v>44952</v>
      </c>
      <c r="I97" s="167">
        <v>44976</v>
      </c>
      <c r="J97" s="167">
        <v>44981</v>
      </c>
      <c r="K97" s="39" t="s">
        <v>590</v>
      </c>
      <c r="L97" s="39" t="s">
        <v>464</v>
      </c>
      <c r="M97" s="61"/>
      <c r="N97" s="40">
        <v>1890</v>
      </c>
      <c r="O97" s="41">
        <v>2330</v>
      </c>
      <c r="P97" s="41">
        <f>Tabla156[[#This Row],[PRECIO CLIENTE]]-Tabla156[[#This Row],[CANTIDAD PUBLICA]]</f>
        <v>440</v>
      </c>
      <c r="Q97" s="10">
        <f>Tabla156[[#This Row],[COMISION AGENCIA]]*0.05</f>
        <v>22</v>
      </c>
      <c r="R97" s="36" t="s">
        <v>433</v>
      </c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</row>
    <row r="98" spans="1:39" ht="15.75" x14ac:dyDescent="0.25">
      <c r="A98" s="55">
        <f>Tabla156[[#This Row],[FECHA IN]]-15</f>
        <v>44952</v>
      </c>
      <c r="B98" s="29"/>
      <c r="C98" s="32" t="s">
        <v>591</v>
      </c>
      <c r="D98" s="27"/>
      <c r="E98" s="69" t="s">
        <v>416</v>
      </c>
      <c r="F98" s="70" t="s">
        <v>416</v>
      </c>
      <c r="G98" s="7">
        <v>23359</v>
      </c>
      <c r="H98" s="67">
        <v>44953</v>
      </c>
      <c r="I98" s="6">
        <v>44967</v>
      </c>
      <c r="J98" s="6">
        <v>44971</v>
      </c>
      <c r="K98" s="25" t="s">
        <v>592</v>
      </c>
      <c r="L98" s="121" t="s">
        <v>593</v>
      </c>
      <c r="M98" s="83" t="s">
        <v>594</v>
      </c>
      <c r="N98" s="8">
        <v>44207.85</v>
      </c>
      <c r="O98" s="3">
        <v>38465</v>
      </c>
      <c r="P98" s="3">
        <f>Tabla156[[#This Row],[CANTIDAD PUBLICA]]*0.05</f>
        <v>2210.3924999999999</v>
      </c>
      <c r="Q98" s="15">
        <f>Tabla156[[#This Row],[COMISION AGENCIA]]*0.05</f>
        <v>110.519625</v>
      </c>
      <c r="R98" s="36" t="s">
        <v>433</v>
      </c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</row>
    <row r="99" spans="1:39" ht="15.75" x14ac:dyDescent="0.25">
      <c r="A99" s="55">
        <f>Tabla156[[#This Row],[FECHA IN]]-15</f>
        <v>45242</v>
      </c>
      <c r="B99" s="29"/>
      <c r="C99" s="32" t="s">
        <v>595</v>
      </c>
      <c r="D99" s="27">
        <v>44887</v>
      </c>
      <c r="E99" s="99" t="s">
        <v>419</v>
      </c>
      <c r="F99" s="100" t="s">
        <v>27</v>
      </c>
      <c r="G99" s="7">
        <v>23381</v>
      </c>
      <c r="H99" s="67">
        <v>44956</v>
      </c>
      <c r="I99" s="149">
        <v>45257</v>
      </c>
      <c r="J99" s="149">
        <v>45262</v>
      </c>
      <c r="K99" s="25" t="s">
        <v>596</v>
      </c>
      <c r="L99" s="121" t="s">
        <v>597</v>
      </c>
      <c r="M99" s="83" t="s">
        <v>598</v>
      </c>
      <c r="N99" s="8">
        <v>27500</v>
      </c>
      <c r="O99" s="3">
        <v>23925</v>
      </c>
      <c r="P99" s="3">
        <f>Tabla156[[#This Row],[CANTIDAD PUBLICA]]*0.05</f>
        <v>1375</v>
      </c>
      <c r="Q99" s="15">
        <f>Tabla156[[#This Row],[COMISION AGENCIA]]*0.05</f>
        <v>68.75</v>
      </c>
      <c r="R99" s="36" t="s">
        <v>433</v>
      </c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</row>
    <row r="100" spans="1:39" ht="15.75" x14ac:dyDescent="0.25">
      <c r="A100" s="64">
        <f>Tabla156[[#This Row],[FECHA DE VENTA]]</f>
        <v>44956</v>
      </c>
      <c r="B100" s="43"/>
      <c r="C100" s="43"/>
      <c r="D100" s="64"/>
      <c r="E100" s="98" t="s">
        <v>416</v>
      </c>
      <c r="F100" s="98" t="s">
        <v>416</v>
      </c>
      <c r="G100" s="71">
        <v>23382</v>
      </c>
      <c r="H100" s="38">
        <v>44956</v>
      </c>
      <c r="I100" s="38">
        <v>44960</v>
      </c>
      <c r="J100" s="38">
        <v>44960</v>
      </c>
      <c r="K100" s="39" t="s">
        <v>599</v>
      </c>
      <c r="L100" s="39" t="s">
        <v>464</v>
      </c>
      <c r="M100" s="61"/>
      <c r="N100" s="40">
        <v>1554</v>
      </c>
      <c r="O100" s="41">
        <v>1995</v>
      </c>
      <c r="P100" s="41">
        <f>Tabla156[[#This Row],[PRECIO CLIENTE]]-Tabla156[[#This Row],[CANTIDAD PUBLICA]]</f>
        <v>441</v>
      </c>
      <c r="Q100" s="10">
        <f>Tabla156[[#This Row],[COMISION AGENCIA]]*0.05</f>
        <v>22.05</v>
      </c>
      <c r="R100" s="36" t="s">
        <v>433</v>
      </c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</row>
    <row r="101" spans="1:39" ht="15.75" x14ac:dyDescent="0.25">
      <c r="A101" s="64">
        <f>Tabla156[[#This Row],[FECHA DE VENTA]]</f>
        <v>44956</v>
      </c>
      <c r="B101" s="43"/>
      <c r="C101" s="43"/>
      <c r="D101" s="64"/>
      <c r="E101" s="98" t="s">
        <v>416</v>
      </c>
      <c r="F101" s="98" t="s">
        <v>416</v>
      </c>
      <c r="G101" s="71">
        <v>23390</v>
      </c>
      <c r="H101" s="38">
        <v>44956</v>
      </c>
      <c r="I101" s="38">
        <v>44985</v>
      </c>
      <c r="J101" s="38">
        <v>44985</v>
      </c>
      <c r="K101" s="39" t="s">
        <v>600</v>
      </c>
      <c r="L101" s="39" t="s">
        <v>502</v>
      </c>
      <c r="M101" s="61"/>
      <c r="N101" s="40">
        <v>1628</v>
      </c>
      <c r="O101" s="41">
        <v>2250</v>
      </c>
      <c r="P101" s="41">
        <f>Tabla156[[#This Row],[PRECIO CLIENTE]]-Tabla156[[#This Row],[CANTIDAD PUBLICA]]</f>
        <v>622</v>
      </c>
      <c r="Q101" s="10">
        <f>Tabla156[[#This Row],[COMISION AGENCIA]]*0.05</f>
        <v>31.1</v>
      </c>
      <c r="R101" s="36" t="s">
        <v>433</v>
      </c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</row>
    <row r="102" spans="1:39" ht="15.75" x14ac:dyDescent="0.25">
      <c r="A102" s="55">
        <f>Tabla156[[#This Row],[FECHA IN]]-15</f>
        <v>44960</v>
      </c>
      <c r="B102" s="29"/>
      <c r="C102" s="32" t="s">
        <v>601</v>
      </c>
      <c r="D102" s="27"/>
      <c r="E102" s="69" t="s">
        <v>416</v>
      </c>
      <c r="F102" s="70" t="s">
        <v>416</v>
      </c>
      <c r="G102" s="7">
        <v>23601</v>
      </c>
      <c r="H102" s="67">
        <v>44960</v>
      </c>
      <c r="I102" s="6">
        <v>44975</v>
      </c>
      <c r="J102" s="6">
        <v>44982</v>
      </c>
      <c r="K102" s="25" t="s">
        <v>602</v>
      </c>
      <c r="L102" s="121" t="s">
        <v>603</v>
      </c>
      <c r="M102" s="83" t="s">
        <v>604</v>
      </c>
      <c r="N102" s="8">
        <v>165072.95999999999</v>
      </c>
      <c r="O102" s="3">
        <v>143615</v>
      </c>
      <c r="P102" s="3">
        <f>Tabla156[[#This Row],[CANTIDAD PUBLICA]]*0.05</f>
        <v>8253.6479999999992</v>
      </c>
      <c r="Q102" s="15">
        <f>Tabla156[[#This Row],[COMISION AGENCIA]]*0.05</f>
        <v>412.68239999999997</v>
      </c>
      <c r="R102" s="36" t="s">
        <v>433</v>
      </c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</row>
    <row r="103" spans="1:39" ht="15.75" x14ac:dyDescent="0.25">
      <c r="A103" s="64">
        <f>Tabla156[[#This Row],[FECHA DE VENTA]]</f>
        <v>44960</v>
      </c>
      <c r="B103" s="43"/>
      <c r="C103" s="43"/>
      <c r="D103" s="64"/>
      <c r="E103" s="98" t="s">
        <v>416</v>
      </c>
      <c r="F103" s="98" t="s">
        <v>416</v>
      </c>
      <c r="G103" s="71">
        <v>23601</v>
      </c>
      <c r="H103" s="38">
        <v>44960</v>
      </c>
      <c r="I103" s="38">
        <v>44975</v>
      </c>
      <c r="J103" s="38">
        <v>44982</v>
      </c>
      <c r="K103" s="39" t="s">
        <v>602</v>
      </c>
      <c r="L103" s="39" t="s">
        <v>502</v>
      </c>
      <c r="M103" s="61"/>
      <c r="N103" s="40">
        <v>23884</v>
      </c>
      <c r="O103" s="41">
        <v>25305</v>
      </c>
      <c r="P103" s="41">
        <f>Tabla156[[#This Row],[PRECIO CLIENTE]]-Tabla156[[#This Row],[CANTIDAD PUBLICA]]</f>
        <v>1421</v>
      </c>
      <c r="Q103" s="10">
        <f>Tabla156[[#This Row],[COMISION AGENCIA]]*0.05</f>
        <v>71.05</v>
      </c>
      <c r="R103" s="36" t="s">
        <v>433</v>
      </c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</row>
    <row r="104" spans="1:39" ht="15.75" x14ac:dyDescent="0.25">
      <c r="A104" s="55">
        <f>Tabla156[[#This Row],[FECHA IN]]-15</f>
        <v>44960</v>
      </c>
      <c r="B104" s="29"/>
      <c r="C104" s="122" t="s">
        <v>605</v>
      </c>
      <c r="D104" s="27"/>
      <c r="E104" s="69" t="s">
        <v>416</v>
      </c>
      <c r="F104" s="70" t="s">
        <v>416</v>
      </c>
      <c r="G104" s="7">
        <v>23601</v>
      </c>
      <c r="H104" s="67">
        <v>44960</v>
      </c>
      <c r="I104" s="6">
        <v>44975</v>
      </c>
      <c r="J104" s="6">
        <v>44982</v>
      </c>
      <c r="K104" s="25" t="s">
        <v>602</v>
      </c>
      <c r="L104" s="121" t="s">
        <v>606</v>
      </c>
      <c r="M104" s="83" t="s">
        <v>604</v>
      </c>
      <c r="N104" s="8">
        <v>47184.36</v>
      </c>
      <c r="O104" s="3">
        <v>56235</v>
      </c>
      <c r="P104" s="3">
        <f>Tabla156[[#This Row],[PRECIO CLIENTE]]-Tabla156[[#This Row],[CANTIDAD PUBLICA]]</f>
        <v>9050.64</v>
      </c>
      <c r="Q104" s="15">
        <f>Tabla156[[#This Row],[COMISION AGENCIA]]*0.05</f>
        <v>452.53199999999998</v>
      </c>
      <c r="R104" s="36" t="s">
        <v>433</v>
      </c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</row>
    <row r="105" spans="1:39" ht="15.75" x14ac:dyDescent="0.25">
      <c r="A105" s="64">
        <v>44951</v>
      </c>
      <c r="B105" s="43"/>
      <c r="C105" s="43"/>
      <c r="D105" s="64"/>
      <c r="E105" s="98" t="s">
        <v>416</v>
      </c>
      <c r="F105" s="98" t="s">
        <v>416</v>
      </c>
      <c r="G105" s="71">
        <v>23446</v>
      </c>
      <c r="H105" s="38">
        <v>44961</v>
      </c>
      <c r="I105" s="38">
        <v>44962</v>
      </c>
      <c r="J105" s="65">
        <v>44962</v>
      </c>
      <c r="K105" s="39" t="s">
        <v>607</v>
      </c>
      <c r="L105" s="39" t="s">
        <v>464</v>
      </c>
      <c r="M105" s="61"/>
      <c r="N105" s="40">
        <v>1296</v>
      </c>
      <c r="O105" s="41">
        <v>1480</v>
      </c>
      <c r="P105" s="41">
        <f>Tabla156[[#This Row],[PRECIO CLIENTE]]-Tabla156[[#This Row],[CANTIDAD PUBLICA]]</f>
        <v>184</v>
      </c>
      <c r="Q105" s="10">
        <f>Tabla156[[#This Row],[COMISION AGENCIA]]*0.05</f>
        <v>9.2000000000000011</v>
      </c>
      <c r="R105" s="36" t="s">
        <v>433</v>
      </c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</row>
    <row r="106" spans="1:39" ht="15.75" x14ac:dyDescent="0.25">
      <c r="A106" s="64">
        <f>Tabla156[[#This Row],[FECHA DE VENTA]]</f>
        <v>44961</v>
      </c>
      <c r="B106" s="43"/>
      <c r="C106" s="43"/>
      <c r="D106" s="64"/>
      <c r="E106" s="98" t="s">
        <v>416</v>
      </c>
      <c r="F106" s="98" t="s">
        <v>416</v>
      </c>
      <c r="G106" s="71">
        <v>23455</v>
      </c>
      <c r="H106" s="38">
        <v>44961</v>
      </c>
      <c r="I106" s="38">
        <v>44965</v>
      </c>
      <c r="J106" s="38">
        <v>44965</v>
      </c>
      <c r="K106" s="39" t="s">
        <v>608</v>
      </c>
      <c r="L106" s="39" t="s">
        <v>466</v>
      </c>
      <c r="M106" s="61"/>
      <c r="N106" s="40">
        <v>1298</v>
      </c>
      <c r="O106" s="41">
        <v>1630</v>
      </c>
      <c r="P106" s="41">
        <f>Tabla156[[#This Row],[PRECIO CLIENTE]]-Tabla156[[#This Row],[CANTIDAD PUBLICA]]</f>
        <v>332</v>
      </c>
      <c r="Q106" s="10">
        <f>Tabla156[[#This Row],[COMISION AGENCIA]]*0.05</f>
        <v>16.600000000000001</v>
      </c>
      <c r="R106" s="36" t="s">
        <v>433</v>
      </c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</row>
    <row r="107" spans="1:39" ht="15.75" x14ac:dyDescent="0.25">
      <c r="A107" s="64">
        <f>Tabla156[[#This Row],[FECHA DE VENTA]]</f>
        <v>44964</v>
      </c>
      <c r="B107" s="43"/>
      <c r="C107" s="43"/>
      <c r="D107" s="64"/>
      <c r="E107" s="98" t="s">
        <v>416</v>
      </c>
      <c r="F107" s="98" t="s">
        <v>416</v>
      </c>
      <c r="G107" s="71">
        <v>23472</v>
      </c>
      <c r="H107" s="38">
        <v>44964</v>
      </c>
      <c r="I107" s="38">
        <v>44990</v>
      </c>
      <c r="J107" s="38">
        <v>44990</v>
      </c>
      <c r="K107" s="39" t="s">
        <v>609</v>
      </c>
      <c r="L107" s="39" t="s">
        <v>468</v>
      </c>
      <c r="M107" s="61"/>
      <c r="N107" s="40">
        <v>7456</v>
      </c>
      <c r="O107" s="41">
        <v>8210</v>
      </c>
      <c r="P107" s="41">
        <f>Tabla156[[#This Row],[PRECIO CLIENTE]]-Tabla156[[#This Row],[CANTIDAD PUBLICA]]</f>
        <v>754</v>
      </c>
      <c r="Q107" s="10">
        <f>Tabla156[[#This Row],[COMISION AGENCIA]]*0.05</f>
        <v>37.700000000000003</v>
      </c>
      <c r="R107" s="36" t="s">
        <v>433</v>
      </c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</row>
    <row r="108" spans="1:39" ht="15.75" x14ac:dyDescent="0.25">
      <c r="A108" s="64">
        <f>Tabla156[[#This Row],[FECHA DE VENTA]]</f>
        <v>44967</v>
      </c>
      <c r="B108" s="43"/>
      <c r="C108" s="43"/>
      <c r="D108" s="64"/>
      <c r="E108" s="98" t="s">
        <v>416</v>
      </c>
      <c r="F108" s="98" t="s">
        <v>416</v>
      </c>
      <c r="G108" s="71">
        <v>23522</v>
      </c>
      <c r="H108" s="38">
        <v>44967</v>
      </c>
      <c r="I108" s="38">
        <v>45031</v>
      </c>
      <c r="J108" s="38">
        <v>45061</v>
      </c>
      <c r="K108" s="39" t="s">
        <v>610</v>
      </c>
      <c r="L108" s="39" t="s">
        <v>611</v>
      </c>
      <c r="M108" s="61"/>
      <c r="N108" s="40">
        <v>8706</v>
      </c>
      <c r="O108" s="41">
        <v>9310</v>
      </c>
      <c r="P108" s="41">
        <f>Tabla156[[#This Row],[PRECIO CLIENTE]]-Tabla156[[#This Row],[CANTIDAD PUBLICA]]</f>
        <v>604</v>
      </c>
      <c r="Q108" s="10">
        <f>Tabla156[[#This Row],[COMISION AGENCIA]]*0.05</f>
        <v>30.200000000000003</v>
      </c>
      <c r="R108" s="36" t="s">
        <v>433</v>
      </c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</row>
    <row r="109" spans="1:39" ht="15.75" x14ac:dyDescent="0.25">
      <c r="A109" s="55">
        <f>Tabla156[[#This Row],[FECHA IN]]-15</f>
        <v>44993</v>
      </c>
      <c r="B109" s="29"/>
      <c r="C109" s="32" t="s">
        <v>612</v>
      </c>
      <c r="D109" s="27"/>
      <c r="E109" s="69" t="s">
        <v>416</v>
      </c>
      <c r="F109" s="70" t="s">
        <v>26</v>
      </c>
      <c r="G109" s="7">
        <v>23542</v>
      </c>
      <c r="H109" s="67">
        <v>44970</v>
      </c>
      <c r="I109" s="6">
        <v>45008</v>
      </c>
      <c r="J109" s="6">
        <v>45011</v>
      </c>
      <c r="K109" s="25" t="s">
        <v>613</v>
      </c>
      <c r="L109" s="121" t="s">
        <v>614</v>
      </c>
      <c r="M109" s="83">
        <v>3481354438</v>
      </c>
      <c r="N109" s="8">
        <v>13851</v>
      </c>
      <c r="O109" s="3">
        <v>12055</v>
      </c>
      <c r="P109" s="3">
        <f>Tabla156[[#This Row],[CANTIDAD PUBLICA]]*0.05</f>
        <v>692.55000000000007</v>
      </c>
      <c r="Q109" s="15">
        <f>Tabla156[[#This Row],[COMISION AGENCIA]]*0.05</f>
        <v>34.627500000000005</v>
      </c>
      <c r="R109" s="36" t="s">
        <v>433</v>
      </c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</row>
    <row r="110" spans="1:39" ht="15.75" x14ac:dyDescent="0.25">
      <c r="A110" s="64">
        <f>Tabla156[[#This Row],[FECHA DE VENTA]]</f>
        <v>44972</v>
      </c>
      <c r="B110" s="43"/>
      <c r="C110" s="43"/>
      <c r="D110" s="64"/>
      <c r="E110" s="98" t="s">
        <v>416</v>
      </c>
      <c r="F110" s="98" t="s">
        <v>416</v>
      </c>
      <c r="G110" s="71">
        <v>23580</v>
      </c>
      <c r="H110" s="38">
        <v>44972</v>
      </c>
      <c r="I110" s="38">
        <v>44987</v>
      </c>
      <c r="J110" s="38">
        <v>44987</v>
      </c>
      <c r="K110" s="39" t="s">
        <v>615</v>
      </c>
      <c r="L110" s="39" t="s">
        <v>616</v>
      </c>
      <c r="M110" s="61"/>
      <c r="N110" s="40">
        <v>2840</v>
      </c>
      <c r="O110" s="41">
        <v>3160</v>
      </c>
      <c r="P110" s="41">
        <f>Tabla156[[#This Row],[PRECIO CLIENTE]]-Tabla156[[#This Row],[CANTIDAD PUBLICA]]</f>
        <v>320</v>
      </c>
      <c r="Q110" s="10">
        <f>Tabla156[[#This Row],[COMISION AGENCIA]]*0.05</f>
        <v>16</v>
      </c>
      <c r="R110" s="36" t="s">
        <v>433</v>
      </c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</row>
    <row r="111" spans="1:39" ht="15.75" x14ac:dyDescent="0.25">
      <c r="A111" s="64">
        <f>Tabla156[[#This Row],[FECHA DE VENTA]]</f>
        <v>44973</v>
      </c>
      <c r="B111" s="43"/>
      <c r="C111" s="43"/>
      <c r="D111" s="64"/>
      <c r="E111" s="98" t="s">
        <v>416</v>
      </c>
      <c r="F111" s="98" t="s">
        <v>416</v>
      </c>
      <c r="G111" s="71">
        <v>23598</v>
      </c>
      <c r="H111" s="38">
        <v>44973</v>
      </c>
      <c r="I111" s="38">
        <v>45031</v>
      </c>
      <c r="J111" s="38">
        <v>45031</v>
      </c>
      <c r="K111" s="39" t="s">
        <v>617</v>
      </c>
      <c r="L111" s="39" t="s">
        <v>616</v>
      </c>
      <c r="M111" s="61"/>
      <c r="N111" s="40">
        <v>3400</v>
      </c>
      <c r="O111" s="41">
        <v>3745</v>
      </c>
      <c r="P111" s="41">
        <f>Tabla156[[#This Row],[PRECIO CLIENTE]]-Tabla156[[#This Row],[CANTIDAD PUBLICA]]</f>
        <v>345</v>
      </c>
      <c r="Q111" s="10">
        <f>Tabla156[[#This Row],[COMISION AGENCIA]]*0.05</f>
        <v>17.25</v>
      </c>
      <c r="R111" s="36" t="s">
        <v>433</v>
      </c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</row>
    <row r="112" spans="1:39" ht="15.75" x14ac:dyDescent="0.25">
      <c r="A112" s="64">
        <f>Tabla156[[#This Row],[FECHA DE VENTA]]</f>
        <v>44977</v>
      </c>
      <c r="B112" s="43"/>
      <c r="C112" s="43"/>
      <c r="D112" s="64"/>
      <c r="E112" s="98" t="s">
        <v>416</v>
      </c>
      <c r="F112" s="98" t="s">
        <v>416</v>
      </c>
      <c r="G112" s="71">
        <v>23636</v>
      </c>
      <c r="H112" s="38">
        <v>44977</v>
      </c>
      <c r="I112" s="38">
        <v>45035</v>
      </c>
      <c r="J112" s="38">
        <v>45035</v>
      </c>
      <c r="K112" s="39" t="s">
        <v>618</v>
      </c>
      <c r="L112" s="39" t="s">
        <v>466</v>
      </c>
      <c r="M112" s="61"/>
      <c r="N112" s="40">
        <v>1173</v>
      </c>
      <c r="O112" s="41">
        <v>1505</v>
      </c>
      <c r="P112" s="41">
        <f>Tabla156[[#This Row],[PRECIO CLIENTE]]-Tabla156[[#This Row],[CANTIDAD PUBLICA]]</f>
        <v>332</v>
      </c>
      <c r="Q112" s="10">
        <f>Tabla156[[#This Row],[COMISION AGENCIA]]*0.05</f>
        <v>16.600000000000001</v>
      </c>
      <c r="R112" s="36" t="s">
        <v>433</v>
      </c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</row>
    <row r="113" spans="1:39" ht="15.75" x14ac:dyDescent="0.25">
      <c r="A113" s="64">
        <f>Tabla156[[#This Row],[FECHA DE VENTA]]</f>
        <v>44977</v>
      </c>
      <c r="B113" s="43"/>
      <c r="C113" s="43"/>
      <c r="D113" s="64"/>
      <c r="E113" s="98" t="s">
        <v>416</v>
      </c>
      <c r="F113" s="98" t="s">
        <v>416</v>
      </c>
      <c r="G113" s="71">
        <v>23636</v>
      </c>
      <c r="H113" s="38">
        <v>44977</v>
      </c>
      <c r="I113" s="38">
        <v>45042</v>
      </c>
      <c r="J113" s="38">
        <v>45042</v>
      </c>
      <c r="K113" s="39" t="s">
        <v>618</v>
      </c>
      <c r="L113" s="39" t="s">
        <v>619</v>
      </c>
      <c r="M113" s="61"/>
      <c r="N113" s="40">
        <v>1724</v>
      </c>
      <c r="O113" s="41">
        <v>2095</v>
      </c>
      <c r="P113" s="41">
        <f>Tabla156[[#This Row],[PRECIO CLIENTE]]-Tabla156[[#This Row],[CANTIDAD PUBLICA]]</f>
        <v>371</v>
      </c>
      <c r="Q113" s="10">
        <f>Tabla156[[#This Row],[COMISION AGENCIA]]*0.05</f>
        <v>18.55</v>
      </c>
      <c r="R113" s="36" t="s">
        <v>433</v>
      </c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</row>
    <row r="114" spans="1:39" ht="15.75" x14ac:dyDescent="0.25">
      <c r="A114" s="55">
        <f>Tabla156[[#This Row],[FECHA IN]]-15</f>
        <v>44977</v>
      </c>
      <c r="B114" s="29"/>
      <c r="C114" s="32" t="s">
        <v>620</v>
      </c>
      <c r="D114" s="27">
        <v>44987</v>
      </c>
      <c r="E114" s="69" t="s">
        <v>416</v>
      </c>
      <c r="F114" s="70" t="s">
        <v>26</v>
      </c>
      <c r="G114" s="7">
        <v>23722</v>
      </c>
      <c r="H114" s="67">
        <v>44977</v>
      </c>
      <c r="I114" s="6">
        <v>44992</v>
      </c>
      <c r="J114" s="6">
        <v>44996</v>
      </c>
      <c r="K114" s="25" t="s">
        <v>621</v>
      </c>
      <c r="L114" s="121" t="s">
        <v>622</v>
      </c>
      <c r="M114" s="83">
        <v>3481020636</v>
      </c>
      <c r="N114" s="8">
        <v>42373.75</v>
      </c>
      <c r="O114" s="3">
        <v>38140</v>
      </c>
      <c r="P114" s="3">
        <f>Tabla156[[#This Row],[CANTIDAD PUBLICA]]*0.05</f>
        <v>2118.6875</v>
      </c>
      <c r="Q114" s="15">
        <f>Tabla156[[#This Row],[COMISION AGENCIA]]*0.05</f>
        <v>105.934375</v>
      </c>
      <c r="R114" s="36" t="s">
        <v>433</v>
      </c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</row>
    <row r="115" spans="1:39" ht="15.75" x14ac:dyDescent="0.25">
      <c r="A115" s="64">
        <f>Tabla156[[#This Row],[FECHA DE VENTA]]</f>
        <v>44979</v>
      </c>
      <c r="B115" s="43"/>
      <c r="C115" s="43"/>
      <c r="D115" s="64"/>
      <c r="E115" s="98" t="s">
        <v>416</v>
      </c>
      <c r="F115" s="98" t="s">
        <v>416</v>
      </c>
      <c r="G115" s="71">
        <v>23686</v>
      </c>
      <c r="H115" s="38">
        <v>44979</v>
      </c>
      <c r="I115" s="38">
        <v>45043</v>
      </c>
      <c r="J115" s="38">
        <v>45046</v>
      </c>
      <c r="K115" s="39" t="s">
        <v>623</v>
      </c>
      <c r="L115" s="39" t="s">
        <v>624</v>
      </c>
      <c r="M115" s="61">
        <v>3481255107</v>
      </c>
      <c r="N115" s="40">
        <v>5760</v>
      </c>
      <c r="O115" s="41">
        <v>7200</v>
      </c>
      <c r="P115" s="41">
        <f>Tabla156[[#This Row],[PRECIO CLIENTE]]-Tabla156[[#This Row],[CANTIDAD PUBLICA]]</f>
        <v>1440</v>
      </c>
      <c r="Q115" s="10">
        <f>Tabla156[[#This Row],[COMISION AGENCIA]]*0.05</f>
        <v>72</v>
      </c>
      <c r="R115" s="128" t="s">
        <v>625</v>
      </c>
    </row>
    <row r="116" spans="1:39" ht="15.75" x14ac:dyDescent="0.25">
      <c r="A116" s="64"/>
      <c r="B116" s="43"/>
      <c r="C116" s="43"/>
      <c r="D116" s="64"/>
      <c r="E116" s="98" t="s">
        <v>416</v>
      </c>
      <c r="F116" s="98" t="s">
        <v>416</v>
      </c>
      <c r="G116" s="71">
        <v>23733</v>
      </c>
      <c r="H116" s="38">
        <v>44982</v>
      </c>
      <c r="I116" s="38">
        <v>45247</v>
      </c>
      <c r="J116" s="38">
        <v>45249</v>
      </c>
      <c r="K116" s="39" t="s">
        <v>626</v>
      </c>
      <c r="L116" s="39" t="s">
        <v>627</v>
      </c>
      <c r="M116" s="61">
        <v>3485932345</v>
      </c>
      <c r="N116" s="40">
        <v>4072</v>
      </c>
      <c r="O116" s="41">
        <v>4500</v>
      </c>
      <c r="P116" s="41">
        <f>Tabla156[[#This Row],[PRECIO CLIENTE]]-Tabla156[[#This Row],[CANTIDAD PUBLICA]]</f>
        <v>428</v>
      </c>
      <c r="Q116" s="10">
        <f>Tabla156[[#This Row],[COMISION AGENCIA]]*0.05</f>
        <v>21.400000000000002</v>
      </c>
      <c r="R116" s="36" t="s">
        <v>433</v>
      </c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</row>
    <row r="117" spans="1:39" ht="15.75" x14ac:dyDescent="0.25">
      <c r="A117" s="64"/>
      <c r="B117" s="43"/>
      <c r="C117" s="43"/>
      <c r="D117" s="64"/>
      <c r="E117" s="98" t="s">
        <v>416</v>
      </c>
      <c r="F117" s="98" t="s">
        <v>416</v>
      </c>
      <c r="G117" s="71">
        <v>23741</v>
      </c>
      <c r="H117" s="38">
        <v>44984</v>
      </c>
      <c r="I117" s="38">
        <v>45000</v>
      </c>
      <c r="J117" s="38">
        <v>45000</v>
      </c>
      <c r="K117" s="39" t="s">
        <v>628</v>
      </c>
      <c r="L117" s="39" t="s">
        <v>629</v>
      </c>
      <c r="M117" s="61"/>
      <c r="N117" s="40">
        <v>1104</v>
      </c>
      <c r="O117" s="41">
        <v>1750</v>
      </c>
      <c r="P117" s="41">
        <f>Tabla156[[#This Row],[PRECIO CLIENTE]]-Tabla156[[#This Row],[CANTIDAD PUBLICA]]</f>
        <v>646</v>
      </c>
      <c r="Q117" s="10">
        <f>Tabla156[[#This Row],[COMISION AGENCIA]]*0.05</f>
        <v>32.300000000000004</v>
      </c>
      <c r="R117" s="36" t="s">
        <v>433</v>
      </c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</row>
    <row r="118" spans="1:39" ht="15.75" x14ac:dyDescent="0.25">
      <c r="A118" s="64"/>
      <c r="B118" s="43"/>
      <c r="C118" s="43"/>
      <c r="D118" s="64"/>
      <c r="E118" s="98" t="s">
        <v>416</v>
      </c>
      <c r="F118" s="98" t="s">
        <v>416</v>
      </c>
      <c r="G118" s="71">
        <v>23754</v>
      </c>
      <c r="H118" s="38">
        <v>44984</v>
      </c>
      <c r="I118" s="38">
        <v>45049</v>
      </c>
      <c r="J118" s="38">
        <v>45049</v>
      </c>
      <c r="K118" s="39" t="s">
        <v>630</v>
      </c>
      <c r="L118" s="39" t="s">
        <v>446</v>
      </c>
      <c r="M118" s="61"/>
      <c r="N118" s="40">
        <v>4533</v>
      </c>
      <c r="O118" s="41">
        <v>5400</v>
      </c>
      <c r="P118" s="41">
        <f>Tabla156[[#This Row],[PRECIO CLIENTE]]-Tabla156[[#This Row],[CANTIDAD PUBLICA]]</f>
        <v>867</v>
      </c>
      <c r="Q118" s="10">
        <f>Tabla156[[#This Row],[COMISION AGENCIA]]*0.05</f>
        <v>43.35</v>
      </c>
      <c r="R118" s="36" t="s">
        <v>433</v>
      </c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</row>
    <row r="119" spans="1:39" ht="15.75" x14ac:dyDescent="0.25">
      <c r="A119" s="64"/>
      <c r="B119" s="43"/>
      <c r="C119" s="43"/>
      <c r="D119" s="64"/>
      <c r="E119" s="98" t="s">
        <v>416</v>
      </c>
      <c r="F119" s="98" t="s">
        <v>416</v>
      </c>
      <c r="G119" s="71">
        <v>23772</v>
      </c>
      <c r="H119" s="38">
        <v>44985</v>
      </c>
      <c r="I119" s="38">
        <v>45069</v>
      </c>
      <c r="J119" s="38">
        <v>45074</v>
      </c>
      <c r="K119" s="39" t="s">
        <v>631</v>
      </c>
      <c r="L119" s="39" t="s">
        <v>502</v>
      </c>
      <c r="M119" s="61"/>
      <c r="N119" s="40">
        <v>8145</v>
      </c>
      <c r="O119" s="41">
        <v>9360</v>
      </c>
      <c r="P119" s="41">
        <f>Tabla156[[#This Row],[PRECIO CLIENTE]]-Tabla156[[#This Row],[CANTIDAD PUBLICA]]</f>
        <v>1215</v>
      </c>
      <c r="Q119" s="10">
        <f>Tabla156[[#This Row],[COMISION AGENCIA]]*0.05</f>
        <v>60.75</v>
      </c>
      <c r="R119" s="36" t="s">
        <v>433</v>
      </c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</row>
    <row r="120" spans="1:39" ht="15.75" x14ac:dyDescent="0.25">
      <c r="A120" s="104"/>
      <c r="B120" s="105"/>
      <c r="C120" s="105"/>
      <c r="D120" s="104"/>
      <c r="E120" s="106"/>
      <c r="F120" s="106"/>
      <c r="G120" s="107"/>
      <c r="H120" s="108"/>
      <c r="I120" s="108"/>
      <c r="J120" s="166"/>
      <c r="K120" s="110"/>
      <c r="L120" s="110"/>
      <c r="M120" s="111"/>
      <c r="N120" s="109"/>
      <c r="O120" s="112"/>
      <c r="P120" s="127">
        <v>45025</v>
      </c>
      <c r="Q120" s="126">
        <f>SUM(Q78:Q119)</f>
        <v>2414.9827249999998</v>
      </c>
      <c r="R120" s="113">
        <f>Tabla156[[#This Row],[COMISION AGENTE]]+Q65-Q115</f>
        <v>2518.9924249999999</v>
      </c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</row>
    <row r="121" spans="1:39" ht="15.75" x14ac:dyDescent="0.25">
      <c r="A121" s="64"/>
      <c r="B121" s="43"/>
      <c r="C121" s="43"/>
      <c r="D121" s="64"/>
      <c r="E121" s="98" t="s">
        <v>416</v>
      </c>
      <c r="F121" s="98" t="s">
        <v>416</v>
      </c>
      <c r="G121" s="71">
        <v>23790</v>
      </c>
      <c r="H121" s="38">
        <v>44986</v>
      </c>
      <c r="I121" s="38">
        <v>45075</v>
      </c>
      <c r="J121" s="38">
        <v>45141</v>
      </c>
      <c r="K121" s="39" t="s">
        <v>632</v>
      </c>
      <c r="L121" s="39" t="s">
        <v>481</v>
      </c>
      <c r="M121" s="61">
        <v>34810351061</v>
      </c>
      <c r="N121" s="40">
        <v>14585</v>
      </c>
      <c r="O121" s="41">
        <v>15990</v>
      </c>
      <c r="P121" s="41">
        <f>Tabla156[[#This Row],[PRECIO CLIENTE]]-Tabla156[[#This Row],[CANTIDAD PUBLICA]]</f>
        <v>1405</v>
      </c>
      <c r="Q121" s="10">
        <f>Tabla156[[#This Row],[COMISION AGENCIA]]*0.05</f>
        <v>70.25</v>
      </c>
      <c r="R121" s="36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</row>
    <row r="122" spans="1:39" ht="15.75" x14ac:dyDescent="0.25">
      <c r="A122" s="64"/>
      <c r="B122" s="43"/>
      <c r="C122" s="43"/>
      <c r="D122" s="64"/>
      <c r="E122" s="98" t="s">
        <v>416</v>
      </c>
      <c r="F122" s="98" t="s">
        <v>416</v>
      </c>
      <c r="G122" s="71">
        <v>23805</v>
      </c>
      <c r="H122" s="38">
        <v>44987</v>
      </c>
      <c r="I122" s="38">
        <v>44987</v>
      </c>
      <c r="J122" s="38">
        <v>44987</v>
      </c>
      <c r="K122" s="39" t="s">
        <v>633</v>
      </c>
      <c r="L122" s="39" t="s">
        <v>634</v>
      </c>
      <c r="M122" s="61">
        <v>3481144443</v>
      </c>
      <c r="N122" s="40">
        <v>944</v>
      </c>
      <c r="O122" s="41">
        <v>1280</v>
      </c>
      <c r="P122" s="41">
        <f>Tabla156[[#This Row],[PRECIO CLIENTE]]-Tabla156[[#This Row],[CANTIDAD PUBLICA]]</f>
        <v>336</v>
      </c>
      <c r="Q122" s="10">
        <f>Tabla156[[#This Row],[COMISION AGENCIA]]*0.05</f>
        <v>16.8</v>
      </c>
      <c r="R122" s="36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</row>
    <row r="123" spans="1:39" ht="15.75" x14ac:dyDescent="0.25">
      <c r="A123" s="64"/>
      <c r="B123" s="43"/>
      <c r="C123" s="43"/>
      <c r="D123" s="64"/>
      <c r="E123" s="98" t="s">
        <v>416</v>
      </c>
      <c r="F123" s="98" t="s">
        <v>416</v>
      </c>
      <c r="G123" s="71" t="s">
        <v>635</v>
      </c>
      <c r="H123" s="38">
        <v>44987</v>
      </c>
      <c r="I123" s="38">
        <v>45053</v>
      </c>
      <c r="J123" s="38">
        <v>45069</v>
      </c>
      <c r="K123" s="39" t="s">
        <v>636</v>
      </c>
      <c r="L123" s="39" t="s">
        <v>569</v>
      </c>
      <c r="M123" s="61">
        <v>7078480975</v>
      </c>
      <c r="N123" s="40">
        <v>4952</v>
      </c>
      <c r="O123" s="41">
        <v>5445</v>
      </c>
      <c r="P123" s="41">
        <f>Tabla156[[#This Row],[PRECIO CLIENTE]]-Tabla156[[#This Row],[CANTIDAD PUBLICA]]</f>
        <v>493</v>
      </c>
      <c r="Q123" s="10">
        <f>Tabla156[[#This Row],[COMISION AGENCIA]]*0.05</f>
        <v>24.650000000000002</v>
      </c>
      <c r="R123" s="36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</row>
    <row r="124" spans="1:39" ht="15.75" x14ac:dyDescent="0.25">
      <c r="A124" s="55">
        <f>Tabla156[[#This Row],[FECHA IN]]-25</f>
        <v>45088</v>
      </c>
      <c r="B124" s="29"/>
      <c r="C124" s="32" t="s">
        <v>637</v>
      </c>
      <c r="D124" s="27"/>
      <c r="E124" s="69" t="s">
        <v>416</v>
      </c>
      <c r="F124" s="70" t="s">
        <v>26</v>
      </c>
      <c r="G124" s="7" t="s">
        <v>638</v>
      </c>
      <c r="H124" s="67">
        <v>44988</v>
      </c>
      <c r="I124" s="149">
        <v>45113</v>
      </c>
      <c r="J124" s="149">
        <v>45117</v>
      </c>
      <c r="K124" s="25" t="s">
        <v>639</v>
      </c>
      <c r="L124" s="121" t="s">
        <v>640</v>
      </c>
      <c r="M124" s="83">
        <v>3481351061</v>
      </c>
      <c r="N124" s="8">
        <v>43295.55</v>
      </c>
      <c r="O124" s="3">
        <v>37670</v>
      </c>
      <c r="P124" s="3">
        <f>Tabla156[[#This Row],[CANTIDAD PUBLICA]]*0.05</f>
        <v>2164.7775000000001</v>
      </c>
      <c r="Q124" s="15">
        <f>Tabla156[[#This Row],[COMISION AGENCIA]]*0.05</f>
        <v>108.23887500000001</v>
      </c>
      <c r="R124" s="36"/>
    </row>
    <row r="125" spans="1:39" ht="15.75" x14ac:dyDescent="0.25">
      <c r="A125" s="64"/>
      <c r="B125" s="43"/>
      <c r="C125" s="43"/>
      <c r="D125" s="64"/>
      <c r="E125" s="98" t="s">
        <v>416</v>
      </c>
      <c r="F125" s="98" t="s">
        <v>416</v>
      </c>
      <c r="G125" s="71">
        <v>23821</v>
      </c>
      <c r="H125" s="38">
        <v>44988</v>
      </c>
      <c r="I125" s="38">
        <v>44996</v>
      </c>
      <c r="J125" s="38">
        <v>44996</v>
      </c>
      <c r="K125" s="39" t="s">
        <v>641</v>
      </c>
      <c r="L125" s="39" t="s">
        <v>435</v>
      </c>
      <c r="M125" s="61">
        <v>1332899706</v>
      </c>
      <c r="N125" s="40">
        <v>6202</v>
      </c>
      <c r="O125" s="41">
        <v>6850</v>
      </c>
      <c r="P125" s="41">
        <f>Tabla156[[#This Row],[PRECIO CLIENTE]]-Tabla156[[#This Row],[CANTIDAD PUBLICA]]</f>
        <v>648</v>
      </c>
      <c r="Q125" s="10">
        <f>Tabla156[[#This Row],[COMISION AGENCIA]]*0.05</f>
        <v>32.4</v>
      </c>
      <c r="R125" s="36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</row>
    <row r="126" spans="1:39" ht="15.75" x14ac:dyDescent="0.25">
      <c r="A126" s="64"/>
      <c r="B126" s="43"/>
      <c r="C126" s="43"/>
      <c r="D126" s="64"/>
      <c r="E126" s="98" t="s">
        <v>416</v>
      </c>
      <c r="F126" s="98" t="s">
        <v>416</v>
      </c>
      <c r="G126" s="71">
        <v>23832</v>
      </c>
      <c r="H126" s="38">
        <v>44989</v>
      </c>
      <c r="I126" s="38">
        <v>45049</v>
      </c>
      <c r="J126" s="38">
        <v>45062</v>
      </c>
      <c r="K126" s="39" t="s">
        <v>642</v>
      </c>
      <c r="L126" s="39" t="s">
        <v>643</v>
      </c>
      <c r="M126" s="61"/>
      <c r="N126" s="40">
        <v>11220</v>
      </c>
      <c r="O126" s="41">
        <v>12120</v>
      </c>
      <c r="P126" s="41">
        <f>Tabla156[[#This Row],[PRECIO CLIENTE]]-Tabla156[[#This Row],[CANTIDAD PUBLICA]]</f>
        <v>900</v>
      </c>
      <c r="Q126" s="10">
        <f>Tabla156[[#This Row],[COMISION AGENCIA]]*0.05</f>
        <v>45</v>
      </c>
      <c r="R126" s="36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</row>
    <row r="127" spans="1:39" ht="15.75" x14ac:dyDescent="0.25">
      <c r="A127" s="55">
        <f>Tabla156[[#This Row],[FECHA IN]]-25</f>
        <v>45252</v>
      </c>
      <c r="B127" s="29"/>
      <c r="C127" s="32" t="s">
        <v>644</v>
      </c>
      <c r="D127" s="27"/>
      <c r="E127" s="69" t="s">
        <v>416</v>
      </c>
      <c r="F127" s="100" t="s">
        <v>27</v>
      </c>
      <c r="G127" s="7">
        <v>23833</v>
      </c>
      <c r="H127" s="67">
        <v>44989</v>
      </c>
      <c r="I127" s="149">
        <v>45277</v>
      </c>
      <c r="J127" s="149">
        <v>45281</v>
      </c>
      <c r="K127" s="25" t="s">
        <v>645</v>
      </c>
      <c r="L127" s="121" t="s">
        <v>640</v>
      </c>
      <c r="M127" s="83">
        <v>3481014478</v>
      </c>
      <c r="N127" s="8">
        <v>16860.78</v>
      </c>
      <c r="O127" s="3">
        <v>15175</v>
      </c>
      <c r="P127" s="3">
        <f>Tabla156[[#This Row],[CANTIDAD PUBLICA]]*0.05</f>
        <v>843.03899999999999</v>
      </c>
      <c r="Q127" s="15">
        <f>Tabla156[[#This Row],[COMISION AGENCIA]]*0.05</f>
        <v>42.151949999999999</v>
      </c>
      <c r="R127" s="36"/>
    </row>
    <row r="128" spans="1:39" ht="15.75" x14ac:dyDescent="0.25">
      <c r="A128" s="64"/>
      <c r="B128" s="43"/>
      <c r="C128" s="43"/>
      <c r="D128" s="64"/>
      <c r="E128" s="98" t="s">
        <v>416</v>
      </c>
      <c r="F128" s="98" t="s">
        <v>416</v>
      </c>
      <c r="G128" s="71">
        <v>23850</v>
      </c>
      <c r="H128" s="38">
        <v>44991</v>
      </c>
      <c r="I128" s="38">
        <v>44993</v>
      </c>
      <c r="J128" s="38">
        <v>44993</v>
      </c>
      <c r="K128" s="39" t="s">
        <v>646</v>
      </c>
      <c r="L128" s="39" t="s">
        <v>538</v>
      </c>
      <c r="M128" s="61"/>
      <c r="N128" s="40">
        <v>2538</v>
      </c>
      <c r="O128" s="41">
        <v>2781</v>
      </c>
      <c r="P128" s="41">
        <f>Tabla156[[#This Row],[PRECIO CLIENTE]]-Tabla156[[#This Row],[CANTIDAD PUBLICA]]</f>
        <v>243</v>
      </c>
      <c r="Q128" s="10">
        <f>Tabla156[[#This Row],[COMISION AGENCIA]]*0.05</f>
        <v>12.15</v>
      </c>
      <c r="R128" s="36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</row>
    <row r="129" spans="1:39" ht="15.75" x14ac:dyDescent="0.25">
      <c r="A129" s="55">
        <f>Tabla156[[#This Row],[FECHA IN]]-25</f>
        <v>45042</v>
      </c>
      <c r="B129" s="29"/>
      <c r="C129" s="32" t="s">
        <v>647</v>
      </c>
      <c r="D129" s="27"/>
      <c r="E129" s="69" t="s">
        <v>416</v>
      </c>
      <c r="F129" s="70" t="s">
        <v>26</v>
      </c>
      <c r="G129" s="7">
        <v>23918</v>
      </c>
      <c r="H129" s="67">
        <v>44992</v>
      </c>
      <c r="I129" s="6">
        <v>45067</v>
      </c>
      <c r="J129" s="6">
        <v>45071</v>
      </c>
      <c r="K129" s="25" t="s">
        <v>648</v>
      </c>
      <c r="L129" s="121" t="s">
        <v>649</v>
      </c>
      <c r="M129" s="83">
        <v>3481138593</v>
      </c>
      <c r="N129" s="8">
        <v>33264</v>
      </c>
      <c r="O129" s="3">
        <v>28940</v>
      </c>
      <c r="P129" s="3">
        <f>Tabla156[[#This Row],[CANTIDAD PUBLICA]]*0.05</f>
        <v>1663.2</v>
      </c>
      <c r="Q129" s="15">
        <f>Tabla156[[#This Row],[COMISION AGENCIA]]*0.05</f>
        <v>83.160000000000011</v>
      </c>
      <c r="R129" s="36"/>
    </row>
    <row r="130" spans="1:39" ht="15.75" x14ac:dyDescent="0.25">
      <c r="A130" s="64"/>
      <c r="B130" s="43"/>
      <c r="C130" s="43"/>
      <c r="D130" s="64"/>
      <c r="E130" s="98" t="s">
        <v>416</v>
      </c>
      <c r="F130" s="98" t="s">
        <v>416</v>
      </c>
      <c r="G130" s="71">
        <v>23857</v>
      </c>
      <c r="H130" s="38">
        <v>44992</v>
      </c>
      <c r="I130" s="38">
        <v>44997</v>
      </c>
      <c r="J130" s="38">
        <v>44997</v>
      </c>
      <c r="K130" s="39" t="s">
        <v>650</v>
      </c>
      <c r="L130" s="39" t="s">
        <v>483</v>
      </c>
      <c r="M130" s="61"/>
      <c r="N130" s="40">
        <v>3956</v>
      </c>
      <c r="O130" s="41">
        <v>4465</v>
      </c>
      <c r="P130" s="41">
        <f>Tabla156[[#This Row],[PRECIO CLIENTE]]-Tabla156[[#This Row],[CANTIDAD PUBLICA]]</f>
        <v>509</v>
      </c>
      <c r="Q130" s="10">
        <f>Tabla156[[#This Row],[COMISION AGENCIA]]*0.05</f>
        <v>25.450000000000003</v>
      </c>
      <c r="R130" s="36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</row>
    <row r="131" spans="1:39" ht="15.75" x14ac:dyDescent="0.25">
      <c r="A131" s="64"/>
      <c r="B131" s="43"/>
      <c r="C131" s="43"/>
      <c r="D131" s="64"/>
      <c r="E131" s="98" t="s">
        <v>416</v>
      </c>
      <c r="F131" s="98" t="s">
        <v>416</v>
      </c>
      <c r="G131" s="71">
        <v>23859</v>
      </c>
      <c r="H131" s="38">
        <v>44992</v>
      </c>
      <c r="I131" s="38">
        <v>44995</v>
      </c>
      <c r="J131" s="38">
        <v>44995</v>
      </c>
      <c r="K131" s="39" t="s">
        <v>651</v>
      </c>
      <c r="L131" s="39" t="s">
        <v>652</v>
      </c>
      <c r="M131" s="61"/>
      <c r="N131" s="40">
        <v>15921</v>
      </c>
      <c r="O131" s="41">
        <v>17235</v>
      </c>
      <c r="P131" s="41">
        <f>Tabla156[[#This Row],[PRECIO CLIENTE]]-Tabla156[[#This Row],[CANTIDAD PUBLICA]]</f>
        <v>1314</v>
      </c>
      <c r="Q131" s="10">
        <f>Tabla156[[#This Row],[COMISION AGENCIA]]*0.05</f>
        <v>65.7</v>
      </c>
      <c r="R131" s="36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</row>
    <row r="132" spans="1:39" ht="15.75" x14ac:dyDescent="0.25">
      <c r="A132" s="55">
        <f>Tabla156[[#This Row],[FECHA IN]]-25</f>
        <v>45057</v>
      </c>
      <c r="B132" s="29"/>
      <c r="C132" s="32" t="s">
        <v>653</v>
      </c>
      <c r="D132" s="27"/>
      <c r="E132" s="69" t="s">
        <v>416</v>
      </c>
      <c r="F132" s="70" t="s">
        <v>26</v>
      </c>
      <c r="G132" s="7">
        <v>23891</v>
      </c>
      <c r="H132" s="67">
        <v>44993</v>
      </c>
      <c r="I132" s="6">
        <v>45082</v>
      </c>
      <c r="J132" s="6">
        <v>45086</v>
      </c>
      <c r="K132" s="25" t="s">
        <v>654</v>
      </c>
      <c r="L132" s="121" t="s">
        <v>655</v>
      </c>
      <c r="M132" s="83">
        <v>3481079034</v>
      </c>
      <c r="N132" s="8">
        <v>52896.38</v>
      </c>
      <c r="O132" s="3">
        <v>47200</v>
      </c>
      <c r="P132" s="3">
        <f>Tabla156[[#This Row],[CANTIDAD PUBLICA]]*0.05</f>
        <v>2644.819</v>
      </c>
      <c r="Q132" s="15">
        <f>Tabla156[[#This Row],[COMISION AGENCIA]]*0.05</f>
        <v>132.24095</v>
      </c>
      <c r="R132" s="36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</row>
    <row r="133" spans="1:39" ht="15.75" x14ac:dyDescent="0.25">
      <c r="A133" s="64"/>
      <c r="B133" s="43"/>
      <c r="C133" s="43"/>
      <c r="D133" s="64"/>
      <c r="E133" s="98" t="s">
        <v>416</v>
      </c>
      <c r="F133" s="98" t="s">
        <v>416</v>
      </c>
      <c r="G133" s="71">
        <v>23894</v>
      </c>
      <c r="H133" s="38">
        <v>44993</v>
      </c>
      <c r="I133" s="38">
        <v>44999</v>
      </c>
      <c r="J133" s="38">
        <v>44999</v>
      </c>
      <c r="K133" s="39" t="s">
        <v>656</v>
      </c>
      <c r="L133" s="39" t="s">
        <v>581</v>
      </c>
      <c r="M133" s="61"/>
      <c r="N133" s="40">
        <v>8765</v>
      </c>
      <c r="O133" s="41">
        <v>9440</v>
      </c>
      <c r="P133" s="41">
        <f>Tabla156[[#This Row],[PRECIO CLIENTE]]-Tabla156[[#This Row],[CANTIDAD PUBLICA]]</f>
        <v>675</v>
      </c>
      <c r="Q133" s="10">
        <f>Tabla156[[#This Row],[COMISION AGENCIA]]*0.05</f>
        <v>33.75</v>
      </c>
      <c r="R133" s="36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</row>
    <row r="134" spans="1:39" ht="15.75" x14ac:dyDescent="0.25">
      <c r="A134" s="64"/>
      <c r="B134" s="43"/>
      <c r="C134" s="43"/>
      <c r="D134" s="64"/>
      <c r="E134" s="98" t="s">
        <v>416</v>
      </c>
      <c r="F134" s="98" t="s">
        <v>416</v>
      </c>
      <c r="G134" s="71">
        <v>23927</v>
      </c>
      <c r="H134" s="38">
        <v>44995</v>
      </c>
      <c r="I134" s="38">
        <v>44996</v>
      </c>
      <c r="J134" s="38">
        <v>44996</v>
      </c>
      <c r="K134" s="39" t="s">
        <v>657</v>
      </c>
      <c r="L134" s="39" t="s">
        <v>658</v>
      </c>
      <c r="M134" s="61"/>
      <c r="N134" s="40">
        <v>3938</v>
      </c>
      <c r="O134" s="41">
        <v>4700</v>
      </c>
      <c r="P134" s="41">
        <f>Tabla156[[#This Row],[PRECIO CLIENTE]]-Tabla156[[#This Row],[CANTIDAD PUBLICA]]</f>
        <v>762</v>
      </c>
      <c r="Q134" s="10">
        <f>Tabla156[[#This Row],[COMISION AGENCIA]]*0.05</f>
        <v>38.1</v>
      </c>
      <c r="R134" s="36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</row>
    <row r="135" spans="1:39" ht="15.75" x14ac:dyDescent="0.25">
      <c r="A135" s="64"/>
      <c r="B135" s="43"/>
      <c r="C135" s="43"/>
      <c r="D135" s="64"/>
      <c r="E135" s="98" t="s">
        <v>416</v>
      </c>
      <c r="F135" s="98" t="s">
        <v>416</v>
      </c>
      <c r="G135" s="71">
        <v>23962</v>
      </c>
      <c r="H135" s="38">
        <v>44997</v>
      </c>
      <c r="I135" s="38">
        <v>45034</v>
      </c>
      <c r="J135" s="65">
        <v>45043</v>
      </c>
      <c r="K135" s="39" t="s">
        <v>659</v>
      </c>
      <c r="L135" s="39" t="s">
        <v>660</v>
      </c>
      <c r="M135" s="61"/>
      <c r="N135" s="40">
        <v>4506</v>
      </c>
      <c r="O135" s="41">
        <v>4927</v>
      </c>
      <c r="P135" s="41">
        <f>Tabla156[[#This Row],[PRECIO CLIENTE]]-Tabla156[[#This Row],[CANTIDAD PUBLICA]]</f>
        <v>421</v>
      </c>
      <c r="Q135" s="10">
        <f>Tabla156[[#This Row],[COMISION AGENCIA]]*0.05</f>
        <v>21.05</v>
      </c>
      <c r="R135" s="36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</row>
    <row r="136" spans="1:39" ht="15.75" x14ac:dyDescent="0.25">
      <c r="A136" s="64"/>
      <c r="B136" s="43"/>
      <c r="C136" s="43"/>
      <c r="D136" s="64"/>
      <c r="E136" s="98" t="s">
        <v>416</v>
      </c>
      <c r="F136" s="98" t="s">
        <v>416</v>
      </c>
      <c r="G136" s="71">
        <v>23975</v>
      </c>
      <c r="H136" s="38">
        <v>44998</v>
      </c>
      <c r="I136" s="38">
        <v>45213</v>
      </c>
      <c r="J136" s="65">
        <v>45236</v>
      </c>
      <c r="K136" s="39" t="s">
        <v>661</v>
      </c>
      <c r="L136" s="39" t="s">
        <v>658</v>
      </c>
      <c r="M136" s="61"/>
      <c r="N136" s="40">
        <v>7440</v>
      </c>
      <c r="O136" s="41">
        <v>8190</v>
      </c>
      <c r="P136" s="41">
        <f>Tabla156[[#This Row],[PRECIO CLIENTE]]-Tabla156[[#This Row],[CANTIDAD PUBLICA]]</f>
        <v>750</v>
      </c>
      <c r="Q136" s="10">
        <f>Tabla156[[#This Row],[COMISION AGENCIA]]*0.05</f>
        <v>37.5</v>
      </c>
      <c r="R136" s="36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</row>
    <row r="137" spans="1:39" ht="15.75" x14ac:dyDescent="0.25">
      <c r="A137" s="64"/>
      <c r="B137" s="43"/>
      <c r="C137" s="43"/>
      <c r="D137" s="64"/>
      <c r="E137" s="98" t="s">
        <v>416</v>
      </c>
      <c r="F137" s="98" t="s">
        <v>416</v>
      </c>
      <c r="G137" s="71">
        <v>23990</v>
      </c>
      <c r="H137" s="38">
        <v>44998</v>
      </c>
      <c r="I137" s="38">
        <v>45096</v>
      </c>
      <c r="J137" s="65">
        <v>45100</v>
      </c>
      <c r="K137" s="39" t="s">
        <v>662</v>
      </c>
      <c r="L137" s="39" t="s">
        <v>502</v>
      </c>
      <c r="M137" s="61"/>
      <c r="N137" s="40">
        <v>3070</v>
      </c>
      <c r="O137" s="41">
        <v>4920</v>
      </c>
      <c r="P137" s="41">
        <f>Tabla156[[#This Row],[PRECIO CLIENTE]]-Tabla156[[#This Row],[CANTIDAD PUBLICA]]</f>
        <v>1850</v>
      </c>
      <c r="Q137" s="10">
        <f>Tabla156[[#This Row],[COMISION AGENCIA]]*0.05</f>
        <v>92.5</v>
      </c>
      <c r="R137" s="36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</row>
    <row r="138" spans="1:39" ht="15.75" x14ac:dyDescent="0.25">
      <c r="A138" s="55">
        <f>Tabla156[[#This Row],[FECHA IN]]-15</f>
        <v>45081</v>
      </c>
      <c r="B138" s="29"/>
      <c r="C138" s="32" t="s">
        <v>663</v>
      </c>
      <c r="D138" s="27"/>
      <c r="E138" s="69" t="s">
        <v>416</v>
      </c>
      <c r="F138" s="70" t="s">
        <v>26</v>
      </c>
      <c r="G138" s="7">
        <v>23990</v>
      </c>
      <c r="H138" s="67">
        <v>44998</v>
      </c>
      <c r="I138" s="149">
        <v>45096</v>
      </c>
      <c r="J138" s="150">
        <v>45100</v>
      </c>
      <c r="K138" s="25" t="s">
        <v>664</v>
      </c>
      <c r="L138" s="121" t="s">
        <v>665</v>
      </c>
      <c r="M138" s="83"/>
      <c r="N138" s="8">
        <v>20805</v>
      </c>
      <c r="O138" s="3">
        <v>18100</v>
      </c>
      <c r="P138" s="3">
        <f>Tabla156[[#This Row],[CANTIDAD PUBLICA]]*0.02</f>
        <v>416.1</v>
      </c>
      <c r="Q138" s="15">
        <f>Tabla156[[#This Row],[COMISION AGENCIA]]*0.05</f>
        <v>20.805000000000003</v>
      </c>
      <c r="R138" s="36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</row>
    <row r="139" spans="1:39" ht="15.75" x14ac:dyDescent="0.25">
      <c r="A139" s="64"/>
      <c r="B139" s="43"/>
      <c r="C139" s="43"/>
      <c r="D139" s="64"/>
      <c r="E139" s="98" t="s">
        <v>416</v>
      </c>
      <c r="F139" s="98" t="s">
        <v>416</v>
      </c>
      <c r="G139" s="71">
        <v>23990</v>
      </c>
      <c r="H139" s="38">
        <v>44998</v>
      </c>
      <c r="I139" s="38">
        <v>45096</v>
      </c>
      <c r="J139" s="65">
        <v>45100</v>
      </c>
      <c r="K139" s="39" t="s">
        <v>664</v>
      </c>
      <c r="L139" s="39" t="s">
        <v>502</v>
      </c>
      <c r="M139" s="61"/>
      <c r="N139" s="40">
        <v>3070</v>
      </c>
      <c r="O139" s="41">
        <v>4865</v>
      </c>
      <c r="P139" s="41">
        <f>Tabla156[[#This Row],[PRECIO CLIENTE]]-Tabla156[[#This Row],[CANTIDAD PUBLICA]]</f>
        <v>1795</v>
      </c>
      <c r="Q139" s="10">
        <f>Tabla156[[#This Row],[COMISION AGENCIA]]*0.02</f>
        <v>35.9</v>
      </c>
      <c r="R139" s="36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</row>
    <row r="140" spans="1:39" ht="15.75" x14ac:dyDescent="0.25">
      <c r="A140" s="55">
        <f>Tabla156[[#This Row],[FECHA IN]]-15</f>
        <v>45186</v>
      </c>
      <c r="B140" s="29"/>
      <c r="C140" s="122" t="s">
        <v>666</v>
      </c>
      <c r="D140" s="27"/>
      <c r="E140" s="99" t="s">
        <v>419</v>
      </c>
      <c r="F140" s="100" t="s">
        <v>27</v>
      </c>
      <c r="G140" s="7">
        <v>24297</v>
      </c>
      <c r="H140" s="67">
        <v>44998</v>
      </c>
      <c r="I140" s="149">
        <v>45201</v>
      </c>
      <c r="J140" s="150">
        <v>45207</v>
      </c>
      <c r="K140" s="24" t="s">
        <v>667</v>
      </c>
      <c r="L140" s="121" t="s">
        <v>668</v>
      </c>
      <c r="M140" s="157"/>
      <c r="N140" s="8">
        <v>34161.4</v>
      </c>
      <c r="O140" s="3">
        <v>30745</v>
      </c>
      <c r="P140" s="3">
        <f>Tabla156[[#This Row],[CANTIDAD PUBLICA]]*0.05</f>
        <v>1708.0700000000002</v>
      </c>
      <c r="Q140" s="15">
        <f>Tabla156[[#This Row],[COMISION AGENCIA]]*0.05</f>
        <v>85.403500000000008</v>
      </c>
      <c r="R140" s="36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</row>
    <row r="141" spans="1:39" ht="15.75" x14ac:dyDescent="0.25">
      <c r="A141" s="64"/>
      <c r="B141" s="43"/>
      <c r="C141" s="43"/>
      <c r="D141" s="64"/>
      <c r="E141" s="98" t="s">
        <v>416</v>
      </c>
      <c r="F141" s="98" t="s">
        <v>416</v>
      </c>
      <c r="G141" s="71">
        <v>24008</v>
      </c>
      <c r="H141" s="38">
        <v>44999</v>
      </c>
      <c r="I141" s="38">
        <v>45214</v>
      </c>
      <c r="J141" s="38">
        <v>45218</v>
      </c>
      <c r="K141" s="39" t="s">
        <v>669</v>
      </c>
      <c r="L141" s="39" t="s">
        <v>502</v>
      </c>
      <c r="M141" s="61"/>
      <c r="N141" s="40">
        <v>11261</v>
      </c>
      <c r="O141" s="41">
        <v>15210</v>
      </c>
      <c r="P141" s="41">
        <f>Tabla156[[#This Row],[PRECIO CLIENTE]]-Tabla156[[#This Row],[CANTIDAD PUBLICA]]</f>
        <v>3949</v>
      </c>
      <c r="Q141" s="10">
        <f>Tabla156[[#This Row],[COMISION AGENCIA]]*0.05</f>
        <v>197.45000000000002</v>
      </c>
      <c r="R141" s="36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</row>
    <row r="142" spans="1:39" ht="15.75" x14ac:dyDescent="0.25">
      <c r="A142" s="64"/>
      <c r="B142" s="43"/>
      <c r="C142" s="43"/>
      <c r="D142" s="64"/>
      <c r="E142" s="98" t="s">
        <v>416</v>
      </c>
      <c r="F142" s="98" t="s">
        <v>416</v>
      </c>
      <c r="G142" s="71">
        <v>24009</v>
      </c>
      <c r="H142" s="38">
        <v>44999</v>
      </c>
      <c r="I142" s="38">
        <v>45029</v>
      </c>
      <c r="J142" s="38">
        <v>45035</v>
      </c>
      <c r="K142" s="39" t="s">
        <v>670</v>
      </c>
      <c r="L142" s="39" t="s">
        <v>658</v>
      </c>
      <c r="M142" s="61"/>
      <c r="N142" s="40">
        <v>8387</v>
      </c>
      <c r="O142" s="41">
        <v>9170</v>
      </c>
      <c r="P142" s="41">
        <f>Tabla156[[#This Row],[PRECIO CLIENTE]]-Tabla156[[#This Row],[CANTIDAD PUBLICA]]</f>
        <v>783</v>
      </c>
      <c r="Q142" s="10">
        <f>Tabla156[[#This Row],[COMISION AGENCIA]]*0.05</f>
        <v>39.150000000000006</v>
      </c>
      <c r="R142" s="36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</row>
    <row r="143" spans="1:39" ht="15.75" x14ac:dyDescent="0.25">
      <c r="A143" s="64"/>
      <c r="B143" s="43"/>
      <c r="C143" s="43"/>
      <c r="D143" s="64"/>
      <c r="E143" s="98" t="s">
        <v>416</v>
      </c>
      <c r="F143" s="98" t="s">
        <v>416</v>
      </c>
      <c r="G143" s="71">
        <v>24010</v>
      </c>
      <c r="H143" s="38">
        <v>44999</v>
      </c>
      <c r="I143" s="38">
        <v>45044</v>
      </c>
      <c r="J143" s="38">
        <v>45052</v>
      </c>
      <c r="K143" s="39" t="s">
        <v>671</v>
      </c>
      <c r="L143" s="39" t="s">
        <v>579</v>
      </c>
      <c r="M143" s="61"/>
      <c r="N143" s="40">
        <v>18608</v>
      </c>
      <c r="O143" s="41">
        <v>20120</v>
      </c>
      <c r="P143" s="41">
        <f>Tabla156[[#This Row],[PRECIO CLIENTE]]-Tabla156[[#This Row],[CANTIDAD PUBLICA]]</f>
        <v>1512</v>
      </c>
      <c r="Q143" s="10">
        <f>Tabla156[[#This Row],[COMISION AGENCIA]]*0.05</f>
        <v>75.600000000000009</v>
      </c>
      <c r="R143" s="36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</row>
    <row r="144" spans="1:39" ht="15.75" x14ac:dyDescent="0.25">
      <c r="A144" s="64"/>
      <c r="B144" s="43"/>
      <c r="C144" s="43"/>
      <c r="D144" s="64"/>
      <c r="E144" s="98" t="s">
        <v>416</v>
      </c>
      <c r="F144" s="98" t="s">
        <v>416</v>
      </c>
      <c r="G144" s="71">
        <v>24012</v>
      </c>
      <c r="H144" s="38">
        <v>44999</v>
      </c>
      <c r="I144" s="38">
        <v>45069</v>
      </c>
      <c r="J144" s="38">
        <v>45069</v>
      </c>
      <c r="K144" s="39" t="s">
        <v>609</v>
      </c>
      <c r="L144" s="39" t="s">
        <v>468</v>
      </c>
      <c r="M144" s="61"/>
      <c r="N144" s="40">
        <v>2710</v>
      </c>
      <c r="O144" s="41">
        <v>3050</v>
      </c>
      <c r="P144" s="41">
        <f>Tabla156[[#This Row],[PRECIO CLIENTE]]-Tabla156[[#This Row],[CANTIDAD PUBLICA]]</f>
        <v>340</v>
      </c>
      <c r="Q144" s="10">
        <f>Tabla156[[#This Row],[COMISION AGENCIA]]*0.05</f>
        <v>17</v>
      </c>
      <c r="R144" s="36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</row>
    <row r="145" spans="1:39" ht="15.75" x14ac:dyDescent="0.25">
      <c r="A145" s="64"/>
      <c r="B145" s="43"/>
      <c r="C145" s="43"/>
      <c r="D145" s="64"/>
      <c r="E145" s="98" t="s">
        <v>416</v>
      </c>
      <c r="F145" s="98" t="s">
        <v>416</v>
      </c>
      <c r="G145" s="71">
        <v>24014</v>
      </c>
      <c r="H145" s="38">
        <v>44999</v>
      </c>
      <c r="I145" s="38">
        <v>45018</v>
      </c>
      <c r="J145" s="38">
        <v>45018</v>
      </c>
      <c r="K145" s="39" t="s">
        <v>672</v>
      </c>
      <c r="L145" s="39" t="s">
        <v>468</v>
      </c>
      <c r="M145" s="61"/>
      <c r="N145" s="40">
        <v>3923</v>
      </c>
      <c r="O145" s="41">
        <v>4260</v>
      </c>
      <c r="P145" s="41">
        <f>Tabla156[[#This Row],[PRECIO CLIENTE]]-Tabla156[[#This Row],[CANTIDAD PUBLICA]]</f>
        <v>337</v>
      </c>
      <c r="Q145" s="10">
        <f>Tabla156[[#This Row],[COMISION AGENCIA]]*0.05</f>
        <v>16.850000000000001</v>
      </c>
      <c r="R145" s="36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</row>
    <row r="146" spans="1:39" ht="15.75" x14ac:dyDescent="0.25">
      <c r="A146" s="55">
        <f>Tabla156[[#This Row],[FECHA IN]]-15</f>
        <v>45172</v>
      </c>
      <c r="B146" s="29"/>
      <c r="C146" s="32" t="s">
        <v>673</v>
      </c>
      <c r="D146" s="27"/>
      <c r="E146" s="99" t="s">
        <v>419</v>
      </c>
      <c r="F146" s="100" t="s">
        <v>27</v>
      </c>
      <c r="G146" s="7">
        <v>24251</v>
      </c>
      <c r="H146" s="67">
        <v>45000</v>
      </c>
      <c r="I146" s="6">
        <v>45187</v>
      </c>
      <c r="J146" s="6">
        <v>45192</v>
      </c>
      <c r="K146" s="25" t="s">
        <v>674</v>
      </c>
      <c r="L146" s="121" t="s">
        <v>675</v>
      </c>
      <c r="M146" s="83"/>
      <c r="N146" s="8">
        <v>29089.56</v>
      </c>
      <c r="O146" s="3">
        <v>26505</v>
      </c>
      <c r="P146" s="3">
        <f>Tabla156[[#This Row],[CANTIDAD PUBLICA]]*0.05</f>
        <v>1454.4780000000001</v>
      </c>
      <c r="Q146" s="15">
        <f>Tabla156[[#This Row],[COMISION AGENCIA]]*0.05</f>
        <v>72.7239</v>
      </c>
      <c r="R146" s="36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</row>
    <row r="147" spans="1:39" ht="15.75" x14ac:dyDescent="0.25">
      <c r="A147" s="55">
        <f>Tabla156[[#This Row],[FECHA IN]]-15</f>
        <v>45172</v>
      </c>
      <c r="B147" s="29"/>
      <c r="C147" s="32" t="s">
        <v>676</v>
      </c>
      <c r="D147" s="27"/>
      <c r="E147" s="99" t="s">
        <v>419</v>
      </c>
      <c r="F147" s="100" t="s">
        <v>27</v>
      </c>
      <c r="G147" s="7">
        <v>24249</v>
      </c>
      <c r="H147" s="67">
        <v>45000</v>
      </c>
      <c r="I147" s="6">
        <v>45187</v>
      </c>
      <c r="J147" s="6">
        <v>45192</v>
      </c>
      <c r="K147" s="25" t="s">
        <v>677</v>
      </c>
      <c r="L147" s="121" t="s">
        <v>675</v>
      </c>
      <c r="M147" s="83"/>
      <c r="N147" s="8">
        <v>49958.04</v>
      </c>
      <c r="O147" s="3">
        <v>45572</v>
      </c>
      <c r="P147" s="3">
        <f>Tabla156[[#This Row],[CANTIDAD PUBLICA]]*0.05</f>
        <v>2497.902</v>
      </c>
      <c r="Q147" s="15">
        <f>Tabla156[[#This Row],[COMISION AGENCIA]]*0.05</f>
        <v>124.89510000000001</v>
      </c>
      <c r="R147" s="36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</row>
    <row r="148" spans="1:39" ht="15.75" x14ac:dyDescent="0.25">
      <c r="A148" s="55">
        <f>Tabla156[[#This Row],[FECHA IN]]-15</f>
        <v>45172</v>
      </c>
      <c r="B148" s="29"/>
      <c r="C148" s="32" t="s">
        <v>678</v>
      </c>
      <c r="D148" s="27"/>
      <c r="E148" s="99" t="s">
        <v>419</v>
      </c>
      <c r="F148" s="100" t="s">
        <v>27</v>
      </c>
      <c r="G148" s="7">
        <v>24250</v>
      </c>
      <c r="H148" s="67">
        <v>45000</v>
      </c>
      <c r="I148" s="6">
        <v>45187</v>
      </c>
      <c r="J148" s="6">
        <v>45194</v>
      </c>
      <c r="K148" s="25" t="s">
        <v>679</v>
      </c>
      <c r="L148" s="121" t="s">
        <v>675</v>
      </c>
      <c r="M148" s="83"/>
      <c r="N148" s="8">
        <v>55952.98</v>
      </c>
      <c r="O148" s="3">
        <v>50360</v>
      </c>
      <c r="P148" s="3">
        <f>Tabla156[[#This Row],[CANTIDAD PUBLICA]]*0.05</f>
        <v>2797.6490000000003</v>
      </c>
      <c r="Q148" s="15">
        <f>Tabla156[[#This Row],[COMISION AGENCIA]]*0.05</f>
        <v>139.88245000000003</v>
      </c>
      <c r="R148" s="36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</row>
    <row r="149" spans="1:39" ht="15.75" x14ac:dyDescent="0.25">
      <c r="A149" s="55">
        <f>Tabla156[[#This Row],[FECHA IN]]-25</f>
        <v>44984</v>
      </c>
      <c r="B149" s="29"/>
      <c r="C149" s="32" t="s">
        <v>680</v>
      </c>
      <c r="D149" s="27"/>
      <c r="E149" s="69" t="s">
        <v>416</v>
      </c>
      <c r="F149" s="70" t="s">
        <v>26</v>
      </c>
      <c r="G149" s="7">
        <v>24026</v>
      </c>
      <c r="H149" s="67">
        <v>45000</v>
      </c>
      <c r="I149" s="6">
        <v>45009</v>
      </c>
      <c r="J149" s="6">
        <v>45012</v>
      </c>
      <c r="K149" s="25" t="s">
        <v>681</v>
      </c>
      <c r="L149" s="121" t="s">
        <v>682</v>
      </c>
      <c r="M149" s="83">
        <v>3481090706</v>
      </c>
      <c r="N149" s="8">
        <v>21882.69</v>
      </c>
      <c r="O149" s="3">
        <v>19695</v>
      </c>
      <c r="P149" s="3">
        <f>Tabla156[[#This Row],[CANTIDAD PUBLICA]]*0.05</f>
        <v>1094.1344999999999</v>
      </c>
      <c r="Q149" s="15">
        <f>Tabla156[[#This Row],[COMISION AGENCIA]]*0.05</f>
        <v>54.706724999999999</v>
      </c>
      <c r="R149" s="36"/>
    </row>
    <row r="150" spans="1:39" ht="15.75" x14ac:dyDescent="0.25">
      <c r="A150" s="64"/>
      <c r="B150" s="43"/>
      <c r="C150" s="43"/>
      <c r="D150" s="64"/>
      <c r="E150" s="98" t="s">
        <v>416</v>
      </c>
      <c r="F150" s="98" t="s">
        <v>416</v>
      </c>
      <c r="G150" s="71">
        <v>24033</v>
      </c>
      <c r="H150" s="38">
        <v>45000</v>
      </c>
      <c r="I150" s="38">
        <v>45079</v>
      </c>
      <c r="J150" s="38">
        <v>45111</v>
      </c>
      <c r="K150" s="39" t="s">
        <v>683</v>
      </c>
      <c r="L150" s="39" t="s">
        <v>684</v>
      </c>
      <c r="M150" s="61"/>
      <c r="N150" s="40">
        <v>5586</v>
      </c>
      <c r="O150" s="41">
        <v>6065</v>
      </c>
      <c r="P150" s="41">
        <f>Tabla156[[#This Row],[PRECIO CLIENTE]]-Tabla156[[#This Row],[CANTIDAD PUBLICA]]</f>
        <v>479</v>
      </c>
      <c r="Q150" s="10">
        <f>Tabla156[[#This Row],[COMISION AGENCIA]]*0.05</f>
        <v>23.950000000000003</v>
      </c>
      <c r="R150" s="36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</row>
    <row r="151" spans="1:39" ht="15.75" x14ac:dyDescent="0.25">
      <c r="A151" s="64"/>
      <c r="B151" s="43"/>
      <c r="C151" s="43"/>
      <c r="D151" s="64"/>
      <c r="E151" s="98" t="s">
        <v>416</v>
      </c>
      <c r="F151" s="98" t="s">
        <v>416</v>
      </c>
      <c r="G151" s="71">
        <v>24043</v>
      </c>
      <c r="H151" s="38">
        <v>45001</v>
      </c>
      <c r="I151" s="38">
        <v>45030</v>
      </c>
      <c r="J151" s="38">
        <v>45047</v>
      </c>
      <c r="K151" s="39" t="s">
        <v>685</v>
      </c>
      <c r="L151" s="39" t="s">
        <v>658</v>
      </c>
      <c r="M151" s="61"/>
      <c r="N151" s="40">
        <v>10332</v>
      </c>
      <c r="O151" s="41">
        <v>11710</v>
      </c>
      <c r="P151" s="41">
        <f>Tabla156[[#This Row],[PRECIO CLIENTE]]-Tabla156[[#This Row],[CANTIDAD PUBLICA]]</f>
        <v>1378</v>
      </c>
      <c r="Q151" s="10">
        <f>Tabla156[[#This Row],[COMISION AGENCIA]]*0.05</f>
        <v>68.900000000000006</v>
      </c>
      <c r="R151" s="36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</row>
    <row r="152" spans="1:39" ht="15.75" x14ac:dyDescent="0.25">
      <c r="A152" s="55">
        <f>Tabla156[[#This Row],[FECHA IN]]-25</f>
        <v>44988</v>
      </c>
      <c r="B152" s="29"/>
      <c r="C152" s="32" t="s">
        <v>686</v>
      </c>
      <c r="D152" s="27"/>
      <c r="E152" s="69" t="s">
        <v>420</v>
      </c>
      <c r="F152" s="70" t="s">
        <v>26</v>
      </c>
      <c r="G152" s="7">
        <v>24059</v>
      </c>
      <c r="H152" s="67">
        <v>45002</v>
      </c>
      <c r="I152" s="6">
        <v>45013</v>
      </c>
      <c r="J152" s="6">
        <v>45018</v>
      </c>
      <c r="K152" s="25" t="s">
        <v>687</v>
      </c>
      <c r="L152" s="121" t="s">
        <v>688</v>
      </c>
      <c r="M152" s="83">
        <v>3485931993</v>
      </c>
      <c r="N152" s="8">
        <v>46578.13</v>
      </c>
      <c r="O152" s="3">
        <v>40525</v>
      </c>
      <c r="P152" s="3">
        <f>Tabla156[[#This Row],[CANTIDAD PUBLICA]]*0.05</f>
        <v>2328.9065000000001</v>
      </c>
      <c r="Q152" s="15">
        <f>Tabla156[[#This Row],[COMISION AGENCIA]]*0.05</f>
        <v>116.44532500000001</v>
      </c>
      <c r="R152" s="36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</row>
    <row r="153" spans="1:39" ht="15.75" x14ac:dyDescent="0.25">
      <c r="A153" s="64"/>
      <c r="B153" s="43"/>
      <c r="C153" s="43"/>
      <c r="D153" s="64"/>
      <c r="E153" s="98" t="s">
        <v>416</v>
      </c>
      <c r="F153" s="98" t="s">
        <v>416</v>
      </c>
      <c r="G153" s="71">
        <v>24064</v>
      </c>
      <c r="H153" s="38">
        <v>45002</v>
      </c>
      <c r="I153" s="38">
        <v>45008</v>
      </c>
      <c r="J153" s="38">
        <v>45008</v>
      </c>
      <c r="K153" s="39" t="s">
        <v>689</v>
      </c>
      <c r="L153" s="39" t="s">
        <v>658</v>
      </c>
      <c r="M153" s="61"/>
      <c r="N153" s="40">
        <v>2483</v>
      </c>
      <c r="O153" s="41">
        <v>2925</v>
      </c>
      <c r="P153" s="41">
        <f>Tabla156[[#This Row],[PRECIO CLIENTE]]-Tabla156[[#This Row],[CANTIDAD PUBLICA]]</f>
        <v>442</v>
      </c>
      <c r="Q153" s="10">
        <f>Tabla156[[#This Row],[COMISION AGENCIA]]*0.05</f>
        <v>22.1</v>
      </c>
      <c r="R153" s="36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</row>
    <row r="154" spans="1:39" ht="15.75" x14ac:dyDescent="0.25">
      <c r="A154" s="55">
        <f>Tabla156[[#This Row],[FECHA IN]]-25</f>
        <v>44983</v>
      </c>
      <c r="B154" s="29"/>
      <c r="C154" s="32" t="s">
        <v>690</v>
      </c>
      <c r="D154" s="27"/>
      <c r="E154" s="69" t="s">
        <v>420</v>
      </c>
      <c r="F154" s="70" t="s">
        <v>26</v>
      </c>
      <c r="G154" s="7">
        <v>24067</v>
      </c>
      <c r="H154" s="67">
        <v>45002</v>
      </c>
      <c r="I154" s="6">
        <v>45008</v>
      </c>
      <c r="J154" s="6">
        <v>45011</v>
      </c>
      <c r="K154" s="25" t="s">
        <v>691</v>
      </c>
      <c r="L154" s="121" t="s">
        <v>451</v>
      </c>
      <c r="M154" s="83"/>
      <c r="N154" s="8">
        <v>9577.5</v>
      </c>
      <c r="O154" s="3">
        <v>8335</v>
      </c>
      <c r="P154" s="3">
        <f>Tabla156[[#This Row],[CANTIDAD PUBLICA]]*0.05</f>
        <v>478.875</v>
      </c>
      <c r="Q154" s="15">
        <f>Tabla156[[#This Row],[COMISION AGENCIA]]*0.05</f>
        <v>23.943750000000001</v>
      </c>
      <c r="R154" s="36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</row>
    <row r="155" spans="1:39" ht="15.75" x14ac:dyDescent="0.25">
      <c r="A155" s="55">
        <f>Tabla156[[#This Row],[FECHA IN]]-25</f>
        <v>44983</v>
      </c>
      <c r="B155" s="29"/>
      <c r="C155" s="32" t="s">
        <v>692</v>
      </c>
      <c r="D155" s="27"/>
      <c r="E155" s="69" t="s">
        <v>420</v>
      </c>
      <c r="F155" s="70" t="s">
        <v>26</v>
      </c>
      <c r="G155" s="7">
        <v>24069</v>
      </c>
      <c r="H155" s="67">
        <v>45002</v>
      </c>
      <c r="I155" s="6">
        <v>45008</v>
      </c>
      <c r="J155" s="6">
        <v>45011</v>
      </c>
      <c r="K155" s="25" t="s">
        <v>693</v>
      </c>
      <c r="L155" s="121" t="s">
        <v>694</v>
      </c>
      <c r="M155" s="83"/>
      <c r="N155" s="8">
        <v>43447.3</v>
      </c>
      <c r="O155" s="3">
        <v>39105</v>
      </c>
      <c r="P155" s="3">
        <f>Tabla156[[#This Row],[CANTIDAD PUBLICA]]*0.05</f>
        <v>2172.3650000000002</v>
      </c>
      <c r="Q155" s="15">
        <f>Tabla156[[#This Row],[COMISION AGENCIA]]*0.05</f>
        <v>108.61825000000002</v>
      </c>
      <c r="R155" s="36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</row>
    <row r="156" spans="1:39" ht="15.75" x14ac:dyDescent="0.25">
      <c r="A156" s="64"/>
      <c r="B156" s="43"/>
      <c r="C156" s="43"/>
      <c r="D156" s="64"/>
      <c r="E156" s="98" t="s">
        <v>416</v>
      </c>
      <c r="F156" s="98" t="s">
        <v>416</v>
      </c>
      <c r="G156" s="71">
        <v>24115</v>
      </c>
      <c r="H156" s="38">
        <v>45006</v>
      </c>
      <c r="I156" s="38">
        <v>45007</v>
      </c>
      <c r="J156" s="38">
        <v>45009</v>
      </c>
      <c r="K156" s="39" t="s">
        <v>695</v>
      </c>
      <c r="L156" s="39" t="s">
        <v>579</v>
      </c>
      <c r="M156" s="61"/>
      <c r="N156" s="40">
        <v>4254</v>
      </c>
      <c r="O156" s="41">
        <v>4680</v>
      </c>
      <c r="P156" s="41">
        <f>Tabla156[[#This Row],[PRECIO CLIENTE]]-Tabla156[[#This Row],[CANTIDAD PUBLICA]]</f>
        <v>426</v>
      </c>
      <c r="Q156" s="10">
        <f>Tabla156[[#This Row],[COMISION AGENCIA]]*0.05</f>
        <v>21.3</v>
      </c>
      <c r="R156" s="36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</row>
    <row r="157" spans="1:39" ht="15.75" x14ac:dyDescent="0.25">
      <c r="A157" s="64"/>
      <c r="B157" s="43"/>
      <c r="C157" s="43"/>
      <c r="D157" s="64"/>
      <c r="E157" s="98" t="s">
        <v>416</v>
      </c>
      <c r="F157" s="98" t="s">
        <v>416</v>
      </c>
      <c r="G157" s="71">
        <v>24115</v>
      </c>
      <c r="H157" s="38">
        <v>45006</v>
      </c>
      <c r="I157" s="38">
        <v>45007</v>
      </c>
      <c r="J157" s="38">
        <v>45009</v>
      </c>
      <c r="K157" s="39" t="s">
        <v>696</v>
      </c>
      <c r="L157" s="39" t="s">
        <v>579</v>
      </c>
      <c r="M157" s="61"/>
      <c r="N157" s="40">
        <v>4254</v>
      </c>
      <c r="O157" s="41">
        <v>4680</v>
      </c>
      <c r="P157" s="41">
        <f>Tabla156[[#This Row],[PRECIO CLIENTE]]-Tabla156[[#This Row],[CANTIDAD PUBLICA]]</f>
        <v>426</v>
      </c>
      <c r="Q157" s="10">
        <f>Tabla156[[#This Row],[COMISION AGENCIA]]*0.05</f>
        <v>21.3</v>
      </c>
      <c r="R157" s="36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</row>
    <row r="158" spans="1:39" ht="15.75" x14ac:dyDescent="0.25">
      <c r="A158" s="55">
        <f>Tabla156[[#This Row],[FECHA IN]]-25</f>
        <v>44996</v>
      </c>
      <c r="B158" s="29"/>
      <c r="C158" s="32" t="s">
        <v>697</v>
      </c>
      <c r="D158" s="27"/>
      <c r="E158" s="69" t="s">
        <v>420</v>
      </c>
      <c r="F158" s="70" t="s">
        <v>26</v>
      </c>
      <c r="G158" s="7">
        <v>24155</v>
      </c>
      <c r="H158" s="67">
        <v>45009</v>
      </c>
      <c r="I158" s="6">
        <v>45021</v>
      </c>
      <c r="J158" s="6">
        <v>45024</v>
      </c>
      <c r="K158" s="25" t="s">
        <v>698</v>
      </c>
      <c r="L158" s="121" t="s">
        <v>655</v>
      </c>
      <c r="M158" s="83"/>
      <c r="N158" s="8">
        <v>18991.88</v>
      </c>
      <c r="O158" s="3">
        <v>16525</v>
      </c>
      <c r="P158" s="3">
        <f>Tabla156[[#This Row],[CANTIDAD PUBLICA]]*0.05</f>
        <v>949.59400000000005</v>
      </c>
      <c r="Q158" s="15">
        <f>Tabla156[[#This Row],[COMISION AGENCIA]]*0.05</f>
        <v>47.479700000000008</v>
      </c>
      <c r="R158" s="36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</row>
    <row r="159" spans="1:39" ht="15.75" x14ac:dyDescent="0.25">
      <c r="A159" s="55">
        <f>Tabla156[[#This Row],[FECHA IN]]-15</f>
        <v>45074</v>
      </c>
      <c r="B159" s="29"/>
      <c r="C159" s="32" t="s">
        <v>699</v>
      </c>
      <c r="D159" s="27"/>
      <c r="E159" s="69" t="s">
        <v>420</v>
      </c>
      <c r="F159" s="70" t="s">
        <v>26</v>
      </c>
      <c r="G159" s="7" t="s">
        <v>700</v>
      </c>
      <c r="H159" s="67">
        <v>45010</v>
      </c>
      <c r="I159" s="6">
        <v>45089</v>
      </c>
      <c r="J159" s="6">
        <v>45094</v>
      </c>
      <c r="K159" s="25" t="s">
        <v>701</v>
      </c>
      <c r="L159" s="121" t="s">
        <v>702</v>
      </c>
      <c r="M159" s="83"/>
      <c r="N159" s="8">
        <v>23951.03</v>
      </c>
      <c r="O159" s="3">
        <v>22705</v>
      </c>
      <c r="P159" s="3">
        <f>Tabla156[[#This Row],[CANTIDAD PUBLICA]]*0.05</f>
        <v>1197.5515</v>
      </c>
      <c r="Q159" s="15">
        <f>Tabla156[[#This Row],[COMISION AGENCIA]]*0.05</f>
        <v>59.877575000000007</v>
      </c>
      <c r="R159" s="36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</row>
    <row r="160" spans="1:39" ht="15.75" x14ac:dyDescent="0.25">
      <c r="A160" s="55">
        <f>Tabla156[[#This Row],[FECHA IN]]-15</f>
        <v>45074</v>
      </c>
      <c r="B160" s="29"/>
      <c r="C160" s="32" t="s">
        <v>703</v>
      </c>
      <c r="D160" s="27"/>
      <c r="E160" s="69" t="s">
        <v>420</v>
      </c>
      <c r="F160" s="70" t="s">
        <v>26</v>
      </c>
      <c r="G160" s="7" t="s">
        <v>700</v>
      </c>
      <c r="H160" s="67">
        <v>45010</v>
      </c>
      <c r="I160" s="6">
        <v>45089</v>
      </c>
      <c r="J160" s="6">
        <v>45094</v>
      </c>
      <c r="K160" s="25" t="s">
        <v>704</v>
      </c>
      <c r="L160" s="121" t="s">
        <v>702</v>
      </c>
      <c r="M160" s="83"/>
      <c r="N160" s="8">
        <v>23906.25</v>
      </c>
      <c r="O160" s="3">
        <v>20798.43</v>
      </c>
      <c r="P160" s="3">
        <f>Tabla156[[#This Row],[CANTIDAD PUBLICA]]*0.05</f>
        <v>1195.3125</v>
      </c>
      <c r="Q160" s="15">
        <f>Tabla156[[#This Row],[COMISION AGENCIA]]*0.05</f>
        <v>59.765625</v>
      </c>
      <c r="R160" s="36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</row>
    <row r="161" spans="1:39" ht="15.75" x14ac:dyDescent="0.25">
      <c r="A161" s="64"/>
      <c r="B161" s="43"/>
      <c r="C161" s="43"/>
      <c r="D161" s="64"/>
      <c r="E161" s="98" t="s">
        <v>416</v>
      </c>
      <c r="F161" s="98" t="s">
        <v>416</v>
      </c>
      <c r="G161" s="71">
        <v>21214</v>
      </c>
      <c r="H161" s="38">
        <v>45013</v>
      </c>
      <c r="I161" s="38">
        <v>45034</v>
      </c>
      <c r="J161" s="38">
        <v>45070</v>
      </c>
      <c r="K161" s="39" t="s">
        <v>705</v>
      </c>
      <c r="L161" s="39" t="s">
        <v>706</v>
      </c>
      <c r="M161" s="61"/>
      <c r="N161" s="40">
        <v>3364</v>
      </c>
      <c r="O161" s="41">
        <v>3960</v>
      </c>
      <c r="P161" s="41">
        <f>Tabla156[[#This Row],[PRECIO CLIENTE]]-Tabla156[[#This Row],[CANTIDAD PUBLICA]]</f>
        <v>596</v>
      </c>
      <c r="Q161" s="10">
        <f>Tabla156[[#This Row],[COMISION AGENCIA]]*0.05</f>
        <v>29.8</v>
      </c>
      <c r="R161" s="36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</row>
    <row r="162" spans="1:39" ht="15.75" x14ac:dyDescent="0.25">
      <c r="A162" s="64"/>
      <c r="B162" s="43"/>
      <c r="C162" s="43"/>
      <c r="D162" s="64"/>
      <c r="E162" s="98" t="s">
        <v>416</v>
      </c>
      <c r="F162" s="98" t="s">
        <v>416</v>
      </c>
      <c r="G162" s="71">
        <v>24226</v>
      </c>
      <c r="H162" s="38">
        <v>45014</v>
      </c>
      <c r="I162" s="38">
        <v>45042</v>
      </c>
      <c r="J162" s="38">
        <v>45070</v>
      </c>
      <c r="K162" s="39" t="s">
        <v>707</v>
      </c>
      <c r="L162" s="39" t="s">
        <v>616</v>
      </c>
      <c r="M162" s="61"/>
      <c r="N162" s="40">
        <v>5935</v>
      </c>
      <c r="O162" s="41">
        <v>6510</v>
      </c>
      <c r="P162" s="41">
        <f>Tabla156[[#This Row],[PRECIO CLIENTE]]-Tabla156[[#This Row],[CANTIDAD PUBLICA]]</f>
        <v>575</v>
      </c>
      <c r="Q162" s="10">
        <f>Tabla156[[#This Row],[COMISION AGENCIA]]*0.05</f>
        <v>28.75</v>
      </c>
      <c r="R162" s="36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</row>
    <row r="163" spans="1:39" ht="15.75" x14ac:dyDescent="0.25">
      <c r="A163" s="64"/>
      <c r="B163" s="43"/>
      <c r="C163" s="43"/>
      <c r="D163" s="64"/>
      <c r="E163" s="98" t="s">
        <v>416</v>
      </c>
      <c r="F163" s="98" t="s">
        <v>416</v>
      </c>
      <c r="G163" s="71">
        <v>24253</v>
      </c>
      <c r="H163" s="38">
        <v>45016</v>
      </c>
      <c r="I163" s="38">
        <v>45016</v>
      </c>
      <c r="J163" s="38">
        <v>45016</v>
      </c>
      <c r="K163" s="39" t="s">
        <v>708</v>
      </c>
      <c r="L163" s="39" t="s">
        <v>538</v>
      </c>
      <c r="M163" s="61"/>
      <c r="N163" s="40">
        <v>3871</v>
      </c>
      <c r="O163" s="41">
        <v>4690</v>
      </c>
      <c r="P163" s="41">
        <f>Tabla156[[#This Row],[PRECIO CLIENTE]]-Tabla156[[#This Row],[CANTIDAD PUBLICA]]</f>
        <v>819</v>
      </c>
      <c r="Q163" s="10">
        <f>Tabla156[[#This Row],[COMISION AGENCIA]]*0.05</f>
        <v>40.950000000000003</v>
      </c>
      <c r="R163" s="36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</row>
    <row r="164" spans="1:39" ht="15.75" x14ac:dyDescent="0.25">
      <c r="A164" s="64"/>
      <c r="B164" s="43"/>
      <c r="C164" s="43"/>
      <c r="D164" s="64"/>
      <c r="E164" s="98" t="s">
        <v>416</v>
      </c>
      <c r="F164" s="98" t="s">
        <v>416</v>
      </c>
      <c r="G164" s="71">
        <v>24262</v>
      </c>
      <c r="H164" s="38">
        <v>45016</v>
      </c>
      <c r="I164" s="38">
        <v>45051</v>
      </c>
      <c r="J164" s="38">
        <v>45051</v>
      </c>
      <c r="K164" s="39" t="s">
        <v>709</v>
      </c>
      <c r="L164" s="39" t="s">
        <v>483</v>
      </c>
      <c r="M164" s="61"/>
      <c r="N164" s="40">
        <v>2720</v>
      </c>
      <c r="O164" s="41">
        <v>2910</v>
      </c>
      <c r="P164" s="41">
        <f>Tabla156[[#This Row],[PRECIO CLIENTE]]-Tabla156[[#This Row],[CANTIDAD PUBLICA]]</f>
        <v>190</v>
      </c>
      <c r="Q164" s="10">
        <f>Tabla156[[#This Row],[COMISION AGENCIA]]*0.05</f>
        <v>9.5</v>
      </c>
      <c r="R164" s="36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</row>
    <row r="165" spans="1:39" ht="15.75" x14ac:dyDescent="0.25">
      <c r="A165" s="104"/>
      <c r="B165" s="105"/>
      <c r="C165" s="105"/>
      <c r="D165" s="104"/>
      <c r="E165" s="106"/>
      <c r="F165" s="106"/>
      <c r="G165" s="107"/>
      <c r="H165" s="108"/>
      <c r="I165" s="108"/>
      <c r="J165" s="166"/>
      <c r="K165" s="110"/>
      <c r="L165" s="110"/>
      <c r="M165" s="111"/>
      <c r="N165" s="109"/>
      <c r="O165" s="112"/>
      <c r="P165" s="127"/>
      <c r="Q165" s="126">
        <f>Tabla156[[#This Row],[COMISION AGENCIA]]*0.05</f>
        <v>0</v>
      </c>
      <c r="R165" s="11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</row>
    <row r="166" spans="1:39" ht="15.75" x14ac:dyDescent="0.25">
      <c r="A166" s="64"/>
      <c r="B166" s="43"/>
      <c r="C166" s="43"/>
      <c r="D166" s="64"/>
      <c r="E166" s="98" t="s">
        <v>416</v>
      </c>
      <c r="F166" s="98" t="s">
        <v>416</v>
      </c>
      <c r="G166" s="71">
        <v>24310</v>
      </c>
      <c r="H166" s="38">
        <v>45020</v>
      </c>
      <c r="I166" s="38">
        <v>45029</v>
      </c>
      <c r="J166" s="38">
        <v>45046</v>
      </c>
      <c r="K166" s="39" t="s">
        <v>710</v>
      </c>
      <c r="L166" s="39" t="s">
        <v>711</v>
      </c>
      <c r="M166" s="61"/>
      <c r="N166" s="40">
        <v>16659</v>
      </c>
      <c r="O166" s="41">
        <v>18270</v>
      </c>
      <c r="P166" s="41">
        <f>Tabla156[[#This Row],[PRECIO CLIENTE]]-Tabla156[[#This Row],[CANTIDAD PUBLICA]]</f>
        <v>1611</v>
      </c>
      <c r="Q166" s="10">
        <f>Tabla156[[#This Row],[COMISION AGENCIA]]*0.05</f>
        <v>80.550000000000011</v>
      </c>
      <c r="R166" s="36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</row>
    <row r="167" spans="1:39" ht="15.75" x14ac:dyDescent="0.25">
      <c r="A167" s="64"/>
      <c r="B167" s="43"/>
      <c r="C167" s="43"/>
      <c r="D167" s="64"/>
      <c r="E167" s="98" t="s">
        <v>416</v>
      </c>
      <c r="F167" s="98" t="s">
        <v>416</v>
      </c>
      <c r="G167" s="71">
        <v>24327</v>
      </c>
      <c r="H167" s="38">
        <v>45021</v>
      </c>
      <c r="I167" s="38">
        <v>45094</v>
      </c>
      <c r="J167" s="38">
        <v>45102</v>
      </c>
      <c r="K167" s="39" t="s">
        <v>712</v>
      </c>
      <c r="L167" s="39" t="s">
        <v>711</v>
      </c>
      <c r="M167" s="61"/>
      <c r="N167" s="40">
        <v>9792</v>
      </c>
      <c r="O167" s="41">
        <v>10760</v>
      </c>
      <c r="P167" s="41">
        <f>Tabla156[[#This Row],[PRECIO CLIENTE]]-Tabla156[[#This Row],[CANTIDAD PUBLICA]]</f>
        <v>968</v>
      </c>
      <c r="Q167" s="10">
        <f>Tabla156[[#This Row],[COMISION AGENCIA]]*0.05</f>
        <v>48.400000000000006</v>
      </c>
      <c r="R167" s="36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</row>
    <row r="168" spans="1:39" ht="15.75" x14ac:dyDescent="0.25">
      <c r="A168" s="55">
        <f>Tabla156[[#This Row],[FECHA IN]]-15</f>
        <v>45122</v>
      </c>
      <c r="B168" s="29"/>
      <c r="C168" s="32" t="s">
        <v>713</v>
      </c>
      <c r="D168" s="27"/>
      <c r="E168" s="99" t="s">
        <v>419</v>
      </c>
      <c r="F168" s="100" t="s">
        <v>27</v>
      </c>
      <c r="G168" s="7">
        <v>24366</v>
      </c>
      <c r="H168" s="67">
        <v>45026</v>
      </c>
      <c r="I168" s="6">
        <v>45137</v>
      </c>
      <c r="J168" s="6">
        <v>45142</v>
      </c>
      <c r="K168" s="25" t="s">
        <v>714</v>
      </c>
      <c r="L168" s="121" t="s">
        <v>715</v>
      </c>
      <c r="M168" s="83"/>
      <c r="N168" s="8">
        <v>32982.22</v>
      </c>
      <c r="O168" s="3">
        <v>28695</v>
      </c>
      <c r="P168" s="3">
        <f>Tabla156[[#This Row],[CANTIDAD PUBLICA]]*0.05</f>
        <v>1649.1110000000001</v>
      </c>
      <c r="Q168" s="15">
        <f>Tabla156[[#This Row],[COMISION AGENCIA]]*0.05</f>
        <v>82.455550000000017</v>
      </c>
      <c r="R168" s="36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</row>
    <row r="169" spans="1:39" ht="15.75" x14ac:dyDescent="0.25">
      <c r="A169" s="55">
        <f>Tabla156[[#This Row],[FECHA IN]]-15</f>
        <v>45122</v>
      </c>
      <c r="B169" s="29"/>
      <c r="C169" s="32" t="s">
        <v>716</v>
      </c>
      <c r="D169" s="27"/>
      <c r="E169" s="99" t="s">
        <v>419</v>
      </c>
      <c r="F169" s="100" t="s">
        <v>27</v>
      </c>
      <c r="G169" s="7">
        <v>24366</v>
      </c>
      <c r="H169" s="67">
        <v>45026</v>
      </c>
      <c r="I169" s="6">
        <v>45137</v>
      </c>
      <c r="J169" s="6">
        <v>45142</v>
      </c>
      <c r="K169" s="25" t="s">
        <v>717</v>
      </c>
      <c r="L169" s="121" t="s">
        <v>715</v>
      </c>
      <c r="M169" s="83"/>
      <c r="N169" s="8">
        <v>26385.79</v>
      </c>
      <c r="O169" s="3">
        <v>22960</v>
      </c>
      <c r="P169" s="3">
        <f>Tabla156[[#This Row],[CANTIDAD PUBLICA]]*0.05</f>
        <v>1319.2895000000001</v>
      </c>
      <c r="Q169" s="15">
        <f>Tabla156[[#This Row],[COMISION AGENCIA]]*0.05</f>
        <v>65.964475000000007</v>
      </c>
      <c r="R169" s="36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</row>
    <row r="170" spans="1:39" ht="15.75" x14ac:dyDescent="0.25">
      <c r="A170" s="64"/>
      <c r="B170" s="43"/>
      <c r="C170" s="43"/>
      <c r="D170" s="64"/>
      <c r="E170" s="98" t="s">
        <v>416</v>
      </c>
      <c r="F170" s="98" t="s">
        <v>416</v>
      </c>
      <c r="G170" s="71">
        <v>24386</v>
      </c>
      <c r="H170" s="38">
        <v>45027</v>
      </c>
      <c r="I170" s="38">
        <v>45031</v>
      </c>
      <c r="J170" s="38">
        <v>45031</v>
      </c>
      <c r="K170" s="39" t="s">
        <v>718</v>
      </c>
      <c r="L170" s="39" t="s">
        <v>629</v>
      </c>
      <c r="M170" s="61"/>
      <c r="N170" s="40">
        <v>1626</v>
      </c>
      <c r="O170" s="41">
        <v>1985</v>
      </c>
      <c r="P170" s="41">
        <f>Tabla156[[#This Row],[PRECIO CLIENTE]]-Tabla156[[#This Row],[CANTIDAD PUBLICA]]</f>
        <v>359</v>
      </c>
      <c r="Q170" s="10">
        <f>Tabla156[[#This Row],[COMISION AGENCIA]]*0.05</f>
        <v>17.95</v>
      </c>
      <c r="R170" s="36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</row>
    <row r="171" spans="1:39" ht="15.75" x14ac:dyDescent="0.25">
      <c r="A171" s="64"/>
      <c r="B171" s="43"/>
      <c r="C171" s="43"/>
      <c r="D171" s="64"/>
      <c r="E171" s="98" t="s">
        <v>416</v>
      </c>
      <c r="F171" s="98" t="s">
        <v>416</v>
      </c>
      <c r="G171" s="71">
        <v>24408</v>
      </c>
      <c r="H171" s="38">
        <v>45028</v>
      </c>
      <c r="I171" s="38">
        <v>45039</v>
      </c>
      <c r="J171" s="38">
        <v>45039</v>
      </c>
      <c r="K171" s="39" t="s">
        <v>719</v>
      </c>
      <c r="L171" s="39" t="s">
        <v>720</v>
      </c>
      <c r="M171" s="61"/>
      <c r="N171" s="40">
        <v>5778</v>
      </c>
      <c r="O171" s="41">
        <v>7795</v>
      </c>
      <c r="P171" s="41">
        <f>Tabla156[[#This Row],[PRECIO CLIENTE]]-Tabla156[[#This Row],[CANTIDAD PUBLICA]]</f>
        <v>2017</v>
      </c>
      <c r="Q171" s="10">
        <f>Tabla156[[#This Row],[COMISION AGENCIA]]*0.05</f>
        <v>100.85000000000001</v>
      </c>
      <c r="R171" s="36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</row>
    <row r="172" spans="1:39" ht="15.75" x14ac:dyDescent="0.25">
      <c r="A172" s="64"/>
      <c r="B172" s="43"/>
      <c r="C172" s="43"/>
      <c r="D172" s="64"/>
      <c r="E172" s="98" t="s">
        <v>416</v>
      </c>
      <c r="F172" s="98" t="s">
        <v>416</v>
      </c>
      <c r="G172" s="71">
        <v>24421</v>
      </c>
      <c r="H172" s="38">
        <v>45029</v>
      </c>
      <c r="I172" s="38">
        <v>45040</v>
      </c>
      <c r="J172" s="38">
        <v>45058</v>
      </c>
      <c r="K172" s="39" t="s">
        <v>721</v>
      </c>
      <c r="L172" s="39" t="s">
        <v>481</v>
      </c>
      <c r="M172" s="61"/>
      <c r="N172" s="40">
        <v>5695</v>
      </c>
      <c r="O172" s="41">
        <v>6200</v>
      </c>
      <c r="P172" s="41">
        <f>Tabla156[[#This Row],[PRECIO CLIENTE]]-Tabla156[[#This Row],[CANTIDAD PUBLICA]]</f>
        <v>505</v>
      </c>
      <c r="Q172" s="10">
        <f>Tabla156[[#This Row],[COMISION AGENCIA]]*0.05</f>
        <v>25.25</v>
      </c>
      <c r="R172" s="36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</row>
    <row r="173" spans="1:39" ht="15.75" x14ac:dyDescent="0.25">
      <c r="A173" s="55">
        <f>Tabla156[[#This Row],[FECHA IN]]-15</f>
        <v>45020</v>
      </c>
      <c r="B173" s="29"/>
      <c r="C173" s="32" t="s">
        <v>722</v>
      </c>
      <c r="D173" s="27"/>
      <c r="E173" s="69" t="s">
        <v>420</v>
      </c>
      <c r="F173" s="70" t="s">
        <v>26</v>
      </c>
      <c r="G173" s="7" t="s">
        <v>723</v>
      </c>
      <c r="H173" s="67">
        <v>45029</v>
      </c>
      <c r="I173" s="6">
        <v>45035</v>
      </c>
      <c r="J173" s="6">
        <v>45039</v>
      </c>
      <c r="K173" s="25" t="s">
        <v>724</v>
      </c>
      <c r="L173" s="121" t="s">
        <v>725</v>
      </c>
      <c r="M173" s="83"/>
      <c r="N173" s="8">
        <v>17018.5</v>
      </c>
      <c r="O173" s="3">
        <v>14810</v>
      </c>
      <c r="P173" s="3">
        <f>Tabla156[[#This Row],[CANTIDAD PUBLICA]]*0.05</f>
        <v>850.92500000000007</v>
      </c>
      <c r="Q173" s="15">
        <f>Tabla156[[#This Row],[COMISION AGENCIA]]*0.05</f>
        <v>42.546250000000008</v>
      </c>
      <c r="R173" s="36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</row>
    <row r="174" spans="1:39" ht="15.75" x14ac:dyDescent="0.25">
      <c r="A174" s="64"/>
      <c r="B174" s="43"/>
      <c r="C174" s="43"/>
      <c r="D174" s="64"/>
      <c r="E174" s="98" t="s">
        <v>416</v>
      </c>
      <c r="F174" s="98" t="s">
        <v>416</v>
      </c>
      <c r="G174" s="71">
        <v>24465</v>
      </c>
      <c r="H174" s="38">
        <v>45031</v>
      </c>
      <c r="I174" s="38">
        <v>45048</v>
      </c>
      <c r="J174" s="38">
        <v>45048</v>
      </c>
      <c r="K174" s="39" t="s">
        <v>726</v>
      </c>
      <c r="L174" s="39" t="s">
        <v>727</v>
      </c>
      <c r="M174" s="61"/>
      <c r="N174" s="40">
        <v>2423.58</v>
      </c>
      <c r="O174" s="41">
        <v>2925</v>
      </c>
      <c r="P174" s="41">
        <f>Tabla156[[#This Row],[PRECIO CLIENTE]]-Tabla156[[#This Row],[CANTIDAD PUBLICA]]</f>
        <v>501.42000000000007</v>
      </c>
      <c r="Q174" s="10">
        <f>Tabla156[[#This Row],[COMISION AGENCIA]]*0.05</f>
        <v>25.071000000000005</v>
      </c>
      <c r="R174" s="36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</row>
    <row r="175" spans="1:39" ht="15.75" x14ac:dyDescent="0.25">
      <c r="A175" s="55">
        <f>Tabla156[[#This Row],[FECHA IN]]-15</f>
        <v>45108</v>
      </c>
      <c r="B175" s="29"/>
      <c r="C175" s="32" t="s">
        <v>728</v>
      </c>
      <c r="D175" s="27"/>
      <c r="E175" s="99" t="s">
        <v>419</v>
      </c>
      <c r="F175" s="100" t="s">
        <v>27</v>
      </c>
      <c r="G175" s="7">
        <v>24617</v>
      </c>
      <c r="H175" s="67">
        <v>45041</v>
      </c>
      <c r="I175" s="6">
        <v>45123</v>
      </c>
      <c r="J175" s="6">
        <v>45127</v>
      </c>
      <c r="K175" s="25" t="s">
        <v>729</v>
      </c>
      <c r="L175" s="121" t="s">
        <v>730</v>
      </c>
      <c r="M175" s="83"/>
      <c r="N175" s="8">
        <v>45433.2</v>
      </c>
      <c r="O175" s="3">
        <v>39530</v>
      </c>
      <c r="P175" s="3">
        <f>Tabla156[[#This Row],[CANTIDAD PUBLICA]]*0.05</f>
        <v>2271.66</v>
      </c>
      <c r="Q175" s="15">
        <f>Tabla156[[#This Row],[COMISION AGENCIA]]*0.05</f>
        <v>113.583</v>
      </c>
      <c r="R175" s="36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</row>
    <row r="176" spans="1:39" ht="15.75" x14ac:dyDescent="0.25">
      <c r="A176" s="55">
        <f>Tabla156[[#This Row],[FECHA IN]]-15</f>
        <v>45108</v>
      </c>
      <c r="B176" s="29"/>
      <c r="C176" s="32" t="s">
        <v>731</v>
      </c>
      <c r="D176" s="27"/>
      <c r="E176" s="99" t="s">
        <v>419</v>
      </c>
      <c r="F176" s="100" t="s">
        <v>27</v>
      </c>
      <c r="G176" s="7">
        <v>24618</v>
      </c>
      <c r="H176" s="67">
        <v>45041</v>
      </c>
      <c r="I176" s="6">
        <v>45123</v>
      </c>
      <c r="J176" s="6">
        <v>45127</v>
      </c>
      <c r="K176" s="25" t="s">
        <v>732</v>
      </c>
      <c r="L176" s="121" t="s">
        <v>730</v>
      </c>
      <c r="M176" s="83"/>
      <c r="N176" s="8">
        <v>35992.9</v>
      </c>
      <c r="O176" s="3">
        <v>31315</v>
      </c>
      <c r="P176" s="3">
        <f>Tabla156[[#This Row],[CANTIDAD PUBLICA]]*0.05</f>
        <v>1799.6450000000002</v>
      </c>
      <c r="Q176" s="15">
        <f>Tabla156[[#This Row],[COMISION AGENCIA]]*0.05</f>
        <v>89.982250000000022</v>
      </c>
      <c r="R176" s="36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</row>
    <row r="177" spans="1:39" ht="15.75" x14ac:dyDescent="0.25">
      <c r="A177" s="64"/>
      <c r="B177" s="43"/>
      <c r="C177" s="43"/>
      <c r="D177" s="64"/>
      <c r="E177" s="98" t="s">
        <v>416</v>
      </c>
      <c r="F177" s="98" t="s">
        <v>416</v>
      </c>
      <c r="G177" s="71">
        <v>24628</v>
      </c>
      <c r="H177" s="38">
        <v>45041</v>
      </c>
      <c r="I177" s="38">
        <v>45105</v>
      </c>
      <c r="J177" s="38">
        <v>45140</v>
      </c>
      <c r="K177" s="39" t="s">
        <v>733</v>
      </c>
      <c r="L177" s="39" t="s">
        <v>481</v>
      </c>
      <c r="M177" s="61"/>
      <c r="N177" s="40">
        <v>23772</v>
      </c>
      <c r="O177" s="41">
        <v>26000</v>
      </c>
      <c r="P177" s="41">
        <f>Tabla156[[#This Row],[PRECIO CLIENTE]]-Tabla156[[#This Row],[CANTIDAD PUBLICA]]</f>
        <v>2228</v>
      </c>
      <c r="Q177" s="10">
        <f>Tabla156[[#This Row],[COMISION AGENCIA]]*0.05</f>
        <v>111.4</v>
      </c>
      <c r="R177" s="36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</row>
    <row r="178" spans="1:39" ht="15.75" x14ac:dyDescent="0.25">
      <c r="A178" s="64"/>
      <c r="B178" s="43"/>
      <c r="C178" s="43"/>
      <c r="D178" s="64"/>
      <c r="E178" s="98" t="s">
        <v>416</v>
      </c>
      <c r="F178" s="98" t="s">
        <v>416</v>
      </c>
      <c r="G178" s="71">
        <v>24639</v>
      </c>
      <c r="H178" s="38">
        <v>45041</v>
      </c>
      <c r="I178" s="38">
        <v>45041</v>
      </c>
      <c r="J178" s="38">
        <v>45041</v>
      </c>
      <c r="K178" s="39" t="s">
        <v>734</v>
      </c>
      <c r="L178" s="39" t="s">
        <v>735</v>
      </c>
      <c r="M178" s="61"/>
      <c r="N178" s="40">
        <v>2369.91</v>
      </c>
      <c r="O178" s="41">
        <v>2550</v>
      </c>
      <c r="P178" s="41">
        <f>Tabla156[[#This Row],[PRECIO CLIENTE]]-Tabla156[[#This Row],[CANTIDAD PUBLICA]]</f>
        <v>180.09000000000015</v>
      </c>
      <c r="Q178" s="10">
        <f>Tabla156[[#This Row],[COMISION AGENCIA]]*0.05</f>
        <v>9.0045000000000073</v>
      </c>
      <c r="R178" s="36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</row>
    <row r="179" spans="1:39" ht="15.75" x14ac:dyDescent="0.25">
      <c r="A179" s="55">
        <f>Tabla156[[#This Row],[FECHA IN]]-15</f>
        <v>45031</v>
      </c>
      <c r="B179" s="29"/>
      <c r="C179" s="32"/>
      <c r="D179" s="27"/>
      <c r="E179" s="69" t="s">
        <v>420</v>
      </c>
      <c r="F179" s="70" t="s">
        <v>26</v>
      </c>
      <c r="G179" s="7">
        <v>24647</v>
      </c>
      <c r="H179" s="67">
        <v>45042</v>
      </c>
      <c r="I179" s="6">
        <v>45046</v>
      </c>
      <c r="J179" s="6">
        <v>45047</v>
      </c>
      <c r="K179" s="25" t="s">
        <v>529</v>
      </c>
      <c r="L179" s="121" t="s">
        <v>736</v>
      </c>
      <c r="M179" s="83"/>
      <c r="N179" s="8">
        <v>1776.51</v>
      </c>
      <c r="O179" s="3">
        <v>1615</v>
      </c>
      <c r="P179" s="3">
        <f>Tabla156[[#This Row],[CANTIDAD PUBLICA]]*0.05</f>
        <v>88.825500000000005</v>
      </c>
      <c r="Q179" s="15">
        <f>Tabla156[[#This Row],[COMISION AGENCIA]]*0.05</f>
        <v>4.4412750000000001</v>
      </c>
      <c r="R179" s="36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</row>
    <row r="180" spans="1:39" ht="15.75" x14ac:dyDescent="0.25">
      <c r="A180" s="64"/>
      <c r="B180" s="43"/>
      <c r="C180" s="43"/>
      <c r="D180" s="64"/>
      <c r="E180" s="98" t="s">
        <v>416</v>
      </c>
      <c r="F180" s="98" t="s">
        <v>416</v>
      </c>
      <c r="G180" s="71">
        <v>24670</v>
      </c>
      <c r="H180" s="38">
        <v>45044</v>
      </c>
      <c r="I180" s="38">
        <v>45050</v>
      </c>
      <c r="J180" s="38">
        <v>45050</v>
      </c>
      <c r="K180" s="39" t="s">
        <v>737</v>
      </c>
      <c r="L180" s="39" t="s">
        <v>466</v>
      </c>
      <c r="M180" s="61"/>
      <c r="N180" s="40">
        <v>915</v>
      </c>
      <c r="O180" s="41">
        <v>1255</v>
      </c>
      <c r="P180" s="41">
        <f>Tabla156[[#This Row],[PRECIO CLIENTE]]-Tabla156[[#This Row],[CANTIDAD PUBLICA]]</f>
        <v>340</v>
      </c>
      <c r="Q180" s="10">
        <f>Tabla156[[#This Row],[COMISION AGENCIA]]*0.05</f>
        <v>17</v>
      </c>
      <c r="R180" s="36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</row>
    <row r="181" spans="1:39" ht="15.75" x14ac:dyDescent="0.25">
      <c r="A181" s="64"/>
      <c r="B181" s="43"/>
      <c r="C181" s="43"/>
      <c r="D181" s="64"/>
      <c r="E181" s="98" t="s">
        <v>416</v>
      </c>
      <c r="F181" s="98" t="s">
        <v>416</v>
      </c>
      <c r="G181" s="71">
        <v>24706</v>
      </c>
      <c r="H181" s="38">
        <v>45046</v>
      </c>
      <c r="I181" s="38">
        <v>45109</v>
      </c>
      <c r="J181" s="38">
        <v>45109</v>
      </c>
      <c r="K181" s="39" t="s">
        <v>738</v>
      </c>
      <c r="L181" s="39" t="s">
        <v>542</v>
      </c>
      <c r="M181" s="61"/>
      <c r="N181" s="40">
        <v>3564</v>
      </c>
      <c r="O181" s="41">
        <v>4330</v>
      </c>
      <c r="P181" s="41">
        <f>Tabla156[[#This Row],[PRECIO CLIENTE]]-Tabla156[[#This Row],[CANTIDAD PUBLICA]]</f>
        <v>766</v>
      </c>
      <c r="Q181" s="10">
        <f>Tabla156[[#This Row],[COMISION AGENCIA]]*0.05</f>
        <v>38.300000000000004</v>
      </c>
      <c r="R181" s="36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</row>
    <row r="182" spans="1:39" ht="15.75" x14ac:dyDescent="0.25">
      <c r="A182" s="64"/>
      <c r="B182" s="43"/>
      <c r="C182" s="43"/>
      <c r="D182" s="64"/>
      <c r="E182" s="98" t="s">
        <v>416</v>
      </c>
      <c r="F182" s="98" t="s">
        <v>416</v>
      </c>
      <c r="G182" s="71">
        <v>24707</v>
      </c>
      <c r="H182" s="38">
        <v>45046</v>
      </c>
      <c r="I182" s="38">
        <v>45057</v>
      </c>
      <c r="J182" s="38">
        <v>45061</v>
      </c>
      <c r="K182" s="39" t="s">
        <v>739</v>
      </c>
      <c r="L182" s="39" t="s">
        <v>569</v>
      </c>
      <c r="M182" s="61"/>
      <c r="N182" s="40">
        <v>19149</v>
      </c>
      <c r="O182" s="41">
        <v>21615</v>
      </c>
      <c r="P182" s="41">
        <f>Tabla156[[#This Row],[PRECIO CLIENTE]]-Tabla156[[#This Row],[CANTIDAD PUBLICA]]</f>
        <v>2466</v>
      </c>
      <c r="Q182" s="10">
        <f>Tabla156[[#This Row],[COMISION AGENCIA]]*0.05</f>
        <v>123.30000000000001</v>
      </c>
      <c r="R182" s="36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</row>
    <row r="183" spans="1:39" ht="15.75" x14ac:dyDescent="0.25">
      <c r="A183" s="104"/>
      <c r="B183" s="105"/>
      <c r="C183" s="105"/>
      <c r="D183" s="104"/>
      <c r="E183" s="106"/>
      <c r="F183" s="106"/>
      <c r="G183" s="107"/>
      <c r="H183" s="108"/>
      <c r="I183" s="108"/>
      <c r="J183" s="166"/>
      <c r="K183" s="110"/>
      <c r="L183" s="110"/>
      <c r="M183" s="111"/>
      <c r="N183" s="109"/>
      <c r="O183" s="112"/>
      <c r="P183" s="127">
        <f>Tabla156[[#This Row],[PRECIO CLIENTE]]-Tabla156[[#This Row],[CANTIDAD PUBLICA]]</f>
        <v>0</v>
      </c>
      <c r="Q183" s="126">
        <f>Tabla156[[#This Row],[COMISION AGENCIA]]*0.05</f>
        <v>0</v>
      </c>
      <c r="R183" s="11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</row>
    <row r="184" spans="1:39" ht="15.75" x14ac:dyDescent="0.25">
      <c r="A184" s="55">
        <f>Tabla156[[#This Row],[FECHA IN]]-15</f>
        <v>45056</v>
      </c>
      <c r="B184" s="29"/>
      <c r="C184" s="32">
        <v>10840391</v>
      </c>
      <c r="D184" s="27"/>
      <c r="E184" s="99" t="s">
        <v>419</v>
      </c>
      <c r="F184" s="70" t="s">
        <v>26</v>
      </c>
      <c r="G184" s="7">
        <v>24710</v>
      </c>
      <c r="H184" s="67">
        <v>45047</v>
      </c>
      <c r="I184" s="6">
        <v>45071</v>
      </c>
      <c r="J184" s="6">
        <v>45074</v>
      </c>
      <c r="K184" s="25" t="s">
        <v>740</v>
      </c>
      <c r="L184" s="121" t="s">
        <v>741</v>
      </c>
      <c r="M184" s="83"/>
      <c r="N184" s="8">
        <v>21786.5</v>
      </c>
      <c r="O184" s="3">
        <v>19960</v>
      </c>
      <c r="P184" s="3">
        <f>Tabla156[[#This Row],[CANTIDAD PUBLICA]]*0.05</f>
        <v>1089.325</v>
      </c>
      <c r="Q184" s="15">
        <f>Tabla156[[#This Row],[COMISION AGENCIA]]*0.05</f>
        <v>54.466250000000002</v>
      </c>
      <c r="R184" s="36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</row>
    <row r="185" spans="1:39" ht="15.75" x14ac:dyDescent="0.25">
      <c r="A185" s="64"/>
      <c r="B185" s="43"/>
      <c r="C185" s="43"/>
      <c r="D185" s="64"/>
      <c r="E185" s="98" t="s">
        <v>416</v>
      </c>
      <c r="F185" s="98" t="s">
        <v>416</v>
      </c>
      <c r="G185" s="71">
        <v>24711</v>
      </c>
      <c r="H185" s="38">
        <v>45047</v>
      </c>
      <c r="I185" s="38">
        <v>45049</v>
      </c>
      <c r="J185" s="38">
        <v>45049</v>
      </c>
      <c r="K185" s="39" t="s">
        <v>742</v>
      </c>
      <c r="L185" s="39" t="s">
        <v>483</v>
      </c>
      <c r="M185" s="61"/>
      <c r="N185" s="40">
        <v>2838</v>
      </c>
      <c r="O185" s="41">
        <v>3215</v>
      </c>
      <c r="P185" s="41">
        <f>Tabla156[[#This Row],[PRECIO CLIENTE]]-Tabla156[[#This Row],[CANTIDAD PUBLICA]]</f>
        <v>377</v>
      </c>
      <c r="Q185" s="10">
        <f>Tabla156[[#This Row],[COMISION AGENCIA]]*0.05</f>
        <v>18.850000000000001</v>
      </c>
      <c r="R185" s="36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</row>
    <row r="186" spans="1:39" ht="15.75" x14ac:dyDescent="0.25">
      <c r="A186" s="55">
        <f>Tabla156[[#This Row],[FECHA IN]]-15</f>
        <v>45116</v>
      </c>
      <c r="B186" s="29"/>
      <c r="C186" s="32">
        <v>10846269</v>
      </c>
      <c r="D186" s="27"/>
      <c r="E186" s="69" t="s">
        <v>420</v>
      </c>
      <c r="F186" s="70" t="s">
        <v>26</v>
      </c>
      <c r="G186" s="7">
        <v>24760</v>
      </c>
      <c r="H186" s="67">
        <v>45049</v>
      </c>
      <c r="I186" s="6">
        <v>45131</v>
      </c>
      <c r="J186" s="6">
        <v>45135</v>
      </c>
      <c r="K186" s="25" t="s">
        <v>743</v>
      </c>
      <c r="L186" s="121" t="s">
        <v>744</v>
      </c>
      <c r="M186" s="83"/>
      <c r="N186" s="8">
        <v>2813.62</v>
      </c>
      <c r="O186" s="3">
        <v>2550</v>
      </c>
      <c r="P186" s="3">
        <f>Tabla156[[#This Row],[CANTIDAD PUBLICA]]*0.05</f>
        <v>140.68100000000001</v>
      </c>
      <c r="Q186" s="15">
        <f>Tabla156[[#This Row],[COMISION AGENCIA]]*0.05</f>
        <v>7.0340500000000006</v>
      </c>
      <c r="R186" s="36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</row>
    <row r="187" spans="1:39" ht="15.75" x14ac:dyDescent="0.25">
      <c r="A187" s="64"/>
      <c r="B187" s="43"/>
      <c r="C187" s="43"/>
      <c r="D187" s="64"/>
      <c r="E187" s="98" t="s">
        <v>416</v>
      </c>
      <c r="F187" s="98" t="s">
        <v>416</v>
      </c>
      <c r="G187" s="71">
        <v>24760</v>
      </c>
      <c r="H187" s="38">
        <v>45049</v>
      </c>
      <c r="I187" s="38">
        <v>45131</v>
      </c>
      <c r="J187" s="38">
        <v>45135</v>
      </c>
      <c r="K187" s="39" t="s">
        <v>743</v>
      </c>
      <c r="L187" s="39" t="s">
        <v>564</v>
      </c>
      <c r="M187" s="61"/>
      <c r="N187" s="40">
        <v>21030</v>
      </c>
      <c r="O187" s="41">
        <v>22695</v>
      </c>
      <c r="P187" s="41">
        <f>Tabla156[[#This Row],[PRECIO CLIENTE]]-Tabla156[[#This Row],[CANTIDAD PUBLICA]]</f>
        <v>1665</v>
      </c>
      <c r="Q187" s="10">
        <f>Tabla156[[#This Row],[COMISION AGENCIA]]*0.05</f>
        <v>83.25</v>
      </c>
      <c r="R187" s="36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</row>
    <row r="188" spans="1:39" ht="15.75" x14ac:dyDescent="0.25">
      <c r="A188" s="64"/>
      <c r="B188" s="43"/>
      <c r="C188" s="43" t="s">
        <v>745</v>
      </c>
      <c r="D188" s="64"/>
      <c r="E188" s="98" t="s">
        <v>416</v>
      </c>
      <c r="F188" s="98" t="s">
        <v>416</v>
      </c>
      <c r="G188" s="71">
        <v>24784</v>
      </c>
      <c r="H188" s="38">
        <v>45051</v>
      </c>
      <c r="I188" s="38">
        <v>45074</v>
      </c>
      <c r="J188" s="38">
        <v>45074</v>
      </c>
      <c r="K188" s="39" t="s">
        <v>746</v>
      </c>
      <c r="L188" s="39" t="s">
        <v>579</v>
      </c>
      <c r="M188" s="61"/>
      <c r="N188" s="40">
        <v>2516</v>
      </c>
      <c r="O188" s="41">
        <v>2870</v>
      </c>
      <c r="P188" s="41">
        <f>Tabla156[[#This Row],[PRECIO CLIENTE]]-Tabla156[[#This Row],[CANTIDAD PUBLICA]]</f>
        <v>354</v>
      </c>
      <c r="Q188" s="10">
        <f>Tabla156[[#This Row],[COMISION AGENCIA]]*0.05</f>
        <v>17.7</v>
      </c>
      <c r="R188" s="36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</row>
    <row r="189" spans="1:39" ht="15.75" x14ac:dyDescent="0.25">
      <c r="A189" s="64"/>
      <c r="B189" s="43"/>
      <c r="C189" s="43" t="s">
        <v>747</v>
      </c>
      <c r="D189" s="64"/>
      <c r="E189" s="98" t="s">
        <v>416</v>
      </c>
      <c r="F189" s="98" t="s">
        <v>416</v>
      </c>
      <c r="G189" s="71">
        <v>24805</v>
      </c>
      <c r="H189" s="38">
        <v>45052</v>
      </c>
      <c r="I189" s="38">
        <v>45106</v>
      </c>
      <c r="J189" s="38">
        <v>45106</v>
      </c>
      <c r="K189" s="39" t="s">
        <v>748</v>
      </c>
      <c r="L189" s="39" t="s">
        <v>749</v>
      </c>
      <c r="M189" s="61"/>
      <c r="N189" s="40">
        <v>12548.52</v>
      </c>
      <c r="O189" s="41">
        <v>14445</v>
      </c>
      <c r="P189" s="41">
        <f>Tabla156[[#This Row],[PRECIO CLIENTE]]-Tabla156[[#This Row],[CANTIDAD PUBLICA]]</f>
        <v>1896.4799999999996</v>
      </c>
      <c r="Q189" s="10">
        <f>Tabla156[[#This Row],[COMISION AGENCIA]]*0.05</f>
        <v>94.823999999999984</v>
      </c>
      <c r="R189" s="36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</row>
    <row r="190" spans="1:39" ht="15.75" x14ac:dyDescent="0.25">
      <c r="A190" s="64"/>
      <c r="B190" s="43"/>
      <c r="C190" s="43" t="s">
        <v>184</v>
      </c>
      <c r="D190" s="64"/>
      <c r="E190" s="98" t="s">
        <v>416</v>
      </c>
      <c r="F190" s="98" t="s">
        <v>416</v>
      </c>
      <c r="G190" s="71">
        <v>24806</v>
      </c>
      <c r="H190" s="38">
        <v>45052</v>
      </c>
      <c r="I190" s="38">
        <v>45065</v>
      </c>
      <c r="J190" s="38">
        <v>45065</v>
      </c>
      <c r="K190" s="39" t="s">
        <v>589</v>
      </c>
      <c r="L190" s="39" t="s">
        <v>711</v>
      </c>
      <c r="M190" s="61"/>
      <c r="N190" s="40">
        <v>2551.7600000000002</v>
      </c>
      <c r="O190" s="41">
        <v>3275</v>
      </c>
      <c r="P190" s="41">
        <f>Tabla156[[#This Row],[PRECIO CLIENTE]]-Tabla156[[#This Row],[CANTIDAD PUBLICA]]</f>
        <v>723.23999999999978</v>
      </c>
      <c r="Q190" s="10">
        <f>Tabla156[[#This Row],[COMISION AGENCIA]]*0.05</f>
        <v>36.161999999999992</v>
      </c>
      <c r="R190" s="36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</row>
    <row r="191" spans="1:39" ht="15.75" x14ac:dyDescent="0.25">
      <c r="A191" s="64"/>
      <c r="B191" s="43"/>
      <c r="C191" s="43" t="s">
        <v>750</v>
      </c>
      <c r="D191" s="64"/>
      <c r="E191" s="98" t="s">
        <v>416</v>
      </c>
      <c r="F191" s="98" t="s">
        <v>416</v>
      </c>
      <c r="G191" s="71" t="s">
        <v>751</v>
      </c>
      <c r="H191" s="38">
        <v>45055</v>
      </c>
      <c r="I191" s="38">
        <v>45098</v>
      </c>
      <c r="J191" s="38">
        <v>45161</v>
      </c>
      <c r="K191" s="39" t="s">
        <v>752</v>
      </c>
      <c r="L191" s="39" t="s">
        <v>753</v>
      </c>
      <c r="M191" s="61"/>
      <c r="N191" s="40">
        <v>26995</v>
      </c>
      <c r="O191" s="41">
        <v>28850</v>
      </c>
      <c r="P191" s="41">
        <f>Tabla156[[#This Row],[PRECIO CLIENTE]]-Tabla156[[#This Row],[CANTIDAD PUBLICA]]</f>
        <v>1855</v>
      </c>
      <c r="Q191" s="10">
        <f>Tabla156[[#This Row],[COMISION AGENCIA]]*0.05</f>
        <v>92.75</v>
      </c>
      <c r="R191" s="36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</row>
    <row r="192" spans="1:39" ht="15.75" x14ac:dyDescent="0.25">
      <c r="A192" s="64"/>
      <c r="B192" s="43"/>
      <c r="C192" s="43" t="s">
        <v>754</v>
      </c>
      <c r="D192" s="64"/>
      <c r="E192" s="98" t="s">
        <v>416</v>
      </c>
      <c r="F192" s="98" t="s">
        <v>416</v>
      </c>
      <c r="G192" s="71">
        <v>24864</v>
      </c>
      <c r="H192" s="38">
        <v>45056</v>
      </c>
      <c r="I192" s="38">
        <v>45061</v>
      </c>
      <c r="J192" s="38">
        <v>45061</v>
      </c>
      <c r="K192" s="39" t="s">
        <v>755</v>
      </c>
      <c r="L192" s="39" t="s">
        <v>756</v>
      </c>
      <c r="M192" s="61"/>
      <c r="N192" s="40">
        <v>3502</v>
      </c>
      <c r="O192" s="41">
        <v>3810</v>
      </c>
      <c r="P192" s="41">
        <f>Tabla156[[#This Row],[PRECIO CLIENTE]]-Tabla156[[#This Row],[CANTIDAD PUBLICA]]</f>
        <v>308</v>
      </c>
      <c r="Q192" s="10">
        <f>Tabla156[[#This Row],[COMISION AGENCIA]]*0.05</f>
        <v>15.4</v>
      </c>
      <c r="R192" s="36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</row>
    <row r="193" spans="1:39" ht="15.75" x14ac:dyDescent="0.25">
      <c r="A193" s="55">
        <f>Tabla156[[#This Row],[FECHA IN]]-15</f>
        <v>45049</v>
      </c>
      <c r="B193" s="29"/>
      <c r="C193" s="32" t="s">
        <v>757</v>
      </c>
      <c r="D193" s="27"/>
      <c r="E193" s="69" t="s">
        <v>420</v>
      </c>
      <c r="F193" s="70" t="s">
        <v>26</v>
      </c>
      <c r="G193" s="7">
        <v>24892</v>
      </c>
      <c r="H193" s="67">
        <v>45058</v>
      </c>
      <c r="I193" s="6">
        <v>45064</v>
      </c>
      <c r="J193" s="6">
        <v>45065</v>
      </c>
      <c r="K193" s="25" t="s">
        <v>758</v>
      </c>
      <c r="L193" s="121" t="s">
        <v>759</v>
      </c>
      <c r="M193" s="83"/>
      <c r="N193" s="8">
        <v>1620</v>
      </c>
      <c r="O193" s="3">
        <v>1460</v>
      </c>
      <c r="P193" s="3">
        <f>Tabla156[[#This Row],[CANTIDAD PUBLICA]]*0.05</f>
        <v>81</v>
      </c>
      <c r="Q193" s="15">
        <f>Tabla156[[#This Row],[COMISION AGENCIA]]*0.05</f>
        <v>4.05</v>
      </c>
      <c r="R193" s="36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</row>
    <row r="194" spans="1:39" ht="15.75" x14ac:dyDescent="0.25">
      <c r="A194" s="64"/>
      <c r="B194" s="43"/>
      <c r="C194" s="43" t="s">
        <v>760</v>
      </c>
      <c r="D194" s="64"/>
      <c r="E194" s="98" t="s">
        <v>416</v>
      </c>
      <c r="F194" s="98" t="s">
        <v>416</v>
      </c>
      <c r="G194" s="71">
        <v>24895</v>
      </c>
      <c r="H194" s="38">
        <v>45058</v>
      </c>
      <c r="I194" s="38">
        <v>45091</v>
      </c>
      <c r="J194" s="38">
        <v>45091</v>
      </c>
      <c r="K194" s="39" t="s">
        <v>761</v>
      </c>
      <c r="L194" s="39" t="s">
        <v>762</v>
      </c>
      <c r="M194" s="61"/>
      <c r="N194" s="40">
        <v>8063</v>
      </c>
      <c r="O194" s="41">
        <v>9750</v>
      </c>
      <c r="P194" s="41">
        <f>Tabla156[[#This Row],[PRECIO CLIENTE]]-Tabla156[[#This Row],[CANTIDAD PUBLICA]]</f>
        <v>1687</v>
      </c>
      <c r="Q194" s="10">
        <f>Tabla156[[#This Row],[COMISION AGENCIA]]*0.05</f>
        <v>84.350000000000009</v>
      </c>
      <c r="R194" s="36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</row>
    <row r="195" spans="1:39" ht="15.75" x14ac:dyDescent="0.25">
      <c r="A195" s="64"/>
      <c r="B195" s="43"/>
      <c r="C195" s="43" t="s">
        <v>763</v>
      </c>
      <c r="D195" s="64"/>
      <c r="E195" s="98" t="s">
        <v>416</v>
      </c>
      <c r="F195" s="98" t="s">
        <v>416</v>
      </c>
      <c r="G195" s="71">
        <v>24905</v>
      </c>
      <c r="H195" s="38">
        <v>45059</v>
      </c>
      <c r="I195" s="38">
        <v>45066</v>
      </c>
      <c r="J195" s="38">
        <v>45087</v>
      </c>
      <c r="K195" s="39" t="s">
        <v>764</v>
      </c>
      <c r="L195" s="39" t="s">
        <v>466</v>
      </c>
      <c r="M195" s="61"/>
      <c r="N195" s="40">
        <v>13828</v>
      </c>
      <c r="O195" s="41">
        <v>15040</v>
      </c>
      <c r="P195" s="41">
        <f>Tabla156[[#This Row],[PRECIO CLIENTE]]-Tabla156[[#This Row],[CANTIDAD PUBLICA]]</f>
        <v>1212</v>
      </c>
      <c r="Q195" s="10">
        <f>Tabla156[[#This Row],[COMISION AGENCIA]]*0.05</f>
        <v>60.6</v>
      </c>
      <c r="R195" s="36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</row>
    <row r="196" spans="1:39" ht="15.75" x14ac:dyDescent="0.25">
      <c r="A196" s="64"/>
      <c r="B196" s="43"/>
      <c r="C196" s="43" t="s">
        <v>765</v>
      </c>
      <c r="D196" s="64"/>
      <c r="E196" s="98" t="s">
        <v>416</v>
      </c>
      <c r="F196" s="98" t="s">
        <v>416</v>
      </c>
      <c r="G196" s="71">
        <v>24920</v>
      </c>
      <c r="H196" s="38">
        <v>45061</v>
      </c>
      <c r="I196" s="38">
        <v>45085</v>
      </c>
      <c r="J196" s="38">
        <v>45085</v>
      </c>
      <c r="K196" s="39" t="s">
        <v>766</v>
      </c>
      <c r="L196" s="39" t="s">
        <v>767</v>
      </c>
      <c r="M196" s="61"/>
      <c r="N196" s="40">
        <v>1033</v>
      </c>
      <c r="O196" s="41">
        <v>1395</v>
      </c>
      <c r="P196" s="41">
        <f>Tabla156[[#This Row],[PRECIO CLIENTE]]-Tabla156[[#This Row],[CANTIDAD PUBLICA]]</f>
        <v>362</v>
      </c>
      <c r="Q196" s="10">
        <f>Tabla156[[#This Row],[COMISION AGENCIA]]*0.05</f>
        <v>18.100000000000001</v>
      </c>
      <c r="R196" s="36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</row>
    <row r="197" spans="1:39" ht="15.75" x14ac:dyDescent="0.25">
      <c r="A197" s="55">
        <f>Tabla156[[#This Row],[FECHA IN]]-15</f>
        <v>45111</v>
      </c>
      <c r="B197" s="29"/>
      <c r="C197" s="32" t="s">
        <v>768</v>
      </c>
      <c r="D197" s="27"/>
      <c r="E197" s="99" t="s">
        <v>419</v>
      </c>
      <c r="F197" s="70" t="s">
        <v>26</v>
      </c>
      <c r="G197" s="7">
        <v>24928</v>
      </c>
      <c r="H197" s="67">
        <v>45061</v>
      </c>
      <c r="I197" s="6">
        <v>45126</v>
      </c>
      <c r="J197" s="6">
        <v>45130</v>
      </c>
      <c r="K197" s="25" t="s">
        <v>769</v>
      </c>
      <c r="L197" s="121" t="s">
        <v>770</v>
      </c>
      <c r="M197" s="83"/>
      <c r="N197" s="8">
        <v>24791.23</v>
      </c>
      <c r="O197" s="3">
        <v>21575</v>
      </c>
      <c r="P197" s="3">
        <f>Tabla156[[#This Row],[CANTIDAD PUBLICA]]*0.05</f>
        <v>1239.5615</v>
      </c>
      <c r="Q197" s="15">
        <f>Tabla156[[#This Row],[COMISION AGENCIA]]*0.05</f>
        <v>61.978075000000004</v>
      </c>
      <c r="R197" s="36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</row>
    <row r="198" spans="1:39" ht="15.75" x14ac:dyDescent="0.25">
      <c r="A198" s="64"/>
      <c r="B198" s="43"/>
      <c r="C198" s="43" t="s">
        <v>771</v>
      </c>
      <c r="D198" s="64"/>
      <c r="E198" s="98" t="s">
        <v>416</v>
      </c>
      <c r="F198" s="98" t="s">
        <v>416</v>
      </c>
      <c r="G198" s="71">
        <v>24934</v>
      </c>
      <c r="H198" s="38">
        <v>45061</v>
      </c>
      <c r="I198" s="38">
        <v>45106</v>
      </c>
      <c r="J198" s="38">
        <v>45129</v>
      </c>
      <c r="K198" s="39" t="s">
        <v>772</v>
      </c>
      <c r="L198" s="39" t="s">
        <v>773</v>
      </c>
      <c r="M198" s="61"/>
      <c r="N198" s="40">
        <v>21010</v>
      </c>
      <c r="O198" s="41">
        <v>23830</v>
      </c>
      <c r="P198" s="41">
        <f>Tabla156[[#This Row],[PRECIO CLIENTE]]-Tabla156[[#This Row],[CANTIDAD PUBLICA]]</f>
        <v>2820</v>
      </c>
      <c r="Q198" s="10">
        <f>Tabla156[[#This Row],[COMISION AGENCIA]]*0.05</f>
        <v>141</v>
      </c>
      <c r="R198" s="36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</row>
    <row r="199" spans="1:39" ht="15.75" x14ac:dyDescent="0.25">
      <c r="A199" s="64"/>
      <c r="B199" s="43"/>
      <c r="C199" s="43" t="s">
        <v>774</v>
      </c>
      <c r="D199" s="64"/>
      <c r="E199" s="98" t="s">
        <v>416</v>
      </c>
      <c r="F199" s="98" t="s">
        <v>416</v>
      </c>
      <c r="G199" s="71">
        <v>24971</v>
      </c>
      <c r="H199" s="38">
        <v>45063</v>
      </c>
      <c r="I199" s="38">
        <v>45065</v>
      </c>
      <c r="J199" s="38">
        <v>45065</v>
      </c>
      <c r="K199" s="39" t="s">
        <v>775</v>
      </c>
      <c r="L199" s="39" t="s">
        <v>435</v>
      </c>
      <c r="M199" s="61"/>
      <c r="N199" s="40">
        <v>4690</v>
      </c>
      <c r="O199" s="41">
        <v>5160</v>
      </c>
      <c r="P199" s="41">
        <f>Tabla156[[#This Row],[PRECIO CLIENTE]]-Tabla156[[#This Row],[CANTIDAD PUBLICA]]</f>
        <v>470</v>
      </c>
      <c r="Q199" s="10">
        <f>Tabla156[[#This Row],[COMISION AGENCIA]]*0.05</f>
        <v>23.5</v>
      </c>
      <c r="R199" s="36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</row>
    <row r="200" spans="1:39" ht="15.75" x14ac:dyDescent="0.25">
      <c r="A200" s="64"/>
      <c r="B200" s="43"/>
      <c r="C200" s="43" t="s">
        <v>776</v>
      </c>
      <c r="D200" s="64"/>
      <c r="E200" s="98" t="s">
        <v>416</v>
      </c>
      <c r="F200" s="98" t="s">
        <v>416</v>
      </c>
      <c r="G200" s="71">
        <v>24980</v>
      </c>
      <c r="H200" s="38">
        <v>45064</v>
      </c>
      <c r="I200" s="38">
        <v>45228</v>
      </c>
      <c r="J200" s="38">
        <v>45232</v>
      </c>
      <c r="K200" s="39" t="s">
        <v>777</v>
      </c>
      <c r="L200" s="39" t="s">
        <v>502</v>
      </c>
      <c r="M200" s="61"/>
      <c r="N200" s="40">
        <v>15660</v>
      </c>
      <c r="O200" s="41">
        <v>17440</v>
      </c>
      <c r="P200" s="41">
        <f>Tabla156[[#This Row],[PRECIO CLIENTE]]-Tabla156[[#This Row],[CANTIDAD PUBLICA]]</f>
        <v>1780</v>
      </c>
      <c r="Q200" s="10">
        <f>Tabla156[[#This Row],[COMISION AGENCIA]]*0.05</f>
        <v>89</v>
      </c>
      <c r="R200" s="36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</row>
    <row r="201" spans="1:39" ht="15.75" x14ac:dyDescent="0.25">
      <c r="A201" s="55">
        <f>Tabla156[[#This Row],[FECHA IN]]-15</f>
        <v>45067</v>
      </c>
      <c r="B201" s="29"/>
      <c r="C201" s="32"/>
      <c r="D201" s="27"/>
      <c r="E201" s="69" t="s">
        <v>420</v>
      </c>
      <c r="F201" s="70" t="s">
        <v>26</v>
      </c>
      <c r="G201" s="7" t="s">
        <v>778</v>
      </c>
      <c r="H201" s="67">
        <v>45064</v>
      </c>
      <c r="I201" s="6">
        <v>45082</v>
      </c>
      <c r="J201" s="6">
        <v>45084</v>
      </c>
      <c r="K201" s="25" t="s">
        <v>779</v>
      </c>
      <c r="L201" s="121" t="s">
        <v>780</v>
      </c>
      <c r="M201" s="83"/>
      <c r="N201" s="8">
        <v>21066.39</v>
      </c>
      <c r="O201" s="3">
        <v>18960</v>
      </c>
      <c r="P201" s="3">
        <f>Tabla156[[#This Row],[CANTIDAD PUBLICA]]*0.05</f>
        <v>1053.3195000000001</v>
      </c>
      <c r="Q201" s="15">
        <f>Tabla156[[#This Row],[COMISION AGENCIA]]*0.05</f>
        <v>52.665975000000003</v>
      </c>
      <c r="R201" s="36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</row>
    <row r="202" spans="1:39" ht="15.75" x14ac:dyDescent="0.25">
      <c r="A202" s="64"/>
      <c r="B202" s="43"/>
      <c r="C202" s="43" t="s">
        <v>781</v>
      </c>
      <c r="D202" s="64"/>
      <c r="E202" s="98" t="s">
        <v>416</v>
      </c>
      <c r="F202" s="98" t="s">
        <v>416</v>
      </c>
      <c r="G202" s="71">
        <v>24995</v>
      </c>
      <c r="H202" s="38">
        <v>45064</v>
      </c>
      <c r="I202" s="38">
        <v>45082</v>
      </c>
      <c r="J202" s="38">
        <v>45084</v>
      </c>
      <c r="K202" s="39" t="s">
        <v>779</v>
      </c>
      <c r="L202" s="39" t="s">
        <v>502</v>
      </c>
      <c r="M202" s="61"/>
      <c r="N202" s="40">
        <v>20255.310000000001</v>
      </c>
      <c r="O202" s="41">
        <v>21645</v>
      </c>
      <c r="P202" s="41">
        <f>Tabla156[[#This Row],[PRECIO CLIENTE]]-Tabla156[[#This Row],[CANTIDAD PUBLICA]]</f>
        <v>1389.6899999999987</v>
      </c>
      <c r="Q202" s="10">
        <f>Tabla156[[#This Row],[COMISION AGENCIA]]*0.05</f>
        <v>69.48449999999994</v>
      </c>
      <c r="R202" s="36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</row>
    <row r="203" spans="1:39" ht="15.75" x14ac:dyDescent="0.25">
      <c r="A203" s="64"/>
      <c r="B203" s="43"/>
      <c r="C203" s="43" t="s">
        <v>782</v>
      </c>
      <c r="D203" s="64"/>
      <c r="E203" s="98" t="s">
        <v>416</v>
      </c>
      <c r="F203" s="98" t="s">
        <v>416</v>
      </c>
      <c r="G203" s="71">
        <v>24995</v>
      </c>
      <c r="H203" s="38">
        <v>45064</v>
      </c>
      <c r="I203" s="38">
        <v>45082</v>
      </c>
      <c r="J203" s="38">
        <v>45084</v>
      </c>
      <c r="K203" s="39" t="s">
        <v>779</v>
      </c>
      <c r="L203" s="39" t="s">
        <v>502</v>
      </c>
      <c r="M203" s="61"/>
      <c r="N203" s="40">
        <v>9082.36</v>
      </c>
      <c r="O203" s="41">
        <v>9700</v>
      </c>
      <c r="P203" s="41">
        <f>Tabla156[[#This Row],[PRECIO CLIENTE]]-Tabla156[[#This Row],[CANTIDAD PUBLICA]]</f>
        <v>617.63999999999942</v>
      </c>
      <c r="Q203" s="10">
        <f>Tabla156[[#This Row],[COMISION AGENCIA]]*0.05</f>
        <v>30.881999999999973</v>
      </c>
      <c r="R203" s="36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</row>
    <row r="204" spans="1:39" ht="15.75" x14ac:dyDescent="0.25">
      <c r="A204" s="55">
        <f>Tabla156[[#This Row],[FECHA IN]]-15</f>
        <v>45065</v>
      </c>
      <c r="B204" s="29"/>
      <c r="C204" s="32" t="s">
        <v>783</v>
      </c>
      <c r="D204" s="27"/>
      <c r="E204" s="69" t="s">
        <v>420</v>
      </c>
      <c r="F204" s="100" t="s">
        <v>27</v>
      </c>
      <c r="G204" s="7">
        <v>25016</v>
      </c>
      <c r="H204" s="67">
        <v>45064</v>
      </c>
      <c r="I204" s="6">
        <v>45080</v>
      </c>
      <c r="J204" s="6">
        <v>45084</v>
      </c>
      <c r="K204" s="25" t="s">
        <v>784</v>
      </c>
      <c r="L204" s="121" t="s">
        <v>785</v>
      </c>
      <c r="M204" s="83"/>
      <c r="N204" s="8">
        <v>43135.35</v>
      </c>
      <c r="O204" s="3">
        <v>37530</v>
      </c>
      <c r="P204" s="3">
        <f>Tabla156[[#This Row],[CANTIDAD PUBLICA]]*0.05</f>
        <v>2156.7674999999999</v>
      </c>
      <c r="Q204" s="15">
        <f>Tabla156[[#This Row],[COMISION AGENCIA]]*0.05</f>
        <v>107.838375</v>
      </c>
      <c r="R204" s="36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</row>
    <row r="205" spans="1:39" ht="15.75" x14ac:dyDescent="0.25">
      <c r="A205" s="64"/>
      <c r="B205" s="43"/>
      <c r="C205" s="43" t="s">
        <v>786</v>
      </c>
      <c r="D205" s="64"/>
      <c r="E205" s="98" t="s">
        <v>416</v>
      </c>
      <c r="F205" s="98" t="s">
        <v>416</v>
      </c>
      <c r="G205" s="71">
        <v>25214</v>
      </c>
      <c r="H205" s="38">
        <v>45064</v>
      </c>
      <c r="I205" s="38">
        <v>45080</v>
      </c>
      <c r="J205" s="38">
        <v>45084</v>
      </c>
      <c r="K205" s="39" t="s">
        <v>784</v>
      </c>
      <c r="L205" s="39" t="s">
        <v>787</v>
      </c>
      <c r="M205" s="61"/>
      <c r="N205" s="40">
        <v>24572</v>
      </c>
      <c r="O205" s="41">
        <v>26200</v>
      </c>
      <c r="P205" s="41">
        <f>Tabla156[[#This Row],[PRECIO CLIENTE]]-Tabla156[[#This Row],[CANTIDAD PUBLICA]]</f>
        <v>1628</v>
      </c>
      <c r="Q205" s="10">
        <f>Tabla156[[#This Row],[COMISION AGENCIA]]*0.05</f>
        <v>81.400000000000006</v>
      </c>
      <c r="R205" s="36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</row>
    <row r="206" spans="1:39" ht="15.75" x14ac:dyDescent="0.25">
      <c r="A206" s="55">
        <f>Tabla156[[#This Row],[FECHA IN]]-15</f>
        <v>45065</v>
      </c>
      <c r="B206" s="29"/>
      <c r="C206" s="32" t="s">
        <v>788</v>
      </c>
      <c r="D206" s="27"/>
      <c r="E206" s="69" t="s">
        <v>420</v>
      </c>
      <c r="F206" s="100" t="s">
        <v>27</v>
      </c>
      <c r="G206" s="7">
        <v>25125</v>
      </c>
      <c r="H206" s="67">
        <v>45064</v>
      </c>
      <c r="I206" s="6">
        <v>45080</v>
      </c>
      <c r="J206" s="6">
        <v>45084</v>
      </c>
      <c r="K206" s="25" t="s">
        <v>789</v>
      </c>
      <c r="L206" s="121" t="s">
        <v>785</v>
      </c>
      <c r="M206" s="83"/>
      <c r="N206" s="8">
        <v>30270.43</v>
      </c>
      <c r="O206" s="3">
        <v>26335</v>
      </c>
      <c r="P206" s="3">
        <f>Tabla156[[#This Row],[CANTIDAD PUBLICA]]*0.05</f>
        <v>1513.5215000000001</v>
      </c>
      <c r="Q206" s="15">
        <f>Tabla156[[#This Row],[COMISION AGENCIA]]*0.05</f>
        <v>75.676075000000012</v>
      </c>
      <c r="R206" s="36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</row>
    <row r="207" spans="1:39" ht="15.75" x14ac:dyDescent="0.25">
      <c r="A207" s="55">
        <f>Tabla156[[#This Row],[FECHA IN]]-15</f>
        <v>45065</v>
      </c>
      <c r="B207" s="29"/>
      <c r="C207" s="32"/>
      <c r="D207" s="27"/>
      <c r="E207" s="69" t="s">
        <v>420</v>
      </c>
      <c r="F207" s="100" t="s">
        <v>27</v>
      </c>
      <c r="G207" s="7">
        <v>25125</v>
      </c>
      <c r="H207" s="67">
        <v>45064</v>
      </c>
      <c r="I207" s="6">
        <v>45080</v>
      </c>
      <c r="J207" s="6">
        <v>45084</v>
      </c>
      <c r="K207" s="25" t="s">
        <v>790</v>
      </c>
      <c r="L207" s="121" t="s">
        <v>785</v>
      </c>
      <c r="M207" s="83"/>
      <c r="N207" s="8">
        <v>43135.35</v>
      </c>
      <c r="O207" s="3">
        <v>37530</v>
      </c>
      <c r="P207" s="3">
        <f>Tabla156[[#This Row],[CANTIDAD PUBLICA]]*0.05</f>
        <v>2156.7674999999999</v>
      </c>
      <c r="Q207" s="15">
        <f>Tabla156[[#This Row],[COMISION AGENCIA]]*0.05</f>
        <v>107.838375</v>
      </c>
      <c r="R207" s="36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</row>
    <row r="208" spans="1:39" ht="15.75" x14ac:dyDescent="0.25">
      <c r="A208" s="64"/>
      <c r="B208" s="43"/>
      <c r="C208" s="43" t="s">
        <v>791</v>
      </c>
      <c r="D208" s="64"/>
      <c r="E208" s="98" t="s">
        <v>416</v>
      </c>
      <c r="F208" s="98" t="s">
        <v>416</v>
      </c>
      <c r="G208" s="71">
        <v>25215</v>
      </c>
      <c r="H208" s="38">
        <v>45064</v>
      </c>
      <c r="I208" s="38">
        <v>45080</v>
      </c>
      <c r="J208" s="38">
        <v>45084</v>
      </c>
      <c r="K208" s="39" t="s">
        <v>789</v>
      </c>
      <c r="L208" s="39" t="s">
        <v>787</v>
      </c>
      <c r="M208" s="61"/>
      <c r="N208" s="40">
        <v>45584</v>
      </c>
      <c r="O208" s="41">
        <v>48440</v>
      </c>
      <c r="P208" s="41">
        <f>Tabla156[[#This Row],[PRECIO CLIENTE]]-Tabla156[[#This Row],[CANTIDAD PUBLICA]]</f>
        <v>2856</v>
      </c>
      <c r="Q208" s="10">
        <f>Tabla156[[#This Row],[COMISION AGENCIA]]*0.05</f>
        <v>142.80000000000001</v>
      </c>
      <c r="R208" s="36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</row>
    <row r="209" spans="1:39" ht="15.75" x14ac:dyDescent="0.25">
      <c r="A209" s="55">
        <f>Tabla156[[#This Row],[FECHA IN]]-15</f>
        <v>45067</v>
      </c>
      <c r="B209" s="29"/>
      <c r="C209" s="32" t="s">
        <v>792</v>
      </c>
      <c r="D209" s="27"/>
      <c r="E209" s="69" t="s">
        <v>420</v>
      </c>
      <c r="F209" s="70" t="s">
        <v>26</v>
      </c>
      <c r="G209" s="7" t="s">
        <v>793</v>
      </c>
      <c r="H209" s="67">
        <v>45066</v>
      </c>
      <c r="I209" s="6">
        <v>45082</v>
      </c>
      <c r="J209" s="6">
        <v>45085</v>
      </c>
      <c r="K209" s="25" t="s">
        <v>794</v>
      </c>
      <c r="L209" s="121" t="s">
        <v>795</v>
      </c>
      <c r="M209" s="83"/>
      <c r="N209" s="8">
        <v>14922.35</v>
      </c>
      <c r="O209" s="3">
        <v>12985</v>
      </c>
      <c r="P209" s="3">
        <f>Tabla156[[#This Row],[CANTIDAD PUBLICA]]*0.05</f>
        <v>746.11750000000006</v>
      </c>
      <c r="Q209" s="15">
        <f>Tabla156[[#This Row],[COMISION AGENCIA]]*0.05</f>
        <v>37.305875000000007</v>
      </c>
      <c r="R209" s="36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</row>
    <row r="210" spans="1:39" ht="15.75" x14ac:dyDescent="0.25">
      <c r="A210" s="55">
        <f>Tabla156[[#This Row],[FECHA IN]]-15</f>
        <v>45178</v>
      </c>
      <c r="B210" s="29"/>
      <c r="C210" s="32" t="s">
        <v>796</v>
      </c>
      <c r="D210" s="27"/>
      <c r="E210" s="99" t="s">
        <v>419</v>
      </c>
      <c r="F210" s="100" t="s">
        <v>27</v>
      </c>
      <c r="G210" s="7">
        <v>25021</v>
      </c>
      <c r="H210" s="67">
        <v>45066</v>
      </c>
      <c r="I210" s="6">
        <v>45193</v>
      </c>
      <c r="J210" s="6">
        <v>45197</v>
      </c>
      <c r="K210" s="25" t="s">
        <v>797</v>
      </c>
      <c r="L210" s="121" t="s">
        <v>798</v>
      </c>
      <c r="M210" s="83"/>
      <c r="N210" s="8">
        <v>18194.849999999999</v>
      </c>
      <c r="O210" s="3">
        <v>15830</v>
      </c>
      <c r="P210" s="3">
        <f>Tabla156[[#This Row],[CANTIDAD PUBLICA]]*0.05</f>
        <v>909.74249999999995</v>
      </c>
      <c r="Q210" s="15">
        <f>Tabla156[[#This Row],[COMISION AGENCIA]]*0.05</f>
        <v>45.487124999999999</v>
      </c>
      <c r="R210" s="36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</row>
    <row r="211" spans="1:39" ht="15.75" x14ac:dyDescent="0.25">
      <c r="A211" s="55">
        <f>Tabla156[[#This Row],[FECHA IN]]-15</f>
        <v>45178</v>
      </c>
      <c r="B211" s="29"/>
      <c r="C211" s="32" t="s">
        <v>799</v>
      </c>
      <c r="D211" s="27"/>
      <c r="E211" s="99" t="s">
        <v>419</v>
      </c>
      <c r="F211" s="100" t="s">
        <v>27</v>
      </c>
      <c r="G211" s="7">
        <v>25052</v>
      </c>
      <c r="H211" s="67">
        <v>45066</v>
      </c>
      <c r="I211" s="6">
        <v>45193</v>
      </c>
      <c r="J211" s="6">
        <v>45197</v>
      </c>
      <c r="K211" s="24" t="s">
        <v>800</v>
      </c>
      <c r="L211" s="121" t="s">
        <v>798</v>
      </c>
      <c r="M211" s="83"/>
      <c r="N211" s="8">
        <v>18194.849999999999</v>
      </c>
      <c r="O211" s="3">
        <v>15830</v>
      </c>
      <c r="P211" s="3">
        <f>Tabla156[[#This Row],[CANTIDAD PUBLICA]]*0.05</f>
        <v>909.74249999999995</v>
      </c>
      <c r="Q211" s="15">
        <f>Tabla156[[#This Row],[COMISION AGENCIA]]*0.05</f>
        <v>45.487124999999999</v>
      </c>
      <c r="R211" s="36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</row>
    <row r="212" spans="1:39" ht="15.75" x14ac:dyDescent="0.25">
      <c r="A212" s="55">
        <f>Tabla156[[#This Row],[FECHA IN]]-15</f>
        <v>45178</v>
      </c>
      <c r="B212" s="29"/>
      <c r="C212" s="32" t="s">
        <v>801</v>
      </c>
      <c r="D212" s="27"/>
      <c r="E212" s="99" t="s">
        <v>419</v>
      </c>
      <c r="F212" s="100" t="s">
        <v>27</v>
      </c>
      <c r="G212" s="7">
        <v>25053</v>
      </c>
      <c r="H212" s="67">
        <v>45066</v>
      </c>
      <c r="I212" s="6">
        <v>45193</v>
      </c>
      <c r="J212" s="6">
        <v>45197</v>
      </c>
      <c r="K212" s="24" t="s">
        <v>802</v>
      </c>
      <c r="L212" s="121" t="s">
        <v>798</v>
      </c>
      <c r="M212" s="83"/>
      <c r="N212" s="8">
        <v>18194.849999999999</v>
      </c>
      <c r="O212" s="3">
        <v>15830</v>
      </c>
      <c r="P212" s="3">
        <f>Tabla156[[#This Row],[CANTIDAD PUBLICA]]*0.05</f>
        <v>909.74249999999995</v>
      </c>
      <c r="Q212" s="15">
        <f>Tabla156[[#This Row],[COMISION AGENCIA]]*0.05</f>
        <v>45.487124999999999</v>
      </c>
      <c r="R212" s="36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</row>
    <row r="213" spans="1:39" ht="15.75" x14ac:dyDescent="0.25">
      <c r="A213" s="64"/>
      <c r="B213" s="43"/>
      <c r="C213" s="43" t="s">
        <v>803</v>
      </c>
      <c r="D213" s="64"/>
      <c r="E213" s="98" t="s">
        <v>416</v>
      </c>
      <c r="F213" s="98" t="s">
        <v>416</v>
      </c>
      <c r="G213" s="71">
        <v>25033</v>
      </c>
      <c r="H213" s="38">
        <v>45068</v>
      </c>
      <c r="I213" s="38">
        <v>45079</v>
      </c>
      <c r="J213" s="38">
        <v>45079</v>
      </c>
      <c r="K213" s="39" t="s">
        <v>804</v>
      </c>
      <c r="L213" s="39" t="s">
        <v>466</v>
      </c>
      <c r="M213" s="61"/>
      <c r="N213" s="40">
        <v>887.89</v>
      </c>
      <c r="O213" s="41">
        <v>1040</v>
      </c>
      <c r="P213" s="41">
        <f>Tabla156[[#This Row],[PRECIO CLIENTE]]-Tabla156[[#This Row],[CANTIDAD PUBLICA]]</f>
        <v>152.11000000000001</v>
      </c>
      <c r="Q213" s="10">
        <f>Tabla156[[#This Row],[COMISION AGENCIA]]*0.05</f>
        <v>7.605500000000001</v>
      </c>
      <c r="R213" s="36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</row>
    <row r="214" spans="1:39" ht="15.75" x14ac:dyDescent="0.25">
      <c r="A214" s="64"/>
      <c r="B214" s="43"/>
      <c r="C214" s="43" t="s">
        <v>805</v>
      </c>
      <c r="D214" s="64"/>
      <c r="E214" s="98" t="s">
        <v>416</v>
      </c>
      <c r="F214" s="98" t="s">
        <v>416</v>
      </c>
      <c r="G214" s="71">
        <v>25040</v>
      </c>
      <c r="H214" s="38">
        <v>45068</v>
      </c>
      <c r="I214" s="38">
        <v>45071</v>
      </c>
      <c r="J214" s="38">
        <v>45071</v>
      </c>
      <c r="K214" s="39" t="s">
        <v>806</v>
      </c>
      <c r="L214" s="39" t="s">
        <v>807</v>
      </c>
      <c r="M214" s="61"/>
      <c r="N214" s="40">
        <v>5153</v>
      </c>
      <c r="O214" s="41">
        <v>5835</v>
      </c>
      <c r="P214" s="41">
        <f>Tabla156[[#This Row],[PRECIO CLIENTE]]-Tabla156[[#This Row],[CANTIDAD PUBLICA]]</f>
        <v>682</v>
      </c>
      <c r="Q214" s="10">
        <f>Tabla156[[#This Row],[COMISION AGENCIA]]*0.05</f>
        <v>34.1</v>
      </c>
      <c r="R214" s="36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</row>
    <row r="215" spans="1:39" ht="15.75" x14ac:dyDescent="0.25">
      <c r="A215" s="64"/>
      <c r="B215" s="43"/>
      <c r="C215" s="43" t="s">
        <v>808</v>
      </c>
      <c r="D215" s="64"/>
      <c r="E215" s="98" t="s">
        <v>416</v>
      </c>
      <c r="F215" s="98" t="s">
        <v>416</v>
      </c>
      <c r="G215" s="71">
        <v>25058</v>
      </c>
      <c r="H215" s="38">
        <v>45069</v>
      </c>
      <c r="I215" s="38">
        <v>45074</v>
      </c>
      <c r="J215" s="38">
        <v>45074</v>
      </c>
      <c r="K215" s="39" t="s">
        <v>809</v>
      </c>
      <c r="L215" s="39" t="s">
        <v>435</v>
      </c>
      <c r="M215" s="61"/>
      <c r="N215" s="40">
        <v>6576</v>
      </c>
      <c r="O215" s="41">
        <v>7520</v>
      </c>
      <c r="P215" s="41">
        <f>Tabla156[[#This Row],[PRECIO CLIENTE]]-Tabla156[[#This Row],[CANTIDAD PUBLICA]]</f>
        <v>944</v>
      </c>
      <c r="Q215" s="10">
        <f>Tabla156[[#This Row],[COMISION AGENCIA]]*0.05</f>
        <v>47.2</v>
      </c>
      <c r="R215" s="36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</row>
    <row r="216" spans="1:39" ht="15.75" x14ac:dyDescent="0.25">
      <c r="A216" s="64"/>
      <c r="B216" s="43"/>
      <c r="C216" s="43" t="s">
        <v>810</v>
      </c>
      <c r="D216" s="64"/>
      <c r="E216" s="98" t="s">
        <v>416</v>
      </c>
      <c r="F216" s="98" t="s">
        <v>416</v>
      </c>
      <c r="G216" s="71">
        <v>25079</v>
      </c>
      <c r="H216" s="38">
        <v>45069</v>
      </c>
      <c r="I216" s="38">
        <v>45071</v>
      </c>
      <c r="J216" s="38">
        <v>45071</v>
      </c>
      <c r="K216" s="39" t="s">
        <v>811</v>
      </c>
      <c r="L216" s="39" t="s">
        <v>435</v>
      </c>
      <c r="M216" s="61"/>
      <c r="N216" s="40">
        <v>7088</v>
      </c>
      <c r="O216" s="41">
        <v>8180</v>
      </c>
      <c r="P216" s="41">
        <f>Tabla156[[#This Row],[PRECIO CLIENTE]]-Tabla156[[#This Row],[CANTIDAD PUBLICA]]</f>
        <v>1092</v>
      </c>
      <c r="Q216" s="10">
        <f>Tabla156[[#This Row],[COMISION AGENCIA]]*0.05</f>
        <v>54.6</v>
      </c>
      <c r="R216" s="36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</row>
    <row r="217" spans="1:39" ht="15.75" x14ac:dyDescent="0.25">
      <c r="A217" s="64"/>
      <c r="B217" s="43"/>
      <c r="C217" s="43" t="s">
        <v>812</v>
      </c>
      <c r="D217" s="64"/>
      <c r="E217" s="98" t="s">
        <v>416</v>
      </c>
      <c r="F217" s="98" t="s">
        <v>416</v>
      </c>
      <c r="G217" s="71">
        <v>25082</v>
      </c>
      <c r="H217" s="38">
        <v>45069</v>
      </c>
      <c r="I217" s="38">
        <v>45092</v>
      </c>
      <c r="J217" s="38">
        <v>45092</v>
      </c>
      <c r="K217" s="39" t="s">
        <v>813</v>
      </c>
      <c r="L217" s="39" t="s">
        <v>507</v>
      </c>
      <c r="M217" s="61"/>
      <c r="N217" s="40">
        <v>2256</v>
      </c>
      <c r="O217" s="41">
        <v>3285</v>
      </c>
      <c r="P217" s="41">
        <f>Tabla156[[#This Row],[PRECIO CLIENTE]]-Tabla156[[#This Row],[CANTIDAD PUBLICA]]</f>
        <v>1029</v>
      </c>
      <c r="Q217" s="10">
        <f>Tabla156[[#This Row],[COMISION AGENCIA]]*0.05</f>
        <v>51.45</v>
      </c>
      <c r="R217" s="36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</row>
    <row r="218" spans="1:39" ht="15.75" x14ac:dyDescent="0.25">
      <c r="A218" s="64"/>
      <c r="B218" s="43"/>
      <c r="C218" s="43" t="s">
        <v>814</v>
      </c>
      <c r="D218" s="64"/>
      <c r="E218" s="98" t="s">
        <v>416</v>
      </c>
      <c r="F218" s="98" t="s">
        <v>416</v>
      </c>
      <c r="G218" s="71">
        <v>25093</v>
      </c>
      <c r="H218" s="38">
        <v>45070</v>
      </c>
      <c r="I218" s="38">
        <v>45142</v>
      </c>
      <c r="J218" s="38">
        <v>45142</v>
      </c>
      <c r="K218" s="39" t="s">
        <v>815</v>
      </c>
      <c r="L218" s="39" t="s">
        <v>466</v>
      </c>
      <c r="M218" s="61"/>
      <c r="N218" s="40">
        <v>6855</v>
      </c>
      <c r="O218" s="41">
        <v>8825</v>
      </c>
      <c r="P218" s="41">
        <f>Tabla156[[#This Row],[PRECIO CLIENTE]]-Tabla156[[#This Row],[CANTIDAD PUBLICA]]</f>
        <v>1970</v>
      </c>
      <c r="Q218" s="10">
        <f>Tabla156[[#This Row],[COMISION AGENCIA]]*0.05</f>
        <v>98.5</v>
      </c>
      <c r="R218" s="36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</row>
    <row r="219" spans="1:39" ht="15.75" x14ac:dyDescent="0.25">
      <c r="A219" s="55">
        <f>Tabla156[[#This Row],[FECHA IN]]-15</f>
        <v>45091</v>
      </c>
      <c r="B219" s="29"/>
      <c r="C219" s="32" t="s">
        <v>816</v>
      </c>
      <c r="D219" s="27"/>
      <c r="E219" s="69" t="s">
        <v>420</v>
      </c>
      <c r="F219" s="70" t="s">
        <v>26</v>
      </c>
      <c r="G219" s="7">
        <v>25095</v>
      </c>
      <c r="H219" s="67">
        <v>45070</v>
      </c>
      <c r="I219" s="6">
        <v>45106</v>
      </c>
      <c r="J219" s="6">
        <v>45109</v>
      </c>
      <c r="K219" s="24" t="s">
        <v>817</v>
      </c>
      <c r="L219" s="121" t="s">
        <v>818</v>
      </c>
      <c r="M219" s="83"/>
      <c r="N219" s="8">
        <v>12436.18</v>
      </c>
      <c r="O219" s="3">
        <v>10820</v>
      </c>
      <c r="P219" s="3">
        <f>Tabla156[[#This Row],[CANTIDAD PUBLICA]]*0.05</f>
        <v>621.80900000000008</v>
      </c>
      <c r="Q219" s="15">
        <f>Tabla156[[#This Row],[COMISION AGENCIA]]*0.05</f>
        <v>31.090450000000004</v>
      </c>
      <c r="R219" s="36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</row>
    <row r="220" spans="1:39" ht="15.75" x14ac:dyDescent="0.25">
      <c r="A220" s="55">
        <f>Tabla156[[#This Row],[FECHA IN]]-15</f>
        <v>45168</v>
      </c>
      <c r="B220" s="29"/>
      <c r="C220" s="32" t="s">
        <v>819</v>
      </c>
      <c r="D220" s="27"/>
      <c r="E220" s="99" t="s">
        <v>419</v>
      </c>
      <c r="F220" s="100" t="s">
        <v>27</v>
      </c>
      <c r="G220" s="7">
        <v>25106</v>
      </c>
      <c r="H220" s="67">
        <v>45070</v>
      </c>
      <c r="I220" s="6">
        <v>45183</v>
      </c>
      <c r="J220" s="6">
        <v>45186</v>
      </c>
      <c r="K220" s="24" t="s">
        <v>820</v>
      </c>
      <c r="L220" s="121" t="s">
        <v>798</v>
      </c>
      <c r="M220" s="83"/>
      <c r="N220" s="8">
        <v>23447.119999999999</v>
      </c>
      <c r="O220" s="3">
        <v>20400</v>
      </c>
      <c r="P220" s="3">
        <f>Tabla156[[#This Row],[CANTIDAD PUBLICA]]*0.05</f>
        <v>1172.356</v>
      </c>
      <c r="Q220" s="15">
        <f>Tabla156[[#This Row],[COMISION AGENCIA]]*0.05</f>
        <v>58.617800000000003</v>
      </c>
      <c r="R220" s="36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</row>
    <row r="221" spans="1:39" ht="15.75" x14ac:dyDescent="0.25">
      <c r="A221" s="64"/>
      <c r="B221" s="43"/>
      <c r="C221" s="43"/>
      <c r="D221" s="64"/>
      <c r="E221" s="98" t="s">
        <v>416</v>
      </c>
      <c r="F221" s="98" t="s">
        <v>416</v>
      </c>
      <c r="G221" s="71">
        <v>25116</v>
      </c>
      <c r="H221" s="38">
        <v>45071</v>
      </c>
      <c r="I221" s="38">
        <v>45072</v>
      </c>
      <c r="J221" s="38">
        <v>45075</v>
      </c>
      <c r="K221" s="39" t="s">
        <v>821</v>
      </c>
      <c r="L221" s="39" t="s">
        <v>822</v>
      </c>
      <c r="M221" s="61"/>
      <c r="N221" s="40"/>
      <c r="O221" s="41">
        <v>2800</v>
      </c>
      <c r="P221" s="41">
        <f>Tabla156[[#This Row],[PRECIO CLIENTE]]-Tabla156[[#This Row],[CANTIDAD PUBLICA]]</f>
        <v>2800</v>
      </c>
      <c r="Q221" s="10">
        <f>Tabla156[[#This Row],[COMISION AGENCIA]]*0.05</f>
        <v>140</v>
      </c>
      <c r="R221" s="36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</row>
    <row r="222" spans="1:39" ht="15.75" x14ac:dyDescent="0.25">
      <c r="A222" s="55">
        <f>Tabla156[[#This Row],[FECHA IN]]-15</f>
        <v>45129</v>
      </c>
      <c r="B222" s="29"/>
      <c r="C222" s="32" t="s">
        <v>823</v>
      </c>
      <c r="D222" s="27"/>
      <c r="E222" s="99" t="s">
        <v>419</v>
      </c>
      <c r="F222" s="100" t="s">
        <v>27</v>
      </c>
      <c r="G222" s="7">
        <v>25118</v>
      </c>
      <c r="H222" s="67">
        <v>45071</v>
      </c>
      <c r="I222" s="6">
        <v>45144</v>
      </c>
      <c r="J222" s="6">
        <v>45149</v>
      </c>
      <c r="K222" s="24" t="s">
        <v>824</v>
      </c>
      <c r="L222" s="121" t="s">
        <v>825</v>
      </c>
      <c r="M222" s="83"/>
      <c r="N222" s="8">
        <v>14587.63</v>
      </c>
      <c r="O222" s="3">
        <v>12695</v>
      </c>
      <c r="P222" s="3">
        <f>Tabla156[[#This Row],[CANTIDAD PUBLICA]]*0.05</f>
        <v>729.38149999999996</v>
      </c>
      <c r="Q222" s="15">
        <f>Tabla156[[#This Row],[COMISION AGENCIA]]*0.05</f>
        <v>36.469074999999997</v>
      </c>
      <c r="R222" s="36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</row>
    <row r="223" spans="1:39" ht="15.75" x14ac:dyDescent="0.25">
      <c r="A223" s="64"/>
      <c r="B223" s="43"/>
      <c r="C223" s="43" t="s">
        <v>826</v>
      </c>
      <c r="D223" s="64"/>
      <c r="E223" s="98" t="s">
        <v>416</v>
      </c>
      <c r="F223" s="98" t="s">
        <v>416</v>
      </c>
      <c r="G223" s="71">
        <v>25118</v>
      </c>
      <c r="H223" s="38">
        <v>45071</v>
      </c>
      <c r="I223" s="38">
        <v>45144</v>
      </c>
      <c r="J223" s="38">
        <v>45149</v>
      </c>
      <c r="K223" s="39" t="s">
        <v>824</v>
      </c>
      <c r="L223" s="39" t="s">
        <v>507</v>
      </c>
      <c r="M223" s="61"/>
      <c r="N223" s="40">
        <v>6458</v>
      </c>
      <c r="O223" s="41">
        <v>8420</v>
      </c>
      <c r="P223" s="41">
        <f>Tabla156[[#This Row],[PRECIO CLIENTE]]-Tabla156[[#This Row],[CANTIDAD PUBLICA]]</f>
        <v>1962</v>
      </c>
      <c r="Q223" s="10">
        <f>Tabla156[[#This Row],[COMISION AGENCIA]]*0.05</f>
        <v>98.100000000000009</v>
      </c>
      <c r="R223" s="36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</row>
    <row r="224" spans="1:39" ht="15.75" x14ac:dyDescent="0.25">
      <c r="A224" s="64"/>
      <c r="B224" s="43"/>
      <c r="C224" s="43" t="s">
        <v>827</v>
      </c>
      <c r="D224" s="64"/>
      <c r="E224" s="98" t="s">
        <v>416</v>
      </c>
      <c r="F224" s="98" t="s">
        <v>416</v>
      </c>
      <c r="G224" s="71">
        <v>25119</v>
      </c>
      <c r="H224" s="38">
        <v>45071</v>
      </c>
      <c r="I224" s="38">
        <v>45073</v>
      </c>
      <c r="J224" s="38">
        <v>45073</v>
      </c>
      <c r="K224" s="39" t="s">
        <v>828</v>
      </c>
      <c r="L224" s="39" t="s">
        <v>435</v>
      </c>
      <c r="M224" s="61"/>
      <c r="N224" s="40">
        <v>4776</v>
      </c>
      <c r="O224" s="41">
        <v>5250</v>
      </c>
      <c r="P224" s="41">
        <f>Tabla156[[#This Row],[PRECIO CLIENTE]]-Tabla156[[#This Row],[CANTIDAD PUBLICA]]</f>
        <v>474</v>
      </c>
      <c r="Q224" s="10">
        <f>Tabla156[[#This Row],[COMISION AGENCIA]]*0.05</f>
        <v>23.700000000000003</v>
      </c>
      <c r="R224" s="36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</row>
    <row r="225" spans="1:39" ht="15.75" x14ac:dyDescent="0.25">
      <c r="A225" s="64"/>
      <c r="B225" s="43"/>
      <c r="C225" s="43" t="s">
        <v>829</v>
      </c>
      <c r="D225" s="64"/>
      <c r="E225" s="98" t="s">
        <v>416</v>
      </c>
      <c r="F225" s="98" t="s">
        <v>416</v>
      </c>
      <c r="G225" s="71">
        <v>25126</v>
      </c>
      <c r="H225" s="38">
        <v>45071</v>
      </c>
      <c r="I225" s="38">
        <v>45097</v>
      </c>
      <c r="J225" s="38">
        <v>45097</v>
      </c>
      <c r="K225" s="39" t="s">
        <v>830</v>
      </c>
      <c r="L225" s="39" t="s">
        <v>481</v>
      </c>
      <c r="M225" s="61"/>
      <c r="N225" s="40">
        <v>4272</v>
      </c>
      <c r="O225" s="41">
        <v>4700</v>
      </c>
      <c r="P225" s="41">
        <f>Tabla156[[#This Row],[PRECIO CLIENTE]]-Tabla156[[#This Row],[CANTIDAD PUBLICA]]</f>
        <v>428</v>
      </c>
      <c r="Q225" s="10">
        <f>Tabla156[[#This Row],[COMISION AGENCIA]]*0.05</f>
        <v>21.400000000000002</v>
      </c>
      <c r="R225" s="36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</row>
    <row r="226" spans="1:39" ht="15.75" x14ac:dyDescent="0.25">
      <c r="A226" s="64"/>
      <c r="B226" s="43"/>
      <c r="C226" s="43" t="s">
        <v>831</v>
      </c>
      <c r="D226" s="64"/>
      <c r="E226" s="98" t="s">
        <v>416</v>
      </c>
      <c r="F226" s="98" t="s">
        <v>416</v>
      </c>
      <c r="G226" s="71">
        <v>25156</v>
      </c>
      <c r="H226" s="38">
        <v>45073</v>
      </c>
      <c r="I226" s="38">
        <v>45073</v>
      </c>
      <c r="J226" s="38">
        <v>45073</v>
      </c>
      <c r="K226" s="39" t="s">
        <v>607</v>
      </c>
      <c r="L226" s="39" t="s">
        <v>464</v>
      </c>
      <c r="M226" s="61"/>
      <c r="N226" s="40">
        <v>5164.7700000000004</v>
      </c>
      <c r="O226" s="41">
        <v>5315</v>
      </c>
      <c r="P226" s="41">
        <f>Tabla156[[#This Row],[PRECIO CLIENTE]]-Tabla156[[#This Row],[CANTIDAD PUBLICA]]</f>
        <v>150.22999999999956</v>
      </c>
      <c r="Q226" s="10">
        <f>Tabla156[[#This Row],[COMISION AGENCIA]]*0.05</f>
        <v>7.5114999999999785</v>
      </c>
      <c r="R226" s="36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</row>
    <row r="227" spans="1:39" ht="15.75" x14ac:dyDescent="0.25">
      <c r="A227" s="55">
        <f>Tabla156[[#This Row],[FECHA IN]]-15</f>
        <v>45109</v>
      </c>
      <c r="B227" s="29"/>
      <c r="C227" s="32" t="s">
        <v>832</v>
      </c>
      <c r="D227" s="27"/>
      <c r="E227" s="99" t="s">
        <v>419</v>
      </c>
      <c r="F227" s="100" t="s">
        <v>27</v>
      </c>
      <c r="G227" s="7">
        <v>25188</v>
      </c>
      <c r="H227" s="67">
        <v>45076</v>
      </c>
      <c r="I227" s="6">
        <v>45124</v>
      </c>
      <c r="J227" s="6">
        <v>45128</v>
      </c>
      <c r="K227" s="24" t="s">
        <v>833</v>
      </c>
      <c r="L227" s="121" t="s">
        <v>834</v>
      </c>
      <c r="M227" s="83"/>
      <c r="N227" s="8">
        <v>18527.38</v>
      </c>
      <c r="O227" s="3">
        <v>16120</v>
      </c>
      <c r="P227" s="3">
        <f>Tabla156[[#This Row],[CANTIDAD PUBLICA]]*0.05</f>
        <v>926.36900000000014</v>
      </c>
      <c r="Q227" s="15">
        <f>Tabla156[[#This Row],[COMISION AGENCIA]]*0.05</f>
        <v>46.318450000000013</v>
      </c>
      <c r="R227" s="36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</row>
    <row r="228" spans="1:39" ht="15.75" x14ac:dyDescent="0.25">
      <c r="A228" s="64"/>
      <c r="B228" s="43"/>
      <c r="C228" s="43"/>
      <c r="D228" s="64"/>
      <c r="E228" s="98" t="s">
        <v>416</v>
      </c>
      <c r="F228" s="98" t="s">
        <v>416</v>
      </c>
      <c r="G228" s="71">
        <v>25196</v>
      </c>
      <c r="H228" s="38">
        <v>45076</v>
      </c>
      <c r="I228" s="38">
        <v>45090</v>
      </c>
      <c r="J228" s="38">
        <v>45105</v>
      </c>
      <c r="K228" s="39" t="s">
        <v>835</v>
      </c>
      <c r="L228" s="39" t="s">
        <v>581</v>
      </c>
      <c r="M228" s="61"/>
      <c r="N228" s="40">
        <v>15669.14</v>
      </c>
      <c r="O228" s="41">
        <v>17310</v>
      </c>
      <c r="P228" s="41">
        <f>Tabla156[[#This Row],[PRECIO CLIENTE]]-Tabla156[[#This Row],[CANTIDAD PUBLICA]]</f>
        <v>1640.8600000000006</v>
      </c>
      <c r="Q228" s="10">
        <f>Tabla156[[#This Row],[COMISION AGENCIA]]*0.05</f>
        <v>82.043000000000035</v>
      </c>
      <c r="R228" s="36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</row>
    <row r="229" spans="1:39" ht="15.75" x14ac:dyDescent="0.25">
      <c r="A229" s="55">
        <f>Tabla156[[#This Row],[FECHA IN]]-15</f>
        <v>45080</v>
      </c>
      <c r="B229" s="29"/>
      <c r="C229" s="32" t="s">
        <v>836</v>
      </c>
      <c r="D229" s="27"/>
      <c r="E229" s="69" t="s">
        <v>420</v>
      </c>
      <c r="F229" s="70" t="s">
        <v>26</v>
      </c>
      <c r="G229" s="7" t="s">
        <v>837</v>
      </c>
      <c r="H229" s="67">
        <v>45076</v>
      </c>
      <c r="I229" s="6">
        <v>45095</v>
      </c>
      <c r="J229" s="6">
        <v>45099</v>
      </c>
      <c r="K229" s="24" t="s">
        <v>838</v>
      </c>
      <c r="L229" s="121" t="s">
        <v>640</v>
      </c>
      <c r="M229" s="83"/>
      <c r="N229" s="8">
        <v>46592.2</v>
      </c>
      <c r="O229" s="3">
        <v>40540</v>
      </c>
      <c r="P229" s="3">
        <f>Tabla156[[#This Row],[CANTIDAD PUBLICA]]*0.05</f>
        <v>2329.61</v>
      </c>
      <c r="Q229" s="15">
        <f>Tabla156[[#This Row],[COMISION AGENCIA]]*0.05</f>
        <v>116.48050000000001</v>
      </c>
      <c r="R229" s="36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</row>
    <row r="230" spans="1:39" ht="15.75" x14ac:dyDescent="0.25">
      <c r="A230" s="55">
        <f>Tabla156[[#This Row],[FECHA IN]]-15</f>
        <v>45080</v>
      </c>
      <c r="B230" s="29"/>
      <c r="C230" s="32" t="s">
        <v>839</v>
      </c>
      <c r="D230" s="27"/>
      <c r="E230" s="69" t="s">
        <v>420</v>
      </c>
      <c r="F230" s="70" t="s">
        <v>26</v>
      </c>
      <c r="G230" s="7">
        <v>25200</v>
      </c>
      <c r="H230" s="67">
        <v>45076</v>
      </c>
      <c r="I230" s="6">
        <v>45095</v>
      </c>
      <c r="J230" s="6">
        <v>45099</v>
      </c>
      <c r="K230" s="24" t="s">
        <v>840</v>
      </c>
      <c r="L230" s="121" t="s">
        <v>640</v>
      </c>
      <c r="M230" s="83"/>
      <c r="N230" s="8">
        <v>18766.23</v>
      </c>
      <c r="O230" s="3">
        <v>16890</v>
      </c>
      <c r="P230" s="3">
        <f>Tabla156[[#This Row],[CANTIDAD PUBLICA]]*0.05</f>
        <v>938.31150000000002</v>
      </c>
      <c r="Q230" s="15">
        <f>Tabla156[[#This Row],[COMISION AGENCIA]]*0.05</f>
        <v>46.915575000000004</v>
      </c>
      <c r="R230" s="36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</row>
    <row r="231" spans="1:39" ht="15.75" x14ac:dyDescent="0.25">
      <c r="A231" s="55">
        <f>Tabla156[[#This Row],[FECHA IN]]-15</f>
        <v>45080</v>
      </c>
      <c r="B231" s="29"/>
      <c r="C231" s="32" t="s">
        <v>841</v>
      </c>
      <c r="D231" s="27"/>
      <c r="E231" s="69" t="s">
        <v>420</v>
      </c>
      <c r="F231" s="70" t="s">
        <v>26</v>
      </c>
      <c r="G231" s="7">
        <v>25201</v>
      </c>
      <c r="H231" s="67">
        <v>45076</v>
      </c>
      <c r="I231" s="6">
        <v>45095</v>
      </c>
      <c r="J231" s="6">
        <v>45099</v>
      </c>
      <c r="K231" s="24" t="s">
        <v>842</v>
      </c>
      <c r="L231" s="121" t="s">
        <v>640</v>
      </c>
      <c r="M231" s="83"/>
      <c r="N231" s="8">
        <v>23501.19</v>
      </c>
      <c r="O231" s="3">
        <v>21155</v>
      </c>
      <c r="P231" s="3">
        <f>Tabla156[[#This Row],[CANTIDAD PUBLICA]]*0.05</f>
        <v>1175.0595000000001</v>
      </c>
      <c r="Q231" s="15">
        <f>Tabla156[[#This Row],[COMISION AGENCIA]]*0.05</f>
        <v>58.752975000000006</v>
      </c>
      <c r="R231" s="36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</row>
    <row r="232" spans="1:39" ht="15.75" x14ac:dyDescent="0.25">
      <c r="A232" s="55">
        <f>Tabla156[[#This Row],[FECHA IN]]-15</f>
        <v>45092</v>
      </c>
      <c r="B232" s="29"/>
      <c r="C232" s="32">
        <v>701923104</v>
      </c>
      <c r="D232" s="27"/>
      <c r="E232" s="69" t="s">
        <v>420</v>
      </c>
      <c r="F232" s="70" t="s">
        <v>26</v>
      </c>
      <c r="G232" s="7" t="s">
        <v>843</v>
      </c>
      <c r="H232" s="67">
        <v>45077</v>
      </c>
      <c r="I232" s="6">
        <v>45107</v>
      </c>
      <c r="J232" s="6">
        <v>45110</v>
      </c>
      <c r="K232" s="24" t="s">
        <v>844</v>
      </c>
      <c r="L232" s="121" t="s">
        <v>845</v>
      </c>
      <c r="M232" s="83"/>
      <c r="N232" s="8">
        <v>17397.830000000002</v>
      </c>
      <c r="O232" s="3">
        <v>15705</v>
      </c>
      <c r="P232" s="3">
        <f>Tabla156[[#This Row],[CANTIDAD PUBLICA]]*0.05</f>
        <v>869.89150000000018</v>
      </c>
      <c r="Q232" s="15">
        <f>Tabla156[[#This Row],[COMISION AGENCIA]]*0.05</f>
        <v>43.494575000000012</v>
      </c>
      <c r="R232" s="36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</row>
    <row r="233" spans="1:39" ht="15.75" x14ac:dyDescent="0.25">
      <c r="A233" s="27"/>
      <c r="B233" s="29"/>
      <c r="C233" s="29"/>
      <c r="D233" s="27"/>
      <c r="E233" s="52"/>
      <c r="F233" s="53"/>
      <c r="G233" s="7"/>
      <c r="H233" s="1"/>
      <c r="I233" s="28"/>
      <c r="J233" s="144"/>
      <c r="K233" s="24"/>
      <c r="L233" s="25"/>
      <c r="M233" s="83"/>
      <c r="O233" s="3"/>
      <c r="P233" s="3">
        <f>Tabla156[[#This Row],[PRECIO CLIENTE]]-Tabla156[[#This Row],[CANTIDAD PUBLICA]]</f>
        <v>0</v>
      </c>
      <c r="Q233" s="15">
        <f>Tabla156[[#This Row],[COMISION AGENCIA]]*0.05</f>
        <v>0</v>
      </c>
      <c r="R233" s="36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</row>
    <row r="234" spans="1:39" ht="15.75" x14ac:dyDescent="0.25">
      <c r="A234" s="27"/>
      <c r="B234" s="29"/>
      <c r="C234" s="29"/>
      <c r="D234" s="27"/>
      <c r="E234" s="52"/>
      <c r="F234" s="53"/>
      <c r="G234" s="7"/>
      <c r="H234" s="1"/>
      <c r="I234" s="28"/>
      <c r="J234" s="144"/>
      <c r="K234" s="24"/>
      <c r="L234" s="25"/>
      <c r="M234" s="83"/>
      <c r="O234" s="3"/>
      <c r="P234" s="3">
        <f>Tabla156[[#This Row],[PRECIO CLIENTE]]-Tabla156[[#This Row],[CANTIDAD PUBLICA]]</f>
        <v>0</v>
      </c>
      <c r="Q234" s="15">
        <f>Tabla156[[#This Row],[COMISION AGENCIA]]*0.05</f>
        <v>0</v>
      </c>
      <c r="R234" s="36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</row>
    <row r="235" spans="1:39" ht="15.75" x14ac:dyDescent="0.25">
      <c r="A235" s="27"/>
      <c r="B235" s="29"/>
      <c r="C235" s="29"/>
      <c r="D235" s="27"/>
      <c r="E235" s="52"/>
      <c r="F235" s="53"/>
      <c r="G235" s="7"/>
      <c r="H235" s="1"/>
      <c r="I235" s="28"/>
      <c r="J235" s="144"/>
      <c r="K235" s="24"/>
      <c r="L235" s="25"/>
      <c r="M235" s="83"/>
      <c r="O235" s="3"/>
      <c r="P235" s="3">
        <f>Tabla156[[#This Row],[PRECIO CLIENTE]]-Tabla156[[#This Row],[CANTIDAD PUBLICA]]</f>
        <v>0</v>
      </c>
      <c r="Q235" s="15">
        <f>Tabla156[[#This Row],[COMISION AGENCIA]]*0.05</f>
        <v>0</v>
      </c>
      <c r="R235" s="36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</row>
    <row r="236" spans="1:39" ht="15.75" x14ac:dyDescent="0.25">
      <c r="A236" s="27"/>
      <c r="B236" s="29"/>
      <c r="C236" s="29"/>
      <c r="D236" s="27"/>
      <c r="E236" s="52"/>
      <c r="F236" s="53"/>
      <c r="G236" s="7"/>
      <c r="H236" s="1"/>
      <c r="I236" s="28"/>
      <c r="J236" s="144"/>
      <c r="K236" s="24"/>
      <c r="L236" s="25"/>
      <c r="M236" s="83"/>
      <c r="O236" s="3"/>
      <c r="P236" s="3">
        <f>Tabla156[[#This Row],[PRECIO CLIENTE]]-Tabla156[[#This Row],[CANTIDAD PUBLICA]]</f>
        <v>0</v>
      </c>
      <c r="Q236" s="15">
        <f>Tabla156[[#This Row],[COMISION AGENCIA]]*0.05</f>
        <v>0</v>
      </c>
      <c r="R236" s="36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</row>
    <row r="237" spans="1:39" ht="15.75" x14ac:dyDescent="0.25">
      <c r="A237" s="27"/>
      <c r="B237" s="29"/>
      <c r="C237" s="29"/>
      <c r="D237" s="27"/>
      <c r="E237" s="52"/>
      <c r="F237" s="53"/>
      <c r="G237" s="7"/>
      <c r="H237" s="1"/>
      <c r="I237" s="28"/>
      <c r="J237" s="144"/>
      <c r="K237" s="24"/>
      <c r="L237" s="25"/>
      <c r="M237" s="83"/>
      <c r="O237" s="3"/>
      <c r="P237" s="3">
        <f>Tabla156[[#This Row],[PRECIO CLIENTE]]-Tabla156[[#This Row],[CANTIDAD PUBLICA]]</f>
        <v>0</v>
      </c>
      <c r="Q237" s="15">
        <f>Tabla156[[#This Row],[COMISION AGENCIA]]*0.05</f>
        <v>0</v>
      </c>
      <c r="R237" s="36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</row>
    <row r="238" spans="1:39" ht="15.75" x14ac:dyDescent="0.25">
      <c r="A238" s="27"/>
      <c r="B238" s="29"/>
      <c r="C238" s="29"/>
      <c r="D238" s="27"/>
      <c r="E238" s="52"/>
      <c r="F238" s="53"/>
      <c r="G238" s="7"/>
      <c r="H238" s="1"/>
      <c r="I238" s="28"/>
      <c r="J238" s="144"/>
      <c r="K238" s="24"/>
      <c r="L238" s="25"/>
      <c r="M238" s="83"/>
      <c r="O238" s="3"/>
      <c r="P238" s="3">
        <f>Tabla156[[#This Row],[PRECIO CLIENTE]]-Tabla156[[#This Row],[CANTIDAD PUBLICA]]</f>
        <v>0</v>
      </c>
      <c r="Q238" s="15">
        <f>Tabla156[[#This Row],[COMISION AGENCIA]]*0.05</f>
        <v>0</v>
      </c>
      <c r="R238" s="36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</row>
    <row r="239" spans="1:39" ht="15.75" x14ac:dyDescent="0.25">
      <c r="A239" s="27"/>
      <c r="B239" s="29"/>
      <c r="C239" s="29"/>
      <c r="D239" s="27"/>
      <c r="E239" s="52"/>
      <c r="F239" s="53"/>
      <c r="G239" s="7"/>
      <c r="H239" s="1"/>
      <c r="I239" s="28"/>
      <c r="J239" s="144"/>
      <c r="K239" s="24"/>
      <c r="L239" s="25"/>
      <c r="M239" s="83"/>
      <c r="O239" s="3"/>
      <c r="P239" s="3">
        <f>Tabla156[[#This Row],[PRECIO CLIENTE]]-Tabla156[[#This Row],[CANTIDAD PUBLICA]]</f>
        <v>0</v>
      </c>
      <c r="Q239" s="15">
        <f>Tabla156[[#This Row],[COMISION AGENCIA]]*0.05</f>
        <v>0</v>
      </c>
      <c r="R239" s="36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</row>
    <row r="240" spans="1:39" ht="15.75" x14ac:dyDescent="0.25">
      <c r="A240" s="27"/>
      <c r="B240" s="29"/>
      <c r="C240" s="29"/>
      <c r="D240" s="27"/>
      <c r="E240" s="52"/>
      <c r="F240" s="53"/>
      <c r="G240" s="7"/>
      <c r="H240" s="1"/>
      <c r="I240" s="28"/>
      <c r="J240" s="26"/>
      <c r="K240" s="24"/>
      <c r="L240" s="25"/>
      <c r="M240" s="7"/>
      <c r="O240" s="3"/>
      <c r="P240" s="3">
        <f>Tabla156[[#This Row],[PRECIO CLIENTE]]-Tabla156[[#This Row],[CANTIDAD PUBLICA]]</f>
        <v>0</v>
      </c>
      <c r="Q240" s="15">
        <f>Tabla156[[#This Row],[COMISION AGENCIA]]*0.05</f>
        <v>0</v>
      </c>
      <c r="R240" s="36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</row>
    <row r="241" spans="1:39" ht="15.75" x14ac:dyDescent="0.25">
      <c r="A241" s="27"/>
      <c r="B241" s="29"/>
      <c r="C241" s="29"/>
      <c r="D241" s="27"/>
      <c r="E241" s="52"/>
      <c r="F241" s="53"/>
      <c r="G241" s="7"/>
      <c r="H241" s="1"/>
      <c r="I241" s="28"/>
      <c r="J241" s="144"/>
      <c r="K241" s="24"/>
      <c r="L241" s="25"/>
      <c r="M241" s="83"/>
      <c r="O241" s="3"/>
      <c r="P241" s="3">
        <f>Tabla156[[#This Row],[PRECIO CLIENTE]]-Tabla156[[#This Row],[CANTIDAD PUBLICA]]</f>
        <v>0</v>
      </c>
      <c r="Q241" s="15">
        <f>Tabla156[[#This Row],[COMISION AGENCIA]]*0.05</f>
        <v>0</v>
      </c>
      <c r="R241" s="36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</row>
    <row r="242" spans="1:39" ht="15.75" x14ac:dyDescent="0.25">
      <c r="A242" s="27"/>
      <c r="B242" s="29"/>
      <c r="C242" s="29"/>
      <c r="D242" s="27"/>
      <c r="E242" s="52"/>
      <c r="F242" s="53"/>
      <c r="G242" s="7"/>
      <c r="H242" s="1"/>
      <c r="I242" s="28"/>
      <c r="J242" s="26"/>
      <c r="K242" s="24"/>
      <c r="L242" s="25"/>
      <c r="M242" s="7"/>
      <c r="O242" s="3"/>
      <c r="P242" s="3">
        <f>Tabla156[[#This Row],[PRECIO CLIENTE]]-Tabla156[[#This Row],[CANTIDAD PUBLICA]]</f>
        <v>0</v>
      </c>
      <c r="Q242" s="15">
        <f>Tabla156[[#This Row],[COMISION AGENCIA]]*0.05</f>
        <v>0</v>
      </c>
      <c r="R242" s="36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</row>
    <row r="243" spans="1:39" ht="15.75" x14ac:dyDescent="0.25">
      <c r="A243" s="92"/>
      <c r="B243" s="44"/>
      <c r="C243" s="44"/>
      <c r="D243" s="44"/>
      <c r="E243" s="45"/>
      <c r="F243" s="46"/>
      <c r="G243" s="72"/>
      <c r="H243" s="45"/>
      <c r="I243" s="47"/>
      <c r="J243" s="50"/>
      <c r="K243" s="51"/>
      <c r="L243" s="48"/>
      <c r="M243" s="51"/>
      <c r="N243" s="49">
        <f>SUM(N11:N242)</f>
        <v>3162067.2100000014</v>
      </c>
      <c r="O243" s="49">
        <f t="shared" ref="O243:Q243" si="0">SUM(O11:O242)</f>
        <v>3091005.43</v>
      </c>
      <c r="P243" s="49">
        <f t="shared" si="0"/>
        <v>367776.6489999998</v>
      </c>
      <c r="Q243" s="49">
        <f t="shared" si="0"/>
        <v>16888.761600000002</v>
      </c>
      <c r="R243" s="92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</row>
    <row r="244" spans="1:39" x14ac:dyDescent="0.25">
      <c r="A244" s="33"/>
      <c r="B244" s="33"/>
      <c r="C244" s="33"/>
      <c r="D244" s="33"/>
      <c r="E244" s="33"/>
      <c r="F244" s="34"/>
      <c r="G244" s="33"/>
      <c r="H244" s="34"/>
      <c r="I244" s="34"/>
      <c r="J244" s="35"/>
      <c r="K244" s="33"/>
      <c r="L244" s="33"/>
      <c r="M244" s="36"/>
      <c r="N244" s="36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</row>
    <row r="245" spans="1:39" x14ac:dyDescent="0.25">
      <c r="A245" s="33"/>
      <c r="B245" s="33"/>
      <c r="C245" s="33"/>
      <c r="D245" s="33"/>
      <c r="E245" s="33"/>
      <c r="F245" s="34"/>
      <c r="G245" s="33"/>
      <c r="H245" s="34"/>
      <c r="I245" s="34"/>
      <c r="J245" s="35"/>
      <c r="K245" s="33"/>
      <c r="L245" s="33"/>
      <c r="M245" s="36"/>
      <c r="N245" s="36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</row>
    <row r="246" spans="1:39" x14ac:dyDescent="0.25">
      <c r="A246" s="33"/>
      <c r="B246" s="33"/>
      <c r="C246" s="33"/>
      <c r="D246" s="33"/>
      <c r="E246" s="33"/>
      <c r="F246" s="34"/>
      <c r="G246" s="33"/>
      <c r="H246" s="34"/>
      <c r="I246" s="34"/>
      <c r="J246" s="35"/>
      <c r="K246" s="33"/>
      <c r="L246" s="33"/>
      <c r="M246" s="36"/>
      <c r="N246" s="36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</row>
    <row r="247" spans="1:39" x14ac:dyDescent="0.25">
      <c r="A247" s="33"/>
      <c r="B247" s="33"/>
      <c r="C247" s="33"/>
      <c r="D247" s="33"/>
      <c r="E247" s="33"/>
      <c r="F247" s="34"/>
      <c r="G247" s="33"/>
      <c r="H247" s="34"/>
      <c r="J247" s="35"/>
      <c r="K247" s="33"/>
      <c r="L247" s="33"/>
      <c r="M247" s="36"/>
      <c r="N247" s="36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</row>
    <row r="248" spans="1:39" x14ac:dyDescent="0.25">
      <c r="D248" s="33"/>
      <c r="E248" s="33"/>
      <c r="F248" s="34"/>
      <c r="G248" s="33"/>
      <c r="H248" s="34"/>
      <c r="I248" s="34"/>
      <c r="J248" s="35"/>
      <c r="K248" s="33"/>
      <c r="L248" s="33"/>
      <c r="M248" s="36"/>
      <c r="N248" s="36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</row>
    <row r="249" spans="1:39" x14ac:dyDescent="0.25">
      <c r="D249" s="33"/>
      <c r="E249" s="33"/>
      <c r="F249" s="34"/>
      <c r="G249" s="33"/>
      <c r="H249" s="34"/>
      <c r="I249" s="34"/>
      <c r="J249" s="35"/>
      <c r="K249" s="33"/>
      <c r="L249" s="33"/>
      <c r="M249" s="36"/>
      <c r="N249" s="36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</row>
    <row r="250" spans="1:39" x14ac:dyDescent="0.25">
      <c r="D250" s="33"/>
      <c r="E250" s="33"/>
      <c r="F250" s="34"/>
      <c r="G250" s="33"/>
      <c r="H250" s="34"/>
      <c r="I250" s="34"/>
      <c r="J250" s="35"/>
      <c r="K250" s="33"/>
      <c r="L250" s="33"/>
      <c r="M250" s="36"/>
      <c r="N250" s="36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</row>
    <row r="251" spans="1:39" x14ac:dyDescent="0.25">
      <c r="D251" s="33"/>
      <c r="E251" s="33"/>
      <c r="F251" s="34"/>
      <c r="G251" s="33"/>
      <c r="H251" s="34"/>
      <c r="I251" s="34"/>
      <c r="J251" s="35"/>
      <c r="K251" s="33"/>
      <c r="L251" s="33"/>
      <c r="M251" s="36"/>
      <c r="N251" s="36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</row>
    <row r="252" spans="1:39" x14ac:dyDescent="0.25">
      <c r="D252" s="33"/>
      <c r="E252" s="33"/>
      <c r="F252" s="34"/>
      <c r="G252" s="33"/>
      <c r="H252" s="34"/>
      <c r="I252" s="34"/>
      <c r="J252" s="35"/>
      <c r="K252" s="33"/>
      <c r="L252" s="33"/>
      <c r="M252" s="36"/>
      <c r="N252" s="36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</row>
    <row r="253" spans="1:39" x14ac:dyDescent="0.25">
      <c r="D253" s="33"/>
      <c r="E253" s="33"/>
      <c r="F253" s="34"/>
      <c r="G253" s="33"/>
      <c r="H253" s="34"/>
      <c r="I253" s="34"/>
      <c r="J253" s="35"/>
      <c r="K253" s="33"/>
      <c r="L253" s="33"/>
      <c r="M253" s="36"/>
      <c r="N253" s="36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</row>
    <row r="254" spans="1:39" x14ac:dyDescent="0.25">
      <c r="D254" s="33"/>
      <c r="E254" s="33"/>
      <c r="F254" s="34"/>
      <c r="G254" s="33"/>
      <c r="H254" s="34"/>
      <c r="I254" s="34"/>
      <c r="J254" s="35"/>
      <c r="K254" s="33"/>
      <c r="L254" s="33"/>
      <c r="M254" s="36"/>
      <c r="N254" s="36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</row>
    <row r="255" spans="1:39" x14ac:dyDescent="0.25">
      <c r="D255" s="33"/>
      <c r="E255" s="33"/>
      <c r="F255" s="34"/>
      <c r="G255" s="33"/>
      <c r="H255" s="34"/>
      <c r="I255" s="34"/>
      <c r="J255" s="35"/>
      <c r="K255" s="33"/>
      <c r="L255" s="33"/>
      <c r="M255" s="36"/>
      <c r="N255" s="36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</row>
    <row r="256" spans="1:39" x14ac:dyDescent="0.25">
      <c r="A256" s="33"/>
      <c r="B256" s="33"/>
      <c r="C256" s="33"/>
      <c r="D256" s="33"/>
      <c r="E256" s="33"/>
      <c r="F256" s="34"/>
      <c r="G256" s="33"/>
      <c r="H256" s="34"/>
      <c r="I256" s="34"/>
      <c r="J256" s="35"/>
      <c r="K256" s="33"/>
      <c r="L256" s="33"/>
      <c r="M256" s="36"/>
      <c r="N256" s="36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</row>
    <row r="257" spans="1:38" x14ac:dyDescent="0.25">
      <c r="A257" s="33"/>
      <c r="B257" s="33"/>
      <c r="C257" s="33"/>
      <c r="D257" s="33"/>
      <c r="E257" s="33"/>
      <c r="F257" s="34"/>
      <c r="G257" s="33"/>
      <c r="H257" s="34"/>
      <c r="I257" s="34"/>
      <c r="J257" s="35"/>
      <c r="K257" s="33"/>
      <c r="L257" s="33"/>
      <c r="M257" s="36"/>
      <c r="N257" s="36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</row>
    <row r="258" spans="1:38" x14ac:dyDescent="0.25">
      <c r="A258" s="33"/>
      <c r="B258" s="33"/>
      <c r="C258" s="33"/>
      <c r="D258" s="33"/>
      <c r="E258" s="33"/>
      <c r="F258" s="34"/>
      <c r="G258" s="33"/>
      <c r="H258" s="34"/>
      <c r="I258" s="34"/>
      <c r="J258" s="35"/>
      <c r="K258" s="33"/>
      <c r="L258" s="33"/>
      <c r="M258" s="36"/>
      <c r="N258" s="36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</row>
    <row r="259" spans="1:38" x14ac:dyDescent="0.25">
      <c r="A259" s="33"/>
      <c r="B259" s="33"/>
      <c r="C259" s="33"/>
      <c r="D259" s="33"/>
      <c r="E259" s="33"/>
      <c r="F259" s="34"/>
      <c r="G259" s="33"/>
      <c r="H259" s="34"/>
      <c r="I259" s="34"/>
      <c r="J259" s="35"/>
      <c r="K259" s="33"/>
      <c r="L259" s="33"/>
      <c r="M259" s="36"/>
      <c r="N259" s="36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</row>
    <row r="260" spans="1:38" x14ac:dyDescent="0.25">
      <c r="A260" s="33"/>
      <c r="B260" s="33"/>
      <c r="C260" s="33"/>
      <c r="D260" s="33"/>
      <c r="E260" s="33"/>
      <c r="F260" s="34"/>
      <c r="G260" s="33"/>
      <c r="H260" s="34"/>
      <c r="I260" s="34"/>
      <c r="J260" s="35"/>
      <c r="K260" s="33"/>
      <c r="L260" s="33"/>
      <c r="M260" s="36"/>
      <c r="N260" s="36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</row>
    <row r="261" spans="1:38" x14ac:dyDescent="0.25">
      <c r="A261" s="33"/>
      <c r="B261" s="33"/>
      <c r="C261" s="33"/>
      <c r="D261" s="33"/>
      <c r="E261" s="33"/>
      <c r="F261" s="34"/>
      <c r="G261" s="33"/>
      <c r="H261" s="34"/>
      <c r="I261" s="34"/>
      <c r="J261" s="35"/>
      <c r="K261" s="33"/>
      <c r="L261" s="33"/>
      <c r="M261" s="36"/>
      <c r="N261" s="36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</row>
    <row r="262" spans="1:38" x14ac:dyDescent="0.25">
      <c r="A262" s="33"/>
      <c r="B262" s="33"/>
      <c r="C262" s="33"/>
      <c r="D262" s="33"/>
      <c r="E262" s="33"/>
      <c r="F262" s="34"/>
      <c r="G262" s="33"/>
      <c r="H262" s="34"/>
      <c r="I262" s="34"/>
      <c r="J262" s="35"/>
      <c r="K262" s="33"/>
      <c r="L262" s="33"/>
      <c r="M262" s="36"/>
      <c r="N262" s="36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</row>
  </sheetData>
  <sheetProtection algorithmName="SHA-512" hashValue="YWmSrAA0Tt4Ovc39CExlaj0sEcMcE+X0dzHyD/NoG+TqLdocAaeqiaQQfrTVKgqJkCVYHsG+MVtoFZGqiMPdmA==" saltValue="Q5H1+a+HzUSI0e24H4IJzg==" spinCount="100000" sheet="1" objects="1" scenarios="1" autoFilter="0"/>
  <phoneticPr fontId="12" type="noConversion"/>
  <conditionalFormatting sqref="B1">
    <cfRule type="containsText" dxfId="30" priority="82" operator="containsText" text="SIN ANTICIPO">
      <formula>NOT(ISERROR(SEARCH("SIN ANTICIPO",B1)))</formula>
    </cfRule>
    <cfRule type="containsText" dxfId="29" priority="83" operator="containsText" text="CON ANTICIPO">
      <formula>NOT(ISERROR(SEARCH("CON ANTICIPO",B1)))</formula>
    </cfRule>
    <cfRule type="containsText" dxfId="28" priority="84" operator="containsText" text="Ya esta liquidada">
      <formula>NOT(ISERROR(SEARCH("Ya esta liquidada",B1)))</formula>
    </cfRule>
  </conditionalFormatting>
  <conditionalFormatting sqref="G11:G242 F10">
    <cfRule type="containsText" dxfId="27" priority="90" operator="containsText" text="CON ANTICIPO">
      <formula>NOT(ISERROR(SEARCH("CON ANTICIPO",F10)))</formula>
    </cfRule>
  </conditionalFormatting>
  <conditionalFormatting sqref="G11:G242">
    <cfRule type="containsText" dxfId="26" priority="89" operator="containsText" text="SIN ANTICIPO">
      <formula>NOT(ISERROR(SEARCH("SIN ANTICIPO",G11)))</formula>
    </cfRule>
    <cfRule type="containsText" dxfId="25" priority="91" operator="containsText" text="Ya esta liquidada">
      <formula>NOT(ISERROR(SEARCH("Ya esta liquidada",G11)))</formula>
    </cfRule>
  </conditionalFormatting>
  <conditionalFormatting sqref="H1">
    <cfRule type="containsText" dxfId="24" priority="69" operator="containsText" text="SIN ANTICIPO">
      <formula>NOT(ISERROR(SEARCH("SIN ANTICIPO",H1)))</formula>
    </cfRule>
    <cfRule type="containsText" dxfId="23" priority="70" operator="containsText" text="CON ANTICIPO">
      <formula>NOT(ISERROR(SEARCH("CON ANTICIPO",H1)))</formula>
    </cfRule>
    <cfRule type="containsText" dxfId="22" priority="71" operator="containsText" text="Ya esta liquidada">
      <formula>NOT(ISERROR(SEARCH("Ya esta liquidada",H1)))</formula>
    </cfRule>
  </conditionalFormatting>
  <conditionalFormatting sqref="H4">
    <cfRule type="containsText" dxfId="21" priority="20" operator="containsText" text="PAGADO">
      <formula>NOT(ISERROR(SEARCH("PAGADO",H4)))</formula>
    </cfRule>
    <cfRule type="containsText" dxfId="20" priority="21" operator="containsText" text="CANCELADO">
      <formula>NOT(ISERROR(SEARCH("CANCELADO",H4)))</formula>
    </cfRule>
    <cfRule type="containsText" dxfId="19" priority="22" operator="containsText" text="NO PAGADO">
      <formula>NOT(ISERROR(SEARCH("NO PAGADO",H4)))</formula>
    </cfRule>
    <cfRule type="containsText" dxfId="18" priority="23" operator="containsText" text="PAGADO">
      <formula>NOT(ISERROR(SEARCH("PAGADO",H4)))</formula>
    </cfRule>
  </conditionalFormatting>
  <conditionalFormatting sqref="L32:L43 L78:M119 L121:M164 L166:M182 L184:M242">
    <cfRule type="containsText" dxfId="17" priority="53" operator="containsText" text="Reserva ">
      <formula>NOT(ISERROR(SEARCH("Reserva ",L32)))</formula>
    </cfRule>
  </conditionalFormatting>
  <conditionalFormatting sqref="L45:L46">
    <cfRule type="containsText" dxfId="16" priority="48" operator="containsText" text="Reserva ">
      <formula>NOT(ISERROR(SEARCH("Reserva ",L45)))</formula>
    </cfRule>
  </conditionalFormatting>
  <conditionalFormatting sqref="L48">
    <cfRule type="containsText" dxfId="15" priority="38" operator="containsText" text="Reserva ">
      <formula>NOT(ISERROR(SEARCH("Reserva ",L48)))</formula>
    </cfRule>
  </conditionalFormatting>
  <conditionalFormatting sqref="L50:L77">
    <cfRule type="containsText" dxfId="14" priority="12" operator="containsText" text="Reserva ">
      <formula>NOT(ISERROR(SEARCH("Reserva ",L50)))</formula>
    </cfRule>
  </conditionalFormatting>
  <conditionalFormatting sqref="L120">
    <cfRule type="containsText" dxfId="13" priority="8" operator="containsText" text="Reserva ">
      <formula>NOT(ISERROR(SEARCH("Reserva ",L120)))</formula>
    </cfRule>
  </conditionalFormatting>
  <conditionalFormatting sqref="L165">
    <cfRule type="containsText" dxfId="12" priority="5" operator="containsText" text="Reserva ">
      <formula>NOT(ISERROR(SEARCH("Reserva ",L165)))</formula>
    </cfRule>
  </conditionalFormatting>
  <conditionalFormatting sqref="L183">
    <cfRule type="containsText" dxfId="11" priority="2" operator="containsText" text="Reserva ">
      <formula>NOT(ISERROR(SEARCH("Reserva ",L183)))</formula>
    </cfRule>
  </conditionalFormatting>
  <conditionalFormatting sqref="L11:M31">
    <cfRule type="containsText" dxfId="10" priority="54" operator="containsText" text="Reserva ">
      <formula>NOT(ISERROR(SEARCH("Reserva ",L11)))</formula>
    </cfRule>
  </conditionalFormatting>
  <conditionalFormatting sqref="M32:M43 L44:M44 M45:M46 L47:M47 M48 L49:M49 M50:M62 L63:M76 M77">
    <cfRule type="containsText" dxfId="9" priority="92" operator="containsText" text="Reserva ">
      <formula>NOT(ISERROR(SEARCH("Reserva ",L32)))</formula>
    </cfRule>
  </conditionalFormatting>
  <conditionalFormatting sqref="M120">
    <cfRule type="containsText" dxfId="8" priority="9" operator="containsText" text="Reserva ">
      <formula>NOT(ISERROR(SEARCH("Reserva ",M120)))</formula>
    </cfRule>
  </conditionalFormatting>
  <conditionalFormatting sqref="M165">
    <cfRule type="containsText" dxfId="7" priority="6" operator="containsText" text="Reserva ">
      <formula>NOT(ISERROR(SEARCH("Reserva ",M165)))</formula>
    </cfRule>
  </conditionalFormatting>
  <conditionalFormatting sqref="M183">
    <cfRule type="containsText" dxfId="6" priority="3" operator="containsText" text="Reserva ">
      <formula>NOT(ISERROR(SEARCH("Reserva ",M183)))</formula>
    </cfRule>
  </conditionalFormatting>
  <conditionalFormatting sqref="P35 R78:R119 R121:R164 R166:R182 R184:R242">
    <cfRule type="containsText" dxfId="5" priority="11" operator="containsText" text="SI">
      <formula>NOT(ISERROR(SEARCH("SI",P35)))</formula>
    </cfRule>
  </conditionalFormatting>
  <conditionalFormatting sqref="P77">
    <cfRule type="containsText" dxfId="4" priority="10" operator="containsText" text="SI">
      <formula>NOT(ISERROR(SEARCH("SI",P77)))</formula>
    </cfRule>
  </conditionalFormatting>
  <conditionalFormatting sqref="P120">
    <cfRule type="containsText" dxfId="3" priority="7" operator="containsText" text="SI">
      <formula>NOT(ISERROR(SEARCH("SI",P120)))</formula>
    </cfRule>
  </conditionalFormatting>
  <conditionalFormatting sqref="P165">
    <cfRule type="containsText" dxfId="2" priority="4" operator="containsText" text="SI">
      <formula>NOT(ISERROR(SEARCH("SI",P165)))</formula>
    </cfRule>
  </conditionalFormatting>
  <conditionalFormatting sqref="P183">
    <cfRule type="containsText" dxfId="1" priority="1" operator="containsText" text="SI">
      <formula>NOT(ISERROR(SEARCH("SI",P183)))</formula>
    </cfRule>
  </conditionalFormatting>
  <conditionalFormatting sqref="R11:R76">
    <cfRule type="containsText" dxfId="0" priority="15" operator="containsText" text="SI">
      <formula>NOT(ISERROR(SEARCH("SI",R11)))</formula>
    </cfRule>
  </conditionalFormatting>
  <pageMargins left="0.7" right="0.7" top="0.75" bottom="0.75" header="0.3" footer="0.3"/>
  <pageSetup orientation="portrait" horizontalDpi="300" verticalDpi="300" r:id="rId1"/>
  <ignoredErrors>
    <ignoredError sqref="P35:Q35 P61:P65 P72 P100:P105 P88:P99" calculatedColumn="1"/>
  </ignoredErrors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60"/>
  <sheetViews>
    <sheetView topLeftCell="A67" zoomScale="85" zoomScaleNormal="85" workbookViewId="0">
      <selection activeCell="F169" sqref="F169"/>
    </sheetView>
  </sheetViews>
  <sheetFormatPr baseColWidth="10" defaultColWidth="11.42578125" defaultRowHeight="15" x14ac:dyDescent="0.25"/>
  <cols>
    <col min="1" max="1" width="18.140625" customWidth="1"/>
    <col min="3" max="3" width="18" customWidth="1"/>
    <col min="5" max="5" width="13.28515625" customWidth="1"/>
    <col min="6" max="6" width="23.7109375" customWidth="1"/>
    <col min="7" max="7" width="59.85546875" bestFit="1" customWidth="1"/>
    <col min="8" max="8" width="54" customWidth="1"/>
    <col min="9" max="9" width="21.5703125" customWidth="1"/>
    <col min="10" max="10" width="17.140625" bestFit="1" customWidth="1"/>
    <col min="11" max="11" width="21.42578125" bestFit="1" customWidth="1"/>
    <col min="12" max="12" width="20.42578125" bestFit="1" customWidth="1"/>
    <col min="13" max="13" width="15.85546875" customWidth="1"/>
    <col min="14" max="14" width="25.5703125" customWidth="1"/>
    <col min="15" max="15" width="25" customWidth="1"/>
    <col min="16" max="16" width="34.7109375" customWidth="1"/>
  </cols>
  <sheetData>
    <row r="1" spans="1:16" x14ac:dyDescent="0.25">
      <c r="E1" s="11"/>
      <c r="F1" s="11"/>
      <c r="G1" t="s">
        <v>417</v>
      </c>
      <c r="H1" s="17"/>
      <c r="I1" t="s">
        <v>23</v>
      </c>
    </row>
    <row r="2" spans="1:16" x14ac:dyDescent="0.25">
      <c r="E2" s="12"/>
      <c r="F2" s="12"/>
      <c r="G2" t="s">
        <v>24</v>
      </c>
      <c r="H2" s="19"/>
      <c r="I2" t="s">
        <v>25</v>
      </c>
    </row>
    <row r="3" spans="1:16" x14ac:dyDescent="0.25">
      <c r="E3" s="13"/>
      <c r="F3" s="13"/>
      <c r="G3" t="s">
        <v>26</v>
      </c>
      <c r="H3" s="20"/>
      <c r="I3" t="s">
        <v>27</v>
      </c>
    </row>
    <row r="4" spans="1:16" x14ac:dyDescent="0.25">
      <c r="A4" s="4" t="s">
        <v>22</v>
      </c>
      <c r="B4" s="4"/>
      <c r="C4" s="5">
        <f>'GASTOS FIJOS'!B7</f>
        <v>5291.125</v>
      </c>
    </row>
    <row r="6" spans="1:16" x14ac:dyDescent="0.25">
      <c r="A6" t="s">
        <v>846</v>
      </c>
      <c r="B6" t="s">
        <v>847</v>
      </c>
      <c r="C6" t="s">
        <v>30</v>
      </c>
      <c r="D6" t="s">
        <v>31</v>
      </c>
      <c r="E6" t="s">
        <v>32</v>
      </c>
      <c r="F6" t="s">
        <v>848</v>
      </c>
      <c r="G6" t="s">
        <v>34</v>
      </c>
      <c r="H6" t="s">
        <v>35</v>
      </c>
      <c r="I6" t="s">
        <v>36</v>
      </c>
      <c r="J6" t="s">
        <v>37</v>
      </c>
      <c r="K6" t="s">
        <v>38</v>
      </c>
      <c r="L6" t="s">
        <v>39</v>
      </c>
      <c r="M6" t="s">
        <v>40</v>
      </c>
      <c r="N6" t="s">
        <v>41</v>
      </c>
      <c r="O6" t="s">
        <v>42</v>
      </c>
      <c r="P6" t="s">
        <v>43</v>
      </c>
    </row>
    <row r="7" spans="1:16" x14ac:dyDescent="0.25">
      <c r="A7" s="14">
        <f>Tabla1567937[[#This Row],[FECHA IN]]-15</f>
        <v>44803</v>
      </c>
      <c r="B7" s="14">
        <v>44817</v>
      </c>
      <c r="C7" s="14">
        <v>44817</v>
      </c>
      <c r="D7" s="6">
        <v>44818</v>
      </c>
      <c r="E7" s="7"/>
      <c r="F7" s="7">
        <v>21722</v>
      </c>
      <c r="G7" s="7" t="s">
        <v>849</v>
      </c>
      <c r="H7" s="8" t="s">
        <v>850</v>
      </c>
      <c r="I7" s="8">
        <v>17275</v>
      </c>
      <c r="J7" s="8">
        <v>18080</v>
      </c>
      <c r="K7" s="8">
        <f>Tabla1567937[[#This Row],[PRECIO CLIENTE]]-Tabla1567937[[#This Row],[CANTIDAD PUBLICA]]</f>
        <v>805</v>
      </c>
      <c r="L7" s="8">
        <f>Tabla1567937[[#This Row],[COMISION AGENCIA]]*0.05</f>
        <v>40.25</v>
      </c>
      <c r="M7" s="7">
        <v>3317019043</v>
      </c>
      <c r="N7" s="7" t="s">
        <v>851</v>
      </c>
      <c r="O7" s="7" t="s">
        <v>56</v>
      </c>
      <c r="P7" s="7"/>
    </row>
    <row r="8" spans="1:16" x14ac:dyDescent="0.25">
      <c r="A8" s="14">
        <v>44807</v>
      </c>
      <c r="B8" s="14">
        <v>44807</v>
      </c>
      <c r="C8" s="14">
        <v>44807</v>
      </c>
      <c r="D8" s="6">
        <v>44816</v>
      </c>
      <c r="E8" s="6">
        <v>44823</v>
      </c>
      <c r="F8" s="7">
        <v>21458</v>
      </c>
      <c r="G8" s="8" t="s">
        <v>852</v>
      </c>
      <c r="H8" s="8" t="s">
        <v>853</v>
      </c>
      <c r="I8" s="8">
        <v>17518</v>
      </c>
      <c r="J8" s="76">
        <v>18775</v>
      </c>
      <c r="K8" s="8">
        <f>Tabla1567937[[#This Row],[PRECIO CLIENTE]]-Tabla1567937[[#This Row],[CANTIDAD PUBLICA]]</f>
        <v>1257</v>
      </c>
      <c r="L8" s="8">
        <f>Tabla1567937[[#This Row],[COMISION AGENCIA]]*0.05</f>
        <v>62.85</v>
      </c>
      <c r="M8" s="7">
        <v>3481517414</v>
      </c>
      <c r="N8" s="7" t="s">
        <v>854</v>
      </c>
      <c r="O8" s="7" t="s">
        <v>47</v>
      </c>
      <c r="P8" s="7" t="s">
        <v>855</v>
      </c>
    </row>
    <row r="9" spans="1:16" x14ac:dyDescent="0.25">
      <c r="A9" s="14">
        <v>44807</v>
      </c>
      <c r="B9" s="14">
        <v>44807</v>
      </c>
      <c r="C9" s="14">
        <v>44807</v>
      </c>
      <c r="D9" s="6">
        <v>44850</v>
      </c>
      <c r="E9" s="6">
        <v>44855</v>
      </c>
      <c r="F9" s="7">
        <v>21459</v>
      </c>
      <c r="G9" s="7" t="s">
        <v>856</v>
      </c>
      <c r="H9" s="8" t="s">
        <v>857</v>
      </c>
      <c r="I9" s="8">
        <v>3638</v>
      </c>
      <c r="J9" s="8">
        <v>4300</v>
      </c>
      <c r="K9" s="8">
        <f>Tabla1567937[[#This Row],[PRECIO CLIENTE]]-Tabla1567937[[#This Row],[CANTIDAD PUBLICA]]</f>
        <v>662</v>
      </c>
      <c r="L9" s="8">
        <f>Tabla1567937[[#This Row],[COMISION AGENCIA]]*0.05</f>
        <v>33.1</v>
      </c>
      <c r="M9" s="7" t="s">
        <v>858</v>
      </c>
      <c r="N9" s="7" t="s">
        <v>859</v>
      </c>
      <c r="O9" s="7" t="s">
        <v>47</v>
      </c>
      <c r="P9" s="7" t="s">
        <v>860</v>
      </c>
    </row>
    <row r="10" spans="1:16" x14ac:dyDescent="0.25">
      <c r="A10" s="14">
        <v>44807</v>
      </c>
      <c r="B10" s="14">
        <v>44810</v>
      </c>
      <c r="C10" s="14">
        <v>44809</v>
      </c>
      <c r="D10" s="6">
        <v>44822</v>
      </c>
      <c r="E10" s="6">
        <v>44826</v>
      </c>
      <c r="F10" s="7">
        <v>21505</v>
      </c>
      <c r="G10" s="8" t="s">
        <v>861</v>
      </c>
      <c r="H10" s="8" t="s">
        <v>862</v>
      </c>
      <c r="I10" s="8">
        <v>12658</v>
      </c>
      <c r="J10" s="8">
        <v>11015</v>
      </c>
      <c r="K10" s="8">
        <f>Tabla1567937[[#This Row],[CANTIDAD PUBLICA]]*AGENTES!D4</f>
        <v>632.89999999999986</v>
      </c>
      <c r="L10" s="8">
        <f>Tabla1567937[[#This Row],[COMISION AGENCIA]]*0.05</f>
        <v>31.644999999999996</v>
      </c>
      <c r="M10" s="7">
        <v>3481347805</v>
      </c>
      <c r="N10" s="77" t="s">
        <v>863</v>
      </c>
      <c r="O10" s="7" t="s">
        <v>864</v>
      </c>
      <c r="P10" s="7" t="s">
        <v>865</v>
      </c>
    </row>
    <row r="11" spans="1:16" x14ac:dyDescent="0.25">
      <c r="A11" s="14">
        <v>44807</v>
      </c>
      <c r="B11" s="14">
        <v>44810</v>
      </c>
      <c r="C11" s="14">
        <v>44809</v>
      </c>
      <c r="D11" s="6">
        <v>44822</v>
      </c>
      <c r="E11" s="6">
        <v>44826</v>
      </c>
      <c r="F11" s="7">
        <v>21519</v>
      </c>
      <c r="G11" s="8" t="s">
        <v>866</v>
      </c>
      <c r="H11" s="8" t="s">
        <v>862</v>
      </c>
      <c r="I11" s="8">
        <v>13466</v>
      </c>
      <c r="J11" s="8">
        <v>11715</v>
      </c>
      <c r="K11" s="8">
        <f>Tabla1567937[[#This Row],[CANTIDAD PUBLICA]]*AGENTES!D6</f>
        <v>942.61999999999989</v>
      </c>
      <c r="L11" s="8">
        <f>Tabla1567937[[#This Row],[COMISION AGENCIA]]*0.05</f>
        <v>47.131</v>
      </c>
      <c r="M11" s="7">
        <v>3487895685</v>
      </c>
      <c r="N11" s="7" t="s">
        <v>867</v>
      </c>
      <c r="O11" s="7" t="s">
        <v>868</v>
      </c>
      <c r="P11" s="7" t="s">
        <v>869</v>
      </c>
    </row>
    <row r="12" spans="1:16" x14ac:dyDescent="0.25">
      <c r="A12" s="14">
        <f>Tabla1567937[[#This Row],[FECHA IN]]-15</f>
        <v>44807</v>
      </c>
      <c r="B12" s="14">
        <v>44819</v>
      </c>
      <c r="C12" s="14">
        <v>44811</v>
      </c>
      <c r="D12" s="6">
        <v>44822</v>
      </c>
      <c r="E12" s="6">
        <v>44826</v>
      </c>
      <c r="F12" s="7">
        <v>21550</v>
      </c>
      <c r="G12" s="8" t="s">
        <v>870</v>
      </c>
      <c r="H12" s="8" t="s">
        <v>871</v>
      </c>
      <c r="I12" s="8">
        <v>15600</v>
      </c>
      <c r="J12" s="8">
        <v>16100</v>
      </c>
      <c r="K12" s="8">
        <f>Tabla1567937[[#This Row],[PRECIO CLIENTE]]-Tabla1567937[[#This Row],[CANTIDAD PUBLICA]]</f>
        <v>500</v>
      </c>
      <c r="L12" s="8">
        <f>Tabla1567937[[#This Row],[COMISION AGENCIA]]*0.05</f>
        <v>25</v>
      </c>
      <c r="M12" s="7">
        <v>4194812960</v>
      </c>
      <c r="N12" s="7"/>
      <c r="O12" s="7" t="s">
        <v>872</v>
      </c>
      <c r="P12" s="7" t="s">
        <v>873</v>
      </c>
    </row>
    <row r="13" spans="1:16" x14ac:dyDescent="0.25">
      <c r="A13" s="14">
        <v>44809</v>
      </c>
      <c r="B13" s="14">
        <v>44809</v>
      </c>
      <c r="C13" s="14">
        <v>44809</v>
      </c>
      <c r="D13" s="6">
        <v>44815</v>
      </c>
      <c r="E13" s="6"/>
      <c r="F13" s="7">
        <v>21494</v>
      </c>
      <c r="G13" s="158" t="s">
        <v>874</v>
      </c>
      <c r="H13" s="8" t="s">
        <v>875</v>
      </c>
      <c r="I13" s="8">
        <v>8431</v>
      </c>
      <c r="J13" s="8">
        <v>8585</v>
      </c>
      <c r="K13" s="8">
        <f>Tabla1567937[[#This Row],[PRECIO CLIENTE]]-Tabla1567937[[#This Row],[CANTIDAD PUBLICA]]</f>
        <v>154</v>
      </c>
      <c r="L13" s="8">
        <f>Tabla1567937[[#This Row],[COMISION AGENCIA]]*0.05</f>
        <v>7.7</v>
      </c>
      <c r="M13" s="7">
        <v>4698904762</v>
      </c>
      <c r="N13" s="7"/>
      <c r="O13" s="7" t="s">
        <v>876</v>
      </c>
      <c r="P13" s="7" t="s">
        <v>420</v>
      </c>
    </row>
    <row r="14" spans="1:16" x14ac:dyDescent="0.25">
      <c r="A14" s="14">
        <v>44809</v>
      </c>
      <c r="B14" s="14">
        <v>44809</v>
      </c>
      <c r="C14" s="14">
        <v>44809</v>
      </c>
      <c r="D14" s="6">
        <v>44814</v>
      </c>
      <c r="E14" s="6">
        <v>44842</v>
      </c>
      <c r="F14" s="7" t="s">
        <v>877</v>
      </c>
      <c r="G14" s="8" t="s">
        <v>878</v>
      </c>
      <c r="H14" s="8" t="s">
        <v>879</v>
      </c>
      <c r="I14" s="8">
        <v>13920</v>
      </c>
      <c r="J14" s="8">
        <v>14470</v>
      </c>
      <c r="K14" s="8">
        <f>Tabla1567937[[#This Row],[PRECIO CLIENTE]]-Tabla1567937[[#This Row],[CANTIDAD PUBLICA]]</f>
        <v>550</v>
      </c>
      <c r="L14" s="8">
        <f>Tabla1567937[[#This Row],[COMISION AGENCIA]]*0.05</f>
        <v>27.5</v>
      </c>
      <c r="M14" s="7" t="s">
        <v>880</v>
      </c>
      <c r="N14" s="78" t="s">
        <v>881</v>
      </c>
      <c r="O14" s="7" t="s">
        <v>47</v>
      </c>
      <c r="P14" s="7"/>
    </row>
    <row r="15" spans="1:16" x14ac:dyDescent="0.25">
      <c r="A15" s="14">
        <f>Tabla1567937[[#This Row],[FECHA IN]]-15</f>
        <v>44810</v>
      </c>
      <c r="B15" s="14">
        <v>44821</v>
      </c>
      <c r="C15" s="14">
        <v>44821</v>
      </c>
      <c r="D15" s="6">
        <v>44825</v>
      </c>
      <c r="E15" s="6">
        <v>44835</v>
      </c>
      <c r="F15" s="7">
        <v>21678</v>
      </c>
      <c r="G15" s="8" t="s">
        <v>882</v>
      </c>
      <c r="H15" s="158" t="s">
        <v>850</v>
      </c>
      <c r="I15" s="8">
        <v>7118</v>
      </c>
      <c r="J15" s="8">
        <v>7600</v>
      </c>
      <c r="K15" s="8">
        <f>Tabla1567937[[#This Row],[PRECIO CLIENTE]]-Tabla1567937[[#This Row],[CANTIDAD PUBLICA]]</f>
        <v>482</v>
      </c>
      <c r="L15" s="8">
        <f>Tabla1567937[[#This Row],[COMISION AGENCIA]]*0.05</f>
        <v>24.1</v>
      </c>
      <c r="M15" s="7">
        <v>7736157112</v>
      </c>
      <c r="N15" s="79" t="s">
        <v>883</v>
      </c>
      <c r="O15" s="7" t="s">
        <v>56</v>
      </c>
      <c r="P15" s="7"/>
    </row>
    <row r="16" spans="1:16" x14ac:dyDescent="0.25">
      <c r="A16" s="14">
        <f>Tabla1567937[[#This Row],[FECHA IN]]-15</f>
        <v>44812</v>
      </c>
      <c r="B16" s="14">
        <v>44824</v>
      </c>
      <c r="C16" s="14">
        <v>44824</v>
      </c>
      <c r="D16" s="6">
        <v>44827</v>
      </c>
      <c r="E16" s="6"/>
      <c r="F16" s="7">
        <v>21715</v>
      </c>
      <c r="G16" s="8" t="s">
        <v>884</v>
      </c>
      <c r="H16" s="158" t="s">
        <v>885</v>
      </c>
      <c r="I16" s="8">
        <v>1277</v>
      </c>
      <c r="J16" s="8">
        <v>1440</v>
      </c>
      <c r="K16" s="8">
        <f>Tabla1567937[[#This Row],[PRECIO CLIENTE]]-Tabla1567937[[#This Row],[CANTIDAD PUBLICA]]</f>
        <v>163</v>
      </c>
      <c r="L16" s="8">
        <f>Tabla1567937[[#This Row],[COMISION AGENCIA]]*0.05</f>
        <v>8.15</v>
      </c>
      <c r="M16" s="7">
        <v>3481812205</v>
      </c>
      <c r="N16" s="7" t="s">
        <v>886</v>
      </c>
      <c r="O16" s="7" t="s">
        <v>47</v>
      </c>
      <c r="P16" s="7"/>
    </row>
    <row r="17" spans="1:16" x14ac:dyDescent="0.25">
      <c r="A17" s="14">
        <v>44813</v>
      </c>
      <c r="B17" s="14">
        <v>44813</v>
      </c>
      <c r="C17" s="14">
        <v>44813</v>
      </c>
      <c r="D17" s="6">
        <v>44816</v>
      </c>
      <c r="E17" s="6">
        <v>44818</v>
      </c>
      <c r="F17" s="7">
        <v>21558</v>
      </c>
      <c r="G17" s="8" t="s">
        <v>887</v>
      </c>
      <c r="H17" s="8" t="s">
        <v>888</v>
      </c>
      <c r="I17" s="8">
        <v>10740</v>
      </c>
      <c r="J17" s="8">
        <v>9345</v>
      </c>
      <c r="K17" s="8">
        <f>Tabla1567937[[#This Row],[CANTIDAD PUBLICA]]*AGENTES!D4</f>
        <v>536.99999999999989</v>
      </c>
      <c r="L17" s="8">
        <f>Tabla1567937[[#This Row],[COMISION AGENCIA]]*0.05</f>
        <v>26.849999999999994</v>
      </c>
      <c r="M17" s="7"/>
      <c r="N17" s="7" t="s">
        <v>889</v>
      </c>
      <c r="O17" s="7" t="s">
        <v>868</v>
      </c>
      <c r="P17" s="7"/>
    </row>
    <row r="18" spans="1:16" x14ac:dyDescent="0.25">
      <c r="A18" s="14">
        <v>44814</v>
      </c>
      <c r="B18" s="14">
        <v>44814</v>
      </c>
      <c r="C18" s="14">
        <v>44814</v>
      </c>
      <c r="D18" s="6">
        <v>44842</v>
      </c>
      <c r="E18" s="6"/>
      <c r="F18" s="7">
        <v>21565</v>
      </c>
      <c r="G18" s="8" t="s">
        <v>890</v>
      </c>
      <c r="H18" s="8" t="s">
        <v>891</v>
      </c>
      <c r="I18" s="8">
        <v>3283</v>
      </c>
      <c r="J18" s="8">
        <v>3685</v>
      </c>
      <c r="K18" s="8">
        <f>Tabla1567937[[#This Row],[PRECIO CLIENTE]]-Tabla1567937[[#This Row],[CANTIDAD PUBLICA]]</f>
        <v>402</v>
      </c>
      <c r="L18" s="8">
        <f>Tabla1567937[[#This Row],[COMISION AGENCIA]]*0.05</f>
        <v>20.100000000000001</v>
      </c>
      <c r="M18" s="7">
        <v>3481047366</v>
      </c>
      <c r="N18" s="7" t="s">
        <v>892</v>
      </c>
      <c r="O18" s="7" t="s">
        <v>47</v>
      </c>
      <c r="P18" s="7"/>
    </row>
    <row r="19" spans="1:16" x14ac:dyDescent="0.25">
      <c r="A19" s="14">
        <v>44814</v>
      </c>
      <c r="B19" s="14">
        <v>44814</v>
      </c>
      <c r="C19" s="14">
        <v>44814</v>
      </c>
      <c r="D19" s="6">
        <v>44842</v>
      </c>
      <c r="E19" s="6"/>
      <c r="F19" s="7">
        <v>21565</v>
      </c>
      <c r="G19" s="8" t="s">
        <v>890</v>
      </c>
      <c r="H19" s="8" t="s">
        <v>893</v>
      </c>
      <c r="I19" s="8">
        <v>1165</v>
      </c>
      <c r="J19" s="8">
        <v>1225</v>
      </c>
      <c r="K19" s="8">
        <f>Tabla1567937[[#This Row],[PRECIO CLIENTE]]-Tabla1567937[[#This Row],[CANTIDAD PUBLICA]]</f>
        <v>60</v>
      </c>
      <c r="L19" s="8">
        <f>Tabla1567937[[#This Row],[COMISION AGENCIA]]*0.05</f>
        <v>3</v>
      </c>
      <c r="M19" s="7">
        <v>3481047366</v>
      </c>
      <c r="N19" s="7" t="s">
        <v>892</v>
      </c>
      <c r="O19" s="7" t="s">
        <v>56</v>
      </c>
      <c r="P19" s="7"/>
    </row>
    <row r="20" spans="1:16" x14ac:dyDescent="0.25">
      <c r="A20" s="14">
        <v>44814</v>
      </c>
      <c r="B20" s="14">
        <v>44814</v>
      </c>
      <c r="C20" s="14">
        <v>44814</v>
      </c>
      <c r="D20" s="6">
        <v>44826</v>
      </c>
      <c r="E20" s="6">
        <v>44847</v>
      </c>
      <c r="F20" s="7">
        <v>21566</v>
      </c>
      <c r="G20" s="8" t="s">
        <v>894</v>
      </c>
      <c r="H20" s="8" t="s">
        <v>895</v>
      </c>
      <c r="I20" s="8">
        <v>6699</v>
      </c>
      <c r="J20" s="8">
        <v>7165</v>
      </c>
      <c r="K20" s="8">
        <f>Tabla1567937[[#This Row],[PRECIO CLIENTE]]-Tabla1567937[[#This Row],[CANTIDAD PUBLICA]]</f>
        <v>466</v>
      </c>
      <c r="L20" s="8">
        <f>Tabla1567937[[#This Row],[COMISION AGENCIA]]*0.05</f>
        <v>23.3</v>
      </c>
      <c r="M20" s="7"/>
      <c r="N20" s="7" t="s">
        <v>896</v>
      </c>
      <c r="O20" s="7" t="s">
        <v>47</v>
      </c>
      <c r="P20" s="7"/>
    </row>
    <row r="21" spans="1:16" x14ac:dyDescent="0.25">
      <c r="A21" s="14">
        <v>44814</v>
      </c>
      <c r="B21" s="14">
        <v>44814</v>
      </c>
      <c r="C21" s="14">
        <v>44814</v>
      </c>
      <c r="D21" s="6">
        <v>44826</v>
      </c>
      <c r="E21" s="6">
        <v>44847</v>
      </c>
      <c r="F21" s="7">
        <v>21566</v>
      </c>
      <c r="G21" s="8" t="s">
        <v>894</v>
      </c>
      <c r="H21" s="8" t="s">
        <v>897</v>
      </c>
      <c r="I21" s="8">
        <v>1402</v>
      </c>
      <c r="J21" s="8">
        <v>1804</v>
      </c>
      <c r="K21" s="8">
        <f>Tabla1567937[[#This Row],[PRECIO CLIENTE]]*0.05</f>
        <v>90.2</v>
      </c>
      <c r="L21" s="8">
        <f>Tabla1567937[[#This Row],[COMISION AGENCIA]]*0.05</f>
        <v>4.5100000000000007</v>
      </c>
      <c r="M21" s="7"/>
      <c r="N21" s="7" t="s">
        <v>896</v>
      </c>
      <c r="O21" s="7" t="s">
        <v>47</v>
      </c>
      <c r="P21" s="7"/>
    </row>
    <row r="22" spans="1:16" x14ac:dyDescent="0.25">
      <c r="A22" s="14">
        <v>44817</v>
      </c>
      <c r="B22" s="14">
        <v>44817</v>
      </c>
      <c r="C22" s="14">
        <v>44817</v>
      </c>
      <c r="D22" s="6">
        <v>44828</v>
      </c>
      <c r="E22" s="6"/>
      <c r="F22" s="7">
        <v>21609</v>
      </c>
      <c r="G22" s="8" t="s">
        <v>898</v>
      </c>
      <c r="H22" s="8" t="s">
        <v>893</v>
      </c>
      <c r="I22" s="8">
        <v>1177</v>
      </c>
      <c r="J22" s="8">
        <v>1200</v>
      </c>
      <c r="K22" s="8">
        <f>Tabla1567937[[#This Row],[PRECIO CLIENTE]]-Tabla1567937[[#This Row],[CANTIDAD PUBLICA]]</f>
        <v>23</v>
      </c>
      <c r="L22" s="8">
        <f>Tabla1567937[[#This Row],[COMISION AGENCIA]]*0.05</f>
        <v>1.1500000000000001</v>
      </c>
      <c r="M22" s="7">
        <v>3481047366</v>
      </c>
      <c r="N22" s="7" t="s">
        <v>899</v>
      </c>
      <c r="O22" s="7" t="s">
        <v>47</v>
      </c>
      <c r="P22" s="7"/>
    </row>
    <row r="23" spans="1:16" x14ac:dyDescent="0.25">
      <c r="A23" s="14">
        <f>Tabla1567937[[#This Row],[FECHA IN]]-15</f>
        <v>44820</v>
      </c>
      <c r="B23" s="14">
        <v>44827</v>
      </c>
      <c r="C23" s="14">
        <v>44827</v>
      </c>
      <c r="D23" s="6">
        <v>44835</v>
      </c>
      <c r="E23" s="7"/>
      <c r="F23" s="7">
        <v>21790</v>
      </c>
      <c r="G23" s="8" t="s">
        <v>900</v>
      </c>
      <c r="H23" s="158" t="s">
        <v>901</v>
      </c>
      <c r="I23" s="8">
        <v>2783</v>
      </c>
      <c r="J23" s="8">
        <v>3215</v>
      </c>
      <c r="K23" s="8">
        <f>Tabla1567937[[#This Row],[PRECIO CLIENTE]]-Tabla1567937[[#This Row],[CANTIDAD PUBLICA]]</f>
        <v>432</v>
      </c>
      <c r="L23" s="8">
        <f>Tabla1567937[[#This Row],[COMISION AGENCIA]]*0.05</f>
        <v>21.6</v>
      </c>
      <c r="M23" s="7">
        <v>3481064121</v>
      </c>
      <c r="N23" s="7" t="s">
        <v>902</v>
      </c>
      <c r="O23" s="7" t="s">
        <v>47</v>
      </c>
      <c r="P23" s="7"/>
    </row>
    <row r="24" spans="1:16" x14ac:dyDescent="0.25">
      <c r="A24" s="14">
        <f>Tabla1567937[[#This Row],[FECHA IN]]-15</f>
        <v>44822</v>
      </c>
      <c r="B24" s="14">
        <v>44827</v>
      </c>
      <c r="C24" s="14">
        <v>44827</v>
      </c>
      <c r="D24" s="6">
        <v>44837</v>
      </c>
      <c r="E24" s="7"/>
      <c r="F24" s="7">
        <v>21790</v>
      </c>
      <c r="G24" s="8" t="s">
        <v>903</v>
      </c>
      <c r="H24" s="158" t="s">
        <v>904</v>
      </c>
      <c r="I24" s="8">
        <v>1821</v>
      </c>
      <c r="J24" s="8">
        <v>2175</v>
      </c>
      <c r="K24" s="8">
        <f>Tabla1567937[[#This Row],[PRECIO CLIENTE]]-Tabla1567937[[#This Row],[CANTIDAD PUBLICA]]</f>
        <v>354</v>
      </c>
      <c r="L24" s="8">
        <f>Tabla1567937[[#This Row],[COMISION AGENCIA]]*0.05</f>
        <v>17.7</v>
      </c>
      <c r="M24" s="7">
        <v>3481064121</v>
      </c>
      <c r="N24" s="7" t="s">
        <v>905</v>
      </c>
      <c r="O24" s="7" t="s">
        <v>47</v>
      </c>
      <c r="P24" s="7"/>
    </row>
    <row r="25" spans="1:16" x14ac:dyDescent="0.25">
      <c r="A25" s="14">
        <v>44824</v>
      </c>
      <c r="B25" s="14">
        <v>44824</v>
      </c>
      <c r="C25" s="14">
        <v>44824</v>
      </c>
      <c r="D25" s="6">
        <v>44861</v>
      </c>
      <c r="E25" s="6">
        <v>44836</v>
      </c>
      <c r="F25" s="7">
        <v>21718</v>
      </c>
      <c r="G25" s="80" t="s">
        <v>906</v>
      </c>
      <c r="H25" s="8" t="s">
        <v>907</v>
      </c>
      <c r="I25" s="8">
        <v>3592</v>
      </c>
      <c r="J25" s="8">
        <v>3930</v>
      </c>
      <c r="K25" s="8">
        <f>Tabla1567937[[#This Row],[PRECIO CLIENTE]]-Tabla1567937[[#This Row],[CANTIDAD PUBLICA]]</f>
        <v>338</v>
      </c>
      <c r="L25" s="8">
        <f>Tabla1567937[[#This Row],[COMISION AGENCIA]]*0.05</f>
        <v>16.900000000000002</v>
      </c>
      <c r="M25" s="7">
        <v>4451312904</v>
      </c>
      <c r="N25" s="7" t="s">
        <v>908</v>
      </c>
      <c r="O25" s="7" t="s">
        <v>47</v>
      </c>
      <c r="P25" s="7"/>
    </row>
    <row r="26" spans="1:16" x14ac:dyDescent="0.25">
      <c r="A26" s="14">
        <v>44824</v>
      </c>
      <c r="B26" s="14">
        <v>44824</v>
      </c>
      <c r="C26" s="14">
        <v>44824</v>
      </c>
      <c r="D26" s="6">
        <v>44861</v>
      </c>
      <c r="E26" s="6">
        <v>44848</v>
      </c>
      <c r="F26" s="7">
        <v>21718</v>
      </c>
      <c r="G26" s="8" t="s">
        <v>909</v>
      </c>
      <c r="H26" s="8" t="s">
        <v>907</v>
      </c>
      <c r="I26" s="8">
        <v>10826</v>
      </c>
      <c r="J26" s="8">
        <v>11790</v>
      </c>
      <c r="K26" s="8">
        <f>Tabla1567937[[#This Row],[PRECIO CLIENTE]]-Tabla1567937[[#This Row],[CANTIDAD PUBLICA]]</f>
        <v>964</v>
      </c>
      <c r="L26" s="8">
        <f>Tabla1567937[[#This Row],[COMISION AGENCIA]]*0.05</f>
        <v>48.2</v>
      </c>
      <c r="M26" s="7">
        <v>4451312905</v>
      </c>
      <c r="N26" s="7" t="s">
        <v>910</v>
      </c>
      <c r="O26" s="7" t="s">
        <v>47</v>
      </c>
      <c r="P26" s="7"/>
    </row>
    <row r="27" spans="1:16" x14ac:dyDescent="0.25">
      <c r="A27" s="14">
        <v>44824</v>
      </c>
      <c r="B27" s="14">
        <v>44824</v>
      </c>
      <c r="C27" s="14">
        <v>44824</v>
      </c>
      <c r="D27" s="6">
        <v>44886</v>
      </c>
      <c r="E27" s="7"/>
      <c r="F27" s="7">
        <v>21724</v>
      </c>
      <c r="G27" s="8" t="s">
        <v>911</v>
      </c>
      <c r="H27" s="158" t="s">
        <v>912</v>
      </c>
      <c r="I27" s="8">
        <v>3436</v>
      </c>
      <c r="J27" s="8">
        <v>3885</v>
      </c>
      <c r="K27" s="8">
        <f>Tabla1567937[[#This Row],[PRECIO CLIENTE]]-Tabla1567937[[#This Row],[CANTIDAD PUBLICA]]</f>
        <v>449</v>
      </c>
      <c r="L27" s="8">
        <f>Tabla1567937[[#This Row],[COMISION AGENCIA]]*0.05</f>
        <v>22.450000000000003</v>
      </c>
      <c r="M27" s="7">
        <v>3481109254</v>
      </c>
      <c r="N27" s="7" t="s">
        <v>913</v>
      </c>
      <c r="O27" s="7" t="s">
        <v>56</v>
      </c>
      <c r="P27" s="7"/>
    </row>
    <row r="28" spans="1:16" x14ac:dyDescent="0.25">
      <c r="A28" s="14">
        <v>44825</v>
      </c>
      <c r="B28" s="14">
        <v>44825</v>
      </c>
      <c r="C28" s="14">
        <v>44825</v>
      </c>
      <c r="D28" s="6">
        <v>44879</v>
      </c>
      <c r="E28" s="6">
        <v>44884</v>
      </c>
      <c r="F28" s="120" t="s">
        <v>914</v>
      </c>
      <c r="G28" s="8" t="s">
        <v>915</v>
      </c>
      <c r="H28" s="8" t="s">
        <v>916</v>
      </c>
      <c r="I28" s="8">
        <v>9588</v>
      </c>
      <c r="J28" s="8">
        <v>11170</v>
      </c>
      <c r="K28" s="8">
        <f>Tabla1567937[[#This Row],[PRECIO CLIENTE]]-Tabla1567937[[#This Row],[CANTIDAD PUBLICA]]</f>
        <v>1582</v>
      </c>
      <c r="L28" s="8">
        <f>Tabla1567937[[#This Row],[COMISION AGENCIA]]*0.05</f>
        <v>79.100000000000009</v>
      </c>
      <c r="M28" s="7">
        <v>3481165835</v>
      </c>
      <c r="N28" s="79" t="s">
        <v>917</v>
      </c>
      <c r="O28" s="7" t="s">
        <v>56</v>
      </c>
      <c r="P28" s="7"/>
    </row>
    <row r="29" spans="1:16" x14ac:dyDescent="0.25">
      <c r="A29" s="14">
        <f>Tabla1567937[[#This Row],[FECHA IN]]-15</f>
        <v>44828</v>
      </c>
      <c r="B29" s="14">
        <v>44821</v>
      </c>
      <c r="C29" s="14">
        <v>44814</v>
      </c>
      <c r="D29" s="6">
        <v>44843</v>
      </c>
      <c r="E29" s="6">
        <v>44847</v>
      </c>
      <c r="F29" s="7" t="s">
        <v>877</v>
      </c>
      <c r="G29" s="8" t="s">
        <v>918</v>
      </c>
      <c r="H29" s="8" t="s">
        <v>919</v>
      </c>
      <c r="I29" s="8">
        <v>15302.99</v>
      </c>
      <c r="J29" s="8">
        <v>13315</v>
      </c>
      <c r="K29" s="8">
        <f>Tabla1567937[[#This Row],[CANTIDAD PUBLICA]]*0.05</f>
        <v>765.14949999999999</v>
      </c>
      <c r="L29" s="8">
        <f>Tabla1567937[[#This Row],[COMISION AGENCIA]]*0.05</f>
        <v>38.257474999999999</v>
      </c>
      <c r="M29" s="7">
        <v>3312202213</v>
      </c>
      <c r="N29" s="7" t="s">
        <v>920</v>
      </c>
      <c r="O29" s="7" t="s">
        <v>864</v>
      </c>
      <c r="P29" s="7"/>
    </row>
    <row r="30" spans="1:16" x14ac:dyDescent="0.25">
      <c r="A30" s="14">
        <f>Tabla1567937[[#This Row],[FECHA IN]]-15</f>
        <v>44829</v>
      </c>
      <c r="B30" s="14">
        <v>44827</v>
      </c>
      <c r="C30" s="14">
        <v>44827</v>
      </c>
      <c r="D30" s="6">
        <v>44844</v>
      </c>
      <c r="E30" s="7"/>
      <c r="F30" s="7">
        <v>21790</v>
      </c>
      <c r="G30" s="8" t="s">
        <v>900</v>
      </c>
      <c r="H30" s="158" t="s">
        <v>921</v>
      </c>
      <c r="I30" s="8">
        <v>2631</v>
      </c>
      <c r="J30" s="8">
        <v>2950</v>
      </c>
      <c r="K30" s="8">
        <f>Tabla1567937[[#This Row],[PRECIO CLIENTE]]-Tabla1567937[[#This Row],[CANTIDAD PUBLICA]]</f>
        <v>319</v>
      </c>
      <c r="L30" s="8">
        <f>Tabla1567937[[#This Row],[COMISION AGENCIA]]*0.05</f>
        <v>15.950000000000001</v>
      </c>
      <c r="M30" s="7">
        <v>3481064121</v>
      </c>
      <c r="N30" s="7" t="s">
        <v>922</v>
      </c>
      <c r="O30" s="7" t="s">
        <v>47</v>
      </c>
      <c r="P30" s="7"/>
    </row>
    <row r="31" spans="1:16" x14ac:dyDescent="0.25">
      <c r="A31" s="14">
        <v>44830</v>
      </c>
      <c r="B31" s="14">
        <v>44830</v>
      </c>
      <c r="C31" s="14">
        <v>44830</v>
      </c>
      <c r="D31" s="6">
        <v>44835</v>
      </c>
      <c r="E31" s="7"/>
      <c r="F31" s="120" t="s">
        <v>923</v>
      </c>
      <c r="G31" s="8" t="s">
        <v>924</v>
      </c>
      <c r="H31" s="158" t="s">
        <v>925</v>
      </c>
      <c r="I31" s="8">
        <v>2943</v>
      </c>
      <c r="J31" s="8">
        <v>3285</v>
      </c>
      <c r="K31" s="8">
        <f>Tabla1567937[[#This Row],[PRECIO CLIENTE]]-Tabla1567937[[#This Row],[CANTIDAD PUBLICA]]</f>
        <v>342</v>
      </c>
      <c r="L31" s="8">
        <f>Tabla1567937[[#This Row],[COMISION AGENCIA]]*0.05</f>
        <v>17.100000000000001</v>
      </c>
      <c r="M31" s="7"/>
      <c r="N31" s="7" t="s">
        <v>926</v>
      </c>
      <c r="O31" s="7" t="s">
        <v>47</v>
      </c>
      <c r="P31" s="7"/>
    </row>
    <row r="32" spans="1:16" x14ac:dyDescent="0.25">
      <c r="A32" s="14">
        <f>Tabla1567937[[#This Row],[FECHA IN]]-15</f>
        <v>44830</v>
      </c>
      <c r="B32" s="14">
        <v>44837</v>
      </c>
      <c r="C32" s="14">
        <v>44835</v>
      </c>
      <c r="D32" s="6">
        <v>44845</v>
      </c>
      <c r="E32" s="6">
        <v>44848</v>
      </c>
      <c r="F32" s="7">
        <v>21941</v>
      </c>
      <c r="G32" s="8" t="s">
        <v>927</v>
      </c>
      <c r="H32" s="158" t="s">
        <v>928</v>
      </c>
      <c r="I32" s="8">
        <v>16428</v>
      </c>
      <c r="J32" s="8">
        <v>14295</v>
      </c>
      <c r="K32" s="8">
        <f>Tabla1567937[[#This Row],[CANTIDAD PUBLICA]]*AGENTES!D4</f>
        <v>821.39999999999986</v>
      </c>
      <c r="L32" s="8">
        <f>Tabla1567937[[#This Row],[COMISION AGENCIA]]*0.05</f>
        <v>41.069999999999993</v>
      </c>
      <c r="M32" s="7">
        <v>3481052264</v>
      </c>
      <c r="N32" s="7" t="s">
        <v>929</v>
      </c>
      <c r="O32" s="7" t="s">
        <v>864</v>
      </c>
      <c r="P32" s="7"/>
    </row>
    <row r="33" spans="1:16" x14ac:dyDescent="0.25">
      <c r="A33" s="14">
        <f>Tabla1567937[[#This Row],[FECHA IN]]-15</f>
        <v>44830</v>
      </c>
      <c r="B33" s="14">
        <v>44837</v>
      </c>
      <c r="C33" s="14">
        <v>44835</v>
      </c>
      <c r="D33" s="6">
        <v>44845</v>
      </c>
      <c r="E33" s="6">
        <v>44848</v>
      </c>
      <c r="F33" s="7">
        <v>21941</v>
      </c>
      <c r="G33" s="8" t="s">
        <v>930</v>
      </c>
      <c r="H33" s="158" t="s">
        <v>928</v>
      </c>
      <c r="I33" s="8">
        <v>22999</v>
      </c>
      <c r="J33" s="8">
        <v>20000</v>
      </c>
      <c r="K33" s="8">
        <f>Tabla1567937[[#This Row],[CANTIDAD PUBLICA]]*AGENTES!D4</f>
        <v>1149.9499999999998</v>
      </c>
      <c r="L33" s="8">
        <f>Tabla1567937[[#This Row],[COMISION AGENCIA]]*0.05</f>
        <v>57.497499999999995</v>
      </c>
      <c r="M33" s="7">
        <v>3481052264</v>
      </c>
      <c r="N33" s="7" t="s">
        <v>931</v>
      </c>
      <c r="O33" s="7" t="s">
        <v>864</v>
      </c>
      <c r="P33" s="7"/>
    </row>
    <row r="34" spans="1:16" x14ac:dyDescent="0.25">
      <c r="A34" s="14">
        <v>44834</v>
      </c>
      <c r="B34" s="14">
        <v>44834</v>
      </c>
      <c r="C34" s="14">
        <v>44834</v>
      </c>
      <c r="D34" s="6">
        <v>44856</v>
      </c>
      <c r="E34" s="6">
        <v>44863</v>
      </c>
      <c r="F34" s="7" t="s">
        <v>877</v>
      </c>
      <c r="G34" s="8" t="s">
        <v>932</v>
      </c>
      <c r="H34" s="158" t="s">
        <v>933</v>
      </c>
      <c r="I34" s="8">
        <v>2778</v>
      </c>
      <c r="J34" s="8">
        <v>3390</v>
      </c>
      <c r="K34" s="8">
        <f>Tabla1567937[[#This Row],[PRECIO CLIENTE]]-Tabla1567937[[#This Row],[CANTIDAD PUBLICA]]</f>
        <v>612</v>
      </c>
      <c r="L34" s="8">
        <f>Tabla1567937[[#This Row],[COMISION AGENCIA]]*0.05</f>
        <v>30.6</v>
      </c>
      <c r="M34" s="7">
        <v>3481162130</v>
      </c>
      <c r="N34" s="7" t="s">
        <v>934</v>
      </c>
      <c r="O34" s="7" t="s">
        <v>47</v>
      </c>
      <c r="P34" s="7"/>
    </row>
    <row r="35" spans="1:16" x14ac:dyDescent="0.25">
      <c r="A35" s="14">
        <v>44835</v>
      </c>
      <c r="B35" s="14">
        <v>44810</v>
      </c>
      <c r="C35" s="14">
        <v>44807</v>
      </c>
      <c r="D35" s="6">
        <v>44850</v>
      </c>
      <c r="E35" s="6">
        <v>44855</v>
      </c>
      <c r="F35" s="143">
        <v>21459</v>
      </c>
      <c r="G35" s="8" t="s">
        <v>935</v>
      </c>
      <c r="H35" s="8" t="s">
        <v>936</v>
      </c>
      <c r="I35" s="8">
        <v>31242.5</v>
      </c>
      <c r="J35" s="8">
        <v>27180</v>
      </c>
      <c r="K35" s="8">
        <f>Tabla1567937[[#This Row],[CANTIDAD PUBLICA]]*AGENTES!D4</f>
        <v>1562.1249999999995</v>
      </c>
      <c r="L35" s="8">
        <f>Tabla1567937[[#This Row],[COMISION AGENCIA]]*0.05</f>
        <v>78.106249999999989</v>
      </c>
      <c r="M35" s="7" t="s">
        <v>937</v>
      </c>
      <c r="N35" s="7" t="s">
        <v>938</v>
      </c>
      <c r="O35" s="7" t="s">
        <v>864</v>
      </c>
      <c r="P35" s="7" t="s">
        <v>860</v>
      </c>
    </row>
    <row r="36" spans="1:16" x14ac:dyDescent="0.25">
      <c r="A36" s="14">
        <v>44835</v>
      </c>
      <c r="B36" s="14">
        <v>44810</v>
      </c>
      <c r="C36" s="14">
        <v>44807</v>
      </c>
      <c r="D36" s="6">
        <v>44850</v>
      </c>
      <c r="E36" s="6">
        <v>44855</v>
      </c>
      <c r="F36" s="142">
        <v>21459</v>
      </c>
      <c r="G36" s="8" t="s">
        <v>935</v>
      </c>
      <c r="H36" s="8" t="s">
        <v>939</v>
      </c>
      <c r="I36" s="8">
        <v>700</v>
      </c>
      <c r="J36" s="8">
        <v>900</v>
      </c>
      <c r="K36" s="8">
        <f>Tabla1567937[[#This Row],[PRECIO CLIENTE]]-Tabla1567937[[#This Row],[CANTIDAD PUBLICA]]</f>
        <v>200</v>
      </c>
      <c r="L36" s="8">
        <f>Tabla1567937[[#This Row],[COMISION AGENCIA]]*0.05</f>
        <v>10</v>
      </c>
      <c r="M36" s="7" t="s">
        <v>937</v>
      </c>
      <c r="N36" s="81"/>
      <c r="O36" s="7"/>
      <c r="P36" s="7" t="s">
        <v>860</v>
      </c>
    </row>
    <row r="37" spans="1:16" x14ac:dyDescent="0.25">
      <c r="A37" s="14">
        <f>Tabla1567937[[#This Row],[FECHA IN]]-15</f>
        <v>44835</v>
      </c>
      <c r="B37" s="14">
        <v>44845</v>
      </c>
      <c r="C37" s="14">
        <v>44845</v>
      </c>
      <c r="D37" s="6">
        <v>44850</v>
      </c>
      <c r="E37" s="6">
        <v>44854</v>
      </c>
      <c r="F37" s="7">
        <v>22158</v>
      </c>
      <c r="G37" s="8" t="s">
        <v>940</v>
      </c>
      <c r="H37" s="158" t="s">
        <v>941</v>
      </c>
      <c r="I37" s="8">
        <v>30151</v>
      </c>
      <c r="J37" s="8">
        <v>26235</v>
      </c>
      <c r="K37" s="8">
        <f>Tabla1567937[[#This Row],[CANTIDAD PUBLICA]]*0.05</f>
        <v>1507.5500000000002</v>
      </c>
      <c r="L37" s="8">
        <f>Tabla1567937[[#This Row],[COMISION AGENCIA]]*0.05</f>
        <v>75.377500000000012</v>
      </c>
      <c r="M37" s="7">
        <v>3481352159</v>
      </c>
      <c r="N37" s="7" t="s">
        <v>942</v>
      </c>
      <c r="O37" s="7" t="s">
        <v>943</v>
      </c>
      <c r="P37" s="7"/>
    </row>
    <row r="38" spans="1:16" x14ac:dyDescent="0.25">
      <c r="A38" s="14">
        <f>Tabla1567937[[#This Row],[FECHA IN]]-15</f>
        <v>44835</v>
      </c>
      <c r="B38" s="14">
        <v>44845</v>
      </c>
      <c r="C38" s="14">
        <v>44845</v>
      </c>
      <c r="D38" s="6">
        <v>44850</v>
      </c>
      <c r="E38" s="6">
        <v>44854</v>
      </c>
      <c r="F38" s="7">
        <v>22159</v>
      </c>
      <c r="G38" s="8" t="s">
        <v>940</v>
      </c>
      <c r="H38" s="158" t="s">
        <v>944</v>
      </c>
      <c r="I38" s="8">
        <v>4300</v>
      </c>
      <c r="J38" s="8">
        <v>4300</v>
      </c>
      <c r="K38" s="8">
        <f>Tabla1567937[[#This Row],[CANTIDAD PUBLICA]]*AGENTES!D10</f>
        <v>860</v>
      </c>
      <c r="L38" s="8">
        <f>Tabla1567937[[#This Row],[COMISION AGENCIA]]*0.05</f>
        <v>43</v>
      </c>
      <c r="M38" s="7">
        <v>3481352159</v>
      </c>
      <c r="N38" s="7"/>
      <c r="O38" s="7" t="s">
        <v>12</v>
      </c>
      <c r="P38" s="7"/>
    </row>
    <row r="39" spans="1:16" x14ac:dyDescent="0.25">
      <c r="A39" s="14">
        <v>44836</v>
      </c>
      <c r="B39" s="14">
        <v>44825</v>
      </c>
      <c r="C39" s="14">
        <v>44824</v>
      </c>
      <c r="D39" s="6">
        <v>44838</v>
      </c>
      <c r="E39" s="6">
        <v>44841</v>
      </c>
      <c r="F39" s="7">
        <v>21733</v>
      </c>
      <c r="G39" s="91" t="s">
        <v>945</v>
      </c>
      <c r="H39" s="158" t="s">
        <v>946</v>
      </c>
      <c r="I39" s="8">
        <v>17636</v>
      </c>
      <c r="J39" s="8">
        <v>15345</v>
      </c>
      <c r="K39" s="8">
        <f>Tabla1567937[[#This Row],[CANTIDAD PUBLICA]]*AGENTES!D4</f>
        <v>881.79999999999984</v>
      </c>
      <c r="L39" s="8">
        <f>Tabla1567937[[#This Row],[COMISION AGENCIA]]*0.05</f>
        <v>44.089999999999996</v>
      </c>
      <c r="M39" s="7">
        <v>3481460247</v>
      </c>
      <c r="N39" s="7" t="s">
        <v>947</v>
      </c>
      <c r="O39" s="7" t="s">
        <v>864</v>
      </c>
      <c r="P39" s="7"/>
    </row>
    <row r="40" spans="1:16" x14ac:dyDescent="0.25">
      <c r="A40" s="14">
        <f>Tabla1567937[[#This Row],[FECHA IN]]-15</f>
        <v>44836</v>
      </c>
      <c r="B40" s="14">
        <v>44830</v>
      </c>
      <c r="C40" s="14">
        <v>44819</v>
      </c>
      <c r="D40" s="6">
        <v>44851</v>
      </c>
      <c r="E40" s="6">
        <v>44856</v>
      </c>
      <c r="F40" s="7">
        <v>21937</v>
      </c>
      <c r="G40" s="8" t="s">
        <v>948</v>
      </c>
      <c r="H40" s="158" t="s">
        <v>949</v>
      </c>
      <c r="I40" s="8">
        <v>21941</v>
      </c>
      <c r="J40" s="8">
        <v>19065</v>
      </c>
      <c r="K40" s="8">
        <f>Tabla1567937[[#This Row],[CANTIDAD PUBLICA]]*0.05</f>
        <v>1097.05</v>
      </c>
      <c r="L40" s="8">
        <f>Tabla1567937[[#This Row],[COMISION AGENCIA]]*0.05</f>
        <v>54.852499999999999</v>
      </c>
      <c r="M40" s="7">
        <v>3312171836</v>
      </c>
      <c r="N40" s="7" t="s">
        <v>950</v>
      </c>
      <c r="O40" s="7" t="s">
        <v>864</v>
      </c>
      <c r="P40" s="7"/>
    </row>
    <row r="41" spans="1:16" x14ac:dyDescent="0.25">
      <c r="A41" s="14">
        <v>44838</v>
      </c>
      <c r="B41" s="14">
        <v>44838</v>
      </c>
      <c r="C41" s="14">
        <v>44838</v>
      </c>
      <c r="D41" s="6">
        <v>44851</v>
      </c>
      <c r="E41" s="7"/>
      <c r="F41" s="7">
        <v>22021</v>
      </c>
      <c r="G41" s="8" t="s">
        <v>951</v>
      </c>
      <c r="H41" s="158" t="s">
        <v>952</v>
      </c>
      <c r="I41" s="8">
        <v>5960</v>
      </c>
      <c r="J41" s="8">
        <v>6210</v>
      </c>
      <c r="K41" s="8">
        <f>Tabla1567937[[#This Row],[PRECIO CLIENTE]]-Tabla1567937[[#This Row],[CANTIDAD PUBLICA]]</f>
        <v>250</v>
      </c>
      <c r="L41" s="8">
        <f>Tabla1567937[[#This Row],[COMISION AGENCIA]]*0.05</f>
        <v>12.5</v>
      </c>
      <c r="M41" s="7"/>
      <c r="N41" s="79" t="s">
        <v>953</v>
      </c>
      <c r="O41" s="7" t="s">
        <v>876</v>
      </c>
      <c r="P41" s="7"/>
    </row>
    <row r="42" spans="1:16" x14ac:dyDescent="0.25">
      <c r="A42" s="14">
        <v>44839</v>
      </c>
      <c r="B42" s="14">
        <v>44839</v>
      </c>
      <c r="C42" s="14">
        <v>44838</v>
      </c>
      <c r="D42" s="6">
        <v>44844</v>
      </c>
      <c r="E42" s="7"/>
      <c r="F42" s="7" t="s">
        <v>877</v>
      </c>
      <c r="G42" s="8" t="s">
        <v>954</v>
      </c>
      <c r="H42" s="8" t="s">
        <v>955</v>
      </c>
      <c r="I42" s="8">
        <v>1905</v>
      </c>
      <c r="J42" s="8">
        <v>2175</v>
      </c>
      <c r="K42" s="8">
        <f>Tabla1567937[[#This Row],[PRECIO CLIENTE]]-Tabla1567937[[#This Row],[CANTIDAD PUBLICA]]</f>
        <v>270</v>
      </c>
      <c r="L42" s="8">
        <f>Tabla1567937[[#This Row],[COMISION AGENCIA]]*0.05</f>
        <v>13.5</v>
      </c>
      <c r="M42" s="7"/>
      <c r="N42" s="79" t="s">
        <v>956</v>
      </c>
      <c r="O42" s="7" t="s">
        <v>47</v>
      </c>
      <c r="P42" s="7"/>
    </row>
    <row r="43" spans="1:16" x14ac:dyDescent="0.25">
      <c r="A43" s="14">
        <f>Tabla1567937[[#This Row],[FECHA IN]]-15</f>
        <v>44840</v>
      </c>
      <c r="B43" s="14">
        <v>44832</v>
      </c>
      <c r="C43" s="14">
        <v>44824</v>
      </c>
      <c r="D43" s="6">
        <v>44855</v>
      </c>
      <c r="E43" s="6">
        <v>44857</v>
      </c>
      <c r="F43" s="7" t="s">
        <v>957</v>
      </c>
      <c r="G43" s="8" t="s">
        <v>958</v>
      </c>
      <c r="H43" s="158" t="s">
        <v>949</v>
      </c>
      <c r="I43" s="8">
        <v>8873</v>
      </c>
      <c r="J43" s="8">
        <v>7720</v>
      </c>
      <c r="K43" s="8">
        <f>Tabla1567937[[#This Row],[CANTIDAD PUBLICA]]*AGENTES!D4</f>
        <v>443.64999999999992</v>
      </c>
      <c r="L43" s="8">
        <f>Tabla1567937[[#This Row],[COMISION AGENCIA]]*0.05</f>
        <v>22.182499999999997</v>
      </c>
      <c r="M43" s="7">
        <v>3320684204</v>
      </c>
      <c r="N43" s="7" t="s">
        <v>959</v>
      </c>
      <c r="O43" s="7" t="s">
        <v>864</v>
      </c>
      <c r="P43" s="7"/>
    </row>
    <row r="44" spans="1:16" x14ac:dyDescent="0.25">
      <c r="A44" s="14">
        <f>Tabla1567937[[#This Row],[FECHA IN]]-15</f>
        <v>44842</v>
      </c>
      <c r="B44" s="14">
        <v>44848</v>
      </c>
      <c r="C44" s="82">
        <v>44848</v>
      </c>
      <c r="D44" s="59">
        <v>44857</v>
      </c>
      <c r="E44" s="6">
        <v>44861</v>
      </c>
      <c r="F44" s="7" t="s">
        <v>960</v>
      </c>
      <c r="G44" s="8" t="s">
        <v>961</v>
      </c>
      <c r="H44" s="158" t="s">
        <v>962</v>
      </c>
      <c r="I44" s="8">
        <v>27330</v>
      </c>
      <c r="J44" s="8">
        <v>23055</v>
      </c>
      <c r="K44" s="8">
        <f>Tabla1567937[[#This Row],[CANTIDAD PUBLICA]]*0.05</f>
        <v>1366.5</v>
      </c>
      <c r="L44" s="8">
        <f>Tabla1567937[[#This Row],[COMISION AGENCIA]]*0.05</f>
        <v>68.325000000000003</v>
      </c>
      <c r="M44" s="8"/>
      <c r="N44" s="8" t="s">
        <v>963</v>
      </c>
      <c r="O44" s="9" t="s">
        <v>864</v>
      </c>
      <c r="P44" s="9"/>
    </row>
    <row r="45" spans="1:16" x14ac:dyDescent="0.25">
      <c r="A45" s="14">
        <f>Tabla1567937[[#This Row],[FECHA IN]]-15</f>
        <v>44844</v>
      </c>
      <c r="B45" s="14">
        <v>44829</v>
      </c>
      <c r="C45" s="14">
        <v>44827</v>
      </c>
      <c r="D45" s="6">
        <v>44859</v>
      </c>
      <c r="E45" s="6">
        <v>44862</v>
      </c>
      <c r="F45" s="7" t="s">
        <v>964</v>
      </c>
      <c r="G45" s="8" t="s">
        <v>965</v>
      </c>
      <c r="H45" s="158" t="s">
        <v>966</v>
      </c>
      <c r="I45" s="8">
        <v>11745</v>
      </c>
      <c r="J45" s="8">
        <v>10220</v>
      </c>
      <c r="K45" s="8">
        <f>Tabla1567937[[#This Row],[CANTIDAD PUBLICA]]*0.05</f>
        <v>587.25</v>
      </c>
      <c r="L45" s="8">
        <f>Tabla1567937[[#This Row],[COMISION AGENCIA]]*0.05</f>
        <v>29.362500000000001</v>
      </c>
      <c r="M45" s="7">
        <v>3481098497</v>
      </c>
      <c r="N45" s="7" t="s">
        <v>967</v>
      </c>
      <c r="O45" s="7" t="s">
        <v>864</v>
      </c>
      <c r="P45" s="7"/>
    </row>
    <row r="46" spans="1:16" x14ac:dyDescent="0.25">
      <c r="A46" s="14">
        <v>44844</v>
      </c>
      <c r="B46" s="14">
        <v>44844</v>
      </c>
      <c r="C46" s="14">
        <v>44844</v>
      </c>
      <c r="D46" s="6">
        <v>44850</v>
      </c>
      <c r="E46" s="7"/>
      <c r="F46" s="7">
        <v>22120</v>
      </c>
      <c r="G46" s="8" t="s">
        <v>968</v>
      </c>
      <c r="H46" s="8" t="s">
        <v>969</v>
      </c>
      <c r="I46" s="8">
        <v>6432</v>
      </c>
      <c r="J46" s="8">
        <v>7280</v>
      </c>
      <c r="K46" s="8">
        <f>Tabla1567937[[#This Row],[PRECIO CLIENTE]]-Tabla1567937[[#This Row],[CANTIDAD PUBLICA]]</f>
        <v>848</v>
      </c>
      <c r="L46" s="8">
        <f>Tabla1567937[[#This Row],[COMISION AGENCIA]]*0.05</f>
        <v>42.400000000000006</v>
      </c>
      <c r="M46" s="7"/>
      <c r="N46" s="7" t="s">
        <v>970</v>
      </c>
      <c r="O46" s="7" t="s">
        <v>56</v>
      </c>
      <c r="P46" s="7"/>
    </row>
    <row r="47" spans="1:16" x14ac:dyDescent="0.25">
      <c r="A47" s="14">
        <v>44844</v>
      </c>
      <c r="B47" s="14">
        <v>44844</v>
      </c>
      <c r="C47" s="14">
        <v>44844</v>
      </c>
      <c r="D47" s="6">
        <v>44885</v>
      </c>
      <c r="E47" s="7"/>
      <c r="F47" s="7">
        <v>22127</v>
      </c>
      <c r="G47" s="8" t="s">
        <v>971</v>
      </c>
      <c r="H47" s="8" t="s">
        <v>850</v>
      </c>
      <c r="I47" s="8">
        <v>3576</v>
      </c>
      <c r="J47" s="8">
        <v>4000</v>
      </c>
      <c r="K47" s="8">
        <f>Tabla1567937[[#This Row],[PRECIO CLIENTE]]-Tabla1567937[[#This Row],[CANTIDAD PUBLICA]]</f>
        <v>424</v>
      </c>
      <c r="L47" s="8">
        <f>Tabla1567937[[#This Row],[COMISION AGENCIA]]*0.05</f>
        <v>21.200000000000003</v>
      </c>
      <c r="M47" s="7">
        <v>3481097801</v>
      </c>
      <c r="N47" s="7" t="s">
        <v>972</v>
      </c>
      <c r="O47" s="7" t="s">
        <v>56</v>
      </c>
      <c r="P47" s="7"/>
    </row>
    <row r="48" spans="1:16" x14ac:dyDescent="0.25">
      <c r="A48" s="14">
        <f>Tabla1567937[[#This Row],[FECHA IN]]-15</f>
        <v>44847</v>
      </c>
      <c r="B48" s="14">
        <v>44851</v>
      </c>
      <c r="C48" s="14">
        <v>44847</v>
      </c>
      <c r="D48" s="6">
        <v>44862</v>
      </c>
      <c r="E48" s="6">
        <v>44865</v>
      </c>
      <c r="F48" s="7" t="s">
        <v>973</v>
      </c>
      <c r="G48" s="8" t="s">
        <v>974</v>
      </c>
      <c r="H48" s="158" t="s">
        <v>975</v>
      </c>
      <c r="I48" s="8">
        <v>25177</v>
      </c>
      <c r="J48" s="8">
        <v>21905</v>
      </c>
      <c r="K48" s="8">
        <f>Tabla1567937[[#This Row],[CANTIDAD PUBLICA]]*0.05</f>
        <v>1258.8500000000001</v>
      </c>
      <c r="L48" s="8">
        <f>Tabla1567937[[#This Row],[COMISION AGENCIA]]*0.05</f>
        <v>62.94250000000001</v>
      </c>
      <c r="M48" s="7">
        <v>3481029504</v>
      </c>
      <c r="N48" s="7" t="s">
        <v>976</v>
      </c>
      <c r="O48" s="7" t="s">
        <v>864</v>
      </c>
      <c r="P48" s="7"/>
    </row>
    <row r="49" spans="1:16" x14ac:dyDescent="0.25">
      <c r="A49" s="14">
        <v>44848</v>
      </c>
      <c r="B49" s="14">
        <v>44848</v>
      </c>
      <c r="C49" s="82">
        <v>44848</v>
      </c>
      <c r="D49" s="59">
        <v>44869</v>
      </c>
      <c r="E49" s="6">
        <v>44899</v>
      </c>
      <c r="F49" s="7">
        <v>22225</v>
      </c>
      <c r="G49" s="8" t="s">
        <v>977</v>
      </c>
      <c r="H49" s="158" t="s">
        <v>978</v>
      </c>
      <c r="I49" s="8">
        <v>8672</v>
      </c>
      <c r="J49" s="8">
        <v>8420</v>
      </c>
      <c r="K49" s="8">
        <f>Tabla1567937[[#This Row],[CANTIDAD PUBLICA]]-Tabla1567937[[#This Row],[PRECIO CLIENTE]]</f>
        <v>252</v>
      </c>
      <c r="L49" s="8">
        <f>Tabla1567937[[#This Row],[COMISION AGENCIA]]*0.05</f>
        <v>12.600000000000001</v>
      </c>
      <c r="M49" s="8"/>
      <c r="N49" s="8" t="s">
        <v>979</v>
      </c>
      <c r="O49" s="9" t="s">
        <v>56</v>
      </c>
      <c r="P49" s="9"/>
    </row>
    <row r="50" spans="1:16" x14ac:dyDescent="0.25">
      <c r="A50" s="14">
        <v>44848</v>
      </c>
      <c r="B50" s="14">
        <v>44848</v>
      </c>
      <c r="C50" s="82">
        <v>44849</v>
      </c>
      <c r="D50" s="59"/>
      <c r="E50" s="6"/>
      <c r="F50" s="7">
        <v>22235</v>
      </c>
      <c r="G50" s="8" t="s">
        <v>980</v>
      </c>
      <c r="H50" s="158" t="s">
        <v>981</v>
      </c>
      <c r="I50" s="8">
        <v>7562</v>
      </c>
      <c r="J50" s="8">
        <v>7715</v>
      </c>
      <c r="K50" s="8">
        <f>Tabla1567937[[#This Row],[PRECIO CLIENTE]]-Tabla1567937[[#This Row],[CANTIDAD PUBLICA]]</f>
        <v>153</v>
      </c>
      <c r="L50" s="8">
        <f>Tabla1567937[[#This Row],[COMISION AGENCIA]]*0.05</f>
        <v>7.65</v>
      </c>
      <c r="M50" s="8"/>
      <c r="N50" s="8" t="s">
        <v>982</v>
      </c>
      <c r="O50" s="9" t="s">
        <v>983</v>
      </c>
      <c r="P50" s="9"/>
    </row>
    <row r="51" spans="1:16" x14ac:dyDescent="0.25">
      <c r="A51" s="14">
        <f>Tabla1567937[[#This Row],[FECHA IN]]-15</f>
        <v>44849</v>
      </c>
      <c r="B51" s="14">
        <v>44842</v>
      </c>
      <c r="C51" s="14">
        <v>44828</v>
      </c>
      <c r="D51" s="6">
        <v>44864</v>
      </c>
      <c r="E51" s="6">
        <v>44868</v>
      </c>
      <c r="F51" s="7" t="s">
        <v>984</v>
      </c>
      <c r="G51" s="8" t="s">
        <v>985</v>
      </c>
      <c r="H51" s="158" t="s">
        <v>986</v>
      </c>
      <c r="I51" s="8">
        <v>20577</v>
      </c>
      <c r="J51" s="8">
        <v>17910</v>
      </c>
      <c r="K51" s="8">
        <f>Tabla1567937[[#This Row],[CANTIDAD PUBLICA]]*0.05</f>
        <v>1028.8500000000001</v>
      </c>
      <c r="L51" s="8">
        <f>Tabla1567937[[#This Row],[COMISION AGENCIA]]*0.05</f>
        <v>51.44250000000001</v>
      </c>
      <c r="M51" s="7">
        <v>3481498988</v>
      </c>
      <c r="N51" s="7" t="s">
        <v>987</v>
      </c>
      <c r="O51" s="7" t="s">
        <v>864</v>
      </c>
      <c r="P51" s="7"/>
    </row>
    <row r="52" spans="1:16" x14ac:dyDescent="0.25">
      <c r="A52" s="14">
        <f>Tabla1567937[[#This Row],[FECHA IN]]-15</f>
        <v>44849</v>
      </c>
      <c r="B52" s="14">
        <v>44842</v>
      </c>
      <c r="C52" s="14">
        <v>44828</v>
      </c>
      <c r="D52" s="6">
        <v>44864</v>
      </c>
      <c r="E52" s="6">
        <v>44868</v>
      </c>
      <c r="F52" s="7" t="s">
        <v>984</v>
      </c>
      <c r="G52" s="8" t="s">
        <v>988</v>
      </c>
      <c r="H52" s="158" t="s">
        <v>986</v>
      </c>
      <c r="I52" s="8">
        <v>20577</v>
      </c>
      <c r="J52" s="8">
        <v>17910</v>
      </c>
      <c r="K52" s="8">
        <f>Tabla1567937[[#This Row],[CANTIDAD PUBLICA]]*0.05</f>
        <v>1028.8500000000001</v>
      </c>
      <c r="L52" s="8">
        <f>Tabla1567937[[#This Row],[COMISION AGENCIA]]*0.05</f>
        <v>51.44250000000001</v>
      </c>
      <c r="M52" s="7">
        <v>3481498988</v>
      </c>
      <c r="N52" s="7" t="s">
        <v>989</v>
      </c>
      <c r="O52" s="7" t="s">
        <v>864</v>
      </c>
      <c r="P52" s="7"/>
    </row>
    <row r="53" spans="1:16" x14ac:dyDescent="0.25">
      <c r="A53" s="14">
        <f>Tabla1567937[[#This Row],[FECHA IN]]-15</f>
        <v>44849</v>
      </c>
      <c r="B53" s="14">
        <v>44842</v>
      </c>
      <c r="C53" s="14">
        <v>44828</v>
      </c>
      <c r="D53" s="6">
        <v>44864</v>
      </c>
      <c r="E53" s="6">
        <v>44868</v>
      </c>
      <c r="F53" s="7" t="s">
        <v>984</v>
      </c>
      <c r="G53" s="8" t="s">
        <v>990</v>
      </c>
      <c r="H53" s="158" t="s">
        <v>986</v>
      </c>
      <c r="I53" s="8">
        <v>20577</v>
      </c>
      <c r="J53" s="8">
        <v>17910</v>
      </c>
      <c r="K53" s="8">
        <f>Tabla1567937[[#This Row],[CANTIDAD PUBLICA]]*0.05</f>
        <v>1028.8500000000001</v>
      </c>
      <c r="L53" s="8">
        <f>Tabla1567937[[#This Row],[COMISION AGENCIA]]*0.05</f>
        <v>51.44250000000001</v>
      </c>
      <c r="M53" s="7">
        <v>3481498988</v>
      </c>
      <c r="N53" s="7" t="s">
        <v>991</v>
      </c>
      <c r="O53" s="7" t="s">
        <v>864</v>
      </c>
      <c r="P53" s="7"/>
    </row>
    <row r="54" spans="1:16" x14ac:dyDescent="0.25">
      <c r="A54" s="14">
        <f>Tabla1567937[[#This Row],[FECHA IN]]-15</f>
        <v>44849</v>
      </c>
      <c r="B54" s="14">
        <v>44842</v>
      </c>
      <c r="C54" s="14">
        <v>44828</v>
      </c>
      <c r="D54" s="6">
        <v>44864</v>
      </c>
      <c r="E54" s="6">
        <v>44868</v>
      </c>
      <c r="F54" s="7" t="s">
        <v>984</v>
      </c>
      <c r="G54" s="8" t="s">
        <v>992</v>
      </c>
      <c r="H54" s="158" t="s">
        <v>986</v>
      </c>
      <c r="I54" s="8">
        <v>18057</v>
      </c>
      <c r="J54" s="8">
        <v>15715</v>
      </c>
      <c r="K54" s="8">
        <f>Tabla1567937[[#This Row],[CANTIDAD PUBLICA]]*0.05</f>
        <v>902.85</v>
      </c>
      <c r="L54" s="8">
        <f>Tabla1567937[[#This Row],[COMISION AGENCIA]]*0.05</f>
        <v>45.142500000000005</v>
      </c>
      <c r="M54" s="7">
        <v>3481498988</v>
      </c>
      <c r="N54" s="7" t="s">
        <v>993</v>
      </c>
      <c r="O54" s="7" t="s">
        <v>864</v>
      </c>
      <c r="P54" s="7"/>
    </row>
    <row r="55" spans="1:16" x14ac:dyDescent="0.25">
      <c r="A55" s="14">
        <v>44849</v>
      </c>
      <c r="B55" s="14">
        <v>44849</v>
      </c>
      <c r="C55" s="82">
        <v>44849</v>
      </c>
      <c r="D55" s="59">
        <v>44872</v>
      </c>
      <c r="E55" s="6">
        <v>44876</v>
      </c>
      <c r="F55" s="7">
        <v>22248</v>
      </c>
      <c r="G55" s="8" t="s">
        <v>994</v>
      </c>
      <c r="H55" s="158" t="s">
        <v>995</v>
      </c>
      <c r="I55" s="8">
        <v>14008</v>
      </c>
      <c r="J55" s="8">
        <v>14910</v>
      </c>
      <c r="K55" s="8">
        <f>Tabla1567937[[#This Row],[PRECIO CLIENTE]]-Tabla1567937[[#This Row],[CANTIDAD PUBLICA]]</f>
        <v>902</v>
      </c>
      <c r="L55" s="8">
        <f>Tabla1567937[[#This Row],[COMISION AGENCIA]]*0.05</f>
        <v>45.1</v>
      </c>
      <c r="M55" s="8"/>
      <c r="N55" s="8" t="s">
        <v>996</v>
      </c>
      <c r="O55" s="9" t="s">
        <v>997</v>
      </c>
      <c r="P55" s="9"/>
    </row>
    <row r="56" spans="1:16" x14ac:dyDescent="0.25">
      <c r="A56" s="14">
        <v>44851</v>
      </c>
      <c r="B56" s="14">
        <v>44851</v>
      </c>
      <c r="C56" s="82">
        <v>44851</v>
      </c>
      <c r="D56" s="59">
        <v>44889</v>
      </c>
      <c r="E56" s="6"/>
      <c r="F56" s="7" t="s">
        <v>877</v>
      </c>
      <c r="G56" s="8" t="s">
        <v>998</v>
      </c>
      <c r="H56" s="158" t="s">
        <v>999</v>
      </c>
      <c r="I56" s="8">
        <v>4084</v>
      </c>
      <c r="J56" s="8">
        <v>4645</v>
      </c>
      <c r="K56" s="8">
        <f>Tabla1567937[[#This Row],[PRECIO CLIENTE]]-Tabla1567937[[#This Row],[CANTIDAD PUBLICA]]</f>
        <v>561</v>
      </c>
      <c r="L56" s="8">
        <f>Tabla1567937[[#This Row],[COMISION AGENCIA]]*0.05</f>
        <v>28.05</v>
      </c>
      <c r="M56" s="8" t="s">
        <v>1000</v>
      </c>
      <c r="N56" s="8" t="s">
        <v>1001</v>
      </c>
      <c r="O56" s="9" t="s">
        <v>56</v>
      </c>
      <c r="P56" s="9"/>
    </row>
    <row r="57" spans="1:16" x14ac:dyDescent="0.25">
      <c r="A57" s="14">
        <v>44851</v>
      </c>
      <c r="B57" s="14">
        <v>44851</v>
      </c>
      <c r="C57" s="82">
        <v>44851</v>
      </c>
      <c r="D57" s="59">
        <v>44903</v>
      </c>
      <c r="E57" s="6">
        <v>44906</v>
      </c>
      <c r="F57" s="7">
        <v>22278</v>
      </c>
      <c r="G57" s="8" t="s">
        <v>1002</v>
      </c>
      <c r="H57" s="158" t="s">
        <v>1003</v>
      </c>
      <c r="I57" s="8">
        <v>16510</v>
      </c>
      <c r="J57" s="8">
        <v>17552</v>
      </c>
      <c r="K57" s="8">
        <f>Tabla1567937[[#This Row],[PRECIO CLIENTE]]-Tabla1567937[[#This Row],[CANTIDAD PUBLICA]]</f>
        <v>1042</v>
      </c>
      <c r="L57" s="8">
        <f>Tabla1567937[[#This Row],[COMISION AGENCIA]]*0.05</f>
        <v>52.1</v>
      </c>
      <c r="M57" s="8"/>
      <c r="N57" s="8" t="s">
        <v>1004</v>
      </c>
      <c r="O57" s="9" t="s">
        <v>1005</v>
      </c>
      <c r="P57" s="9"/>
    </row>
    <row r="58" spans="1:16" x14ac:dyDescent="0.25">
      <c r="A58" s="14">
        <f>Tabla1567937[[#This Row],[FECHA IN]]-15</f>
        <v>44852</v>
      </c>
      <c r="B58" s="14">
        <v>44830</v>
      </c>
      <c r="C58" s="14">
        <v>44830</v>
      </c>
      <c r="D58" s="6">
        <v>44867</v>
      </c>
      <c r="E58" s="6">
        <v>44871</v>
      </c>
      <c r="F58" s="7">
        <v>22379</v>
      </c>
      <c r="G58" s="8" t="s">
        <v>1006</v>
      </c>
      <c r="H58" s="158" t="s">
        <v>1007</v>
      </c>
      <c r="I58" s="8">
        <v>7200</v>
      </c>
      <c r="J58" s="8">
        <v>7200</v>
      </c>
      <c r="K58" s="8">
        <f>Tabla1567937[[#This Row],[CANTIDAD PUBLICA]]*AGENTES!D10</f>
        <v>1440</v>
      </c>
      <c r="L58" s="8">
        <f>Tabla1567937[[#This Row],[COMISION AGENCIA]]*0.05</f>
        <v>72</v>
      </c>
      <c r="M58" s="7">
        <v>3481058941</v>
      </c>
      <c r="N58" s="7"/>
      <c r="O58" s="7" t="s">
        <v>12</v>
      </c>
      <c r="P58" s="7"/>
    </row>
    <row r="59" spans="1:16" x14ac:dyDescent="0.25">
      <c r="A59" s="14">
        <v>44856</v>
      </c>
      <c r="B59" s="14">
        <v>44856</v>
      </c>
      <c r="C59" s="14">
        <v>44856</v>
      </c>
      <c r="D59" s="6">
        <v>44861</v>
      </c>
      <c r="E59" s="7"/>
      <c r="F59" s="7" t="s">
        <v>877</v>
      </c>
      <c r="G59" s="79" t="s">
        <v>1008</v>
      </c>
      <c r="H59" s="8" t="s">
        <v>1009</v>
      </c>
      <c r="I59" s="8">
        <v>4803</v>
      </c>
      <c r="J59" s="8">
        <v>5295</v>
      </c>
      <c r="K59" s="8">
        <f>Tabla1567937[[#This Row],[PRECIO CLIENTE]]-Tabla1567937[[#This Row],[CANTIDAD PUBLICA]]</f>
        <v>492</v>
      </c>
      <c r="L59" s="8">
        <f>Tabla1567937[[#This Row],[COMISION AGENCIA]]*0.05</f>
        <v>24.6</v>
      </c>
      <c r="M59" s="7"/>
      <c r="N59" s="79" t="s">
        <v>1010</v>
      </c>
      <c r="O59" s="9" t="s">
        <v>1005</v>
      </c>
      <c r="P59" s="7"/>
    </row>
    <row r="60" spans="1:16" s="68" customFormat="1" x14ac:dyDescent="0.25">
      <c r="A60" s="14">
        <v>44856</v>
      </c>
      <c r="B60" s="14">
        <v>44856</v>
      </c>
      <c r="C60" s="14">
        <v>44856</v>
      </c>
      <c r="D60" s="6">
        <v>44909</v>
      </c>
      <c r="E60" s="6">
        <v>44941</v>
      </c>
      <c r="F60" s="7">
        <v>22384</v>
      </c>
      <c r="G60" s="8" t="s">
        <v>1011</v>
      </c>
      <c r="H60" s="8" t="s">
        <v>1012</v>
      </c>
      <c r="I60" s="8">
        <v>11608</v>
      </c>
      <c r="J60" s="8">
        <v>12440</v>
      </c>
      <c r="K60" s="8">
        <f>Tabla1567937[[#This Row],[PRECIO CLIENTE]]-Tabla1567937[[#This Row],[CANTIDAD PUBLICA]]</f>
        <v>832</v>
      </c>
      <c r="L60" s="8">
        <f>Tabla1567937[[#This Row],[COMISION AGENCIA]]*0.05</f>
        <v>41.6</v>
      </c>
      <c r="M60" s="7"/>
      <c r="N60" s="79" t="s">
        <v>1013</v>
      </c>
      <c r="O60" s="7" t="s">
        <v>56</v>
      </c>
      <c r="P60" s="7"/>
    </row>
    <row r="61" spans="1:16" x14ac:dyDescent="0.25">
      <c r="A61" s="14">
        <f>Tabla1567937[[#This Row],[FECHA IN]]-15</f>
        <v>44856</v>
      </c>
      <c r="B61" s="14">
        <v>44867</v>
      </c>
      <c r="C61" s="14">
        <v>44867</v>
      </c>
      <c r="D61" s="6">
        <v>44871</v>
      </c>
      <c r="E61" s="6">
        <v>44875</v>
      </c>
      <c r="F61" s="7"/>
      <c r="G61" s="8" t="s">
        <v>1014</v>
      </c>
      <c r="H61" s="158" t="s">
        <v>1015</v>
      </c>
      <c r="I61" s="8">
        <v>27955</v>
      </c>
      <c r="J61" s="8">
        <v>24320</v>
      </c>
      <c r="K61" s="8">
        <f>Tabla1567937[[#This Row],[CANTIDAD PUBLICA]]*AGENTES!D4</f>
        <v>1397.7499999999998</v>
      </c>
      <c r="L61" s="8">
        <f>Tabla1567937[[#This Row],[COMISION AGENCIA]]*0.05</f>
        <v>69.887499999999989</v>
      </c>
      <c r="M61" s="7" t="s">
        <v>1016</v>
      </c>
      <c r="N61" s="7"/>
      <c r="O61" s="7"/>
      <c r="P61" s="7"/>
    </row>
    <row r="62" spans="1:16" x14ac:dyDescent="0.25">
      <c r="A62" s="14">
        <v>44859</v>
      </c>
      <c r="B62" s="14">
        <v>44859</v>
      </c>
      <c r="C62" s="14">
        <v>44859</v>
      </c>
      <c r="D62" s="6">
        <v>44912</v>
      </c>
      <c r="E62" s="6">
        <v>44568</v>
      </c>
      <c r="F62" s="7">
        <v>22423</v>
      </c>
      <c r="G62" s="79" t="s">
        <v>1017</v>
      </c>
      <c r="H62" s="8" t="s">
        <v>1018</v>
      </c>
      <c r="I62" s="8">
        <v>7780</v>
      </c>
      <c r="J62" s="8">
        <v>8226</v>
      </c>
      <c r="K62" s="8">
        <f>Tabla1567937[[#This Row],[PRECIO CLIENTE]]-Tabla1567937[[#This Row],[CANTIDAD PUBLICA]]</f>
        <v>446</v>
      </c>
      <c r="L62" s="8">
        <f>Tabla1567937[[#This Row],[COMISION AGENCIA]]*0.05</f>
        <v>22.3</v>
      </c>
      <c r="M62" s="7"/>
      <c r="N62" s="79" t="s">
        <v>1019</v>
      </c>
      <c r="O62" s="7" t="s">
        <v>56</v>
      </c>
      <c r="P62" s="7"/>
    </row>
    <row r="63" spans="1:16" x14ac:dyDescent="0.25">
      <c r="A63" s="14">
        <v>44862</v>
      </c>
      <c r="B63" s="14">
        <v>44862</v>
      </c>
      <c r="C63" s="14">
        <v>44862</v>
      </c>
      <c r="D63" s="6">
        <v>44863</v>
      </c>
      <c r="E63" s="7"/>
      <c r="F63" s="7">
        <v>22453</v>
      </c>
      <c r="G63" s="8" t="s">
        <v>1020</v>
      </c>
      <c r="H63" s="158" t="s">
        <v>1021</v>
      </c>
      <c r="I63" s="8">
        <v>4201</v>
      </c>
      <c r="J63" s="8">
        <v>4540</v>
      </c>
      <c r="K63" s="8">
        <f>Tabla1567937[[#This Row],[PRECIO CLIENTE]]-Tabla1567937[[#This Row],[CANTIDAD PUBLICA]]</f>
        <v>339</v>
      </c>
      <c r="L63" s="8">
        <f>Tabla1567937[[#This Row],[COMISION AGENCIA]]*0.05</f>
        <v>16.95</v>
      </c>
      <c r="M63" s="7" t="s">
        <v>1022</v>
      </c>
      <c r="N63" s="78" t="s">
        <v>1023</v>
      </c>
      <c r="O63" s="7" t="s">
        <v>997</v>
      </c>
      <c r="P63" s="7"/>
    </row>
    <row r="64" spans="1:16" x14ac:dyDescent="0.25">
      <c r="A64" s="14">
        <f>Tabla1567937[[#This Row],[FECHA IN]]-15</f>
        <v>44864</v>
      </c>
      <c r="B64" s="14">
        <v>44825</v>
      </c>
      <c r="C64" s="14">
        <v>44825</v>
      </c>
      <c r="D64" s="6">
        <v>44879</v>
      </c>
      <c r="E64" s="6">
        <v>44884</v>
      </c>
      <c r="F64" s="7">
        <v>21750</v>
      </c>
      <c r="G64" s="8" t="s">
        <v>915</v>
      </c>
      <c r="H64" s="8" t="s">
        <v>1024</v>
      </c>
      <c r="I64" s="8">
        <v>390.24</v>
      </c>
      <c r="J64" s="8">
        <v>700</v>
      </c>
      <c r="K64" s="8">
        <f>Tabla1567937[[#This Row],[PRECIO CLIENTE]]-Tabla1567937[[#This Row],[CANTIDAD PUBLICA]]</f>
        <v>309.76</v>
      </c>
      <c r="L64" s="8">
        <f>Tabla1567937[[#This Row],[COMISION AGENCIA]]*0.05</f>
        <v>15.488</v>
      </c>
      <c r="M64" s="7">
        <v>3481165835</v>
      </c>
      <c r="N64" s="7"/>
      <c r="O64" s="7" t="s">
        <v>864</v>
      </c>
      <c r="P64" s="7"/>
    </row>
    <row r="65" spans="1:16" x14ac:dyDescent="0.25">
      <c r="A65" s="14">
        <f>Tabla1567937[[#This Row],[FECHA IN]]-15</f>
        <v>44864</v>
      </c>
      <c r="B65" s="14">
        <v>44828</v>
      </c>
      <c r="C65" s="14">
        <v>44825</v>
      </c>
      <c r="D65" s="6">
        <v>44879</v>
      </c>
      <c r="E65" s="6">
        <v>44884</v>
      </c>
      <c r="F65" s="7" t="s">
        <v>1025</v>
      </c>
      <c r="G65" s="8" t="s">
        <v>915</v>
      </c>
      <c r="H65" s="8" t="s">
        <v>1026</v>
      </c>
      <c r="I65" s="8">
        <v>32460</v>
      </c>
      <c r="J65" s="8">
        <v>28240</v>
      </c>
      <c r="K65" s="8">
        <f>Tabla1567937[[#This Row],[CANTIDAD PUBLICA]]*AGENTES!D4</f>
        <v>1622.9999999999995</v>
      </c>
      <c r="L65" s="8">
        <f>Tabla1567937[[#This Row],[COMISION AGENCIA]]*0.05</f>
        <v>81.149999999999977</v>
      </c>
      <c r="M65" s="7">
        <v>3481165835</v>
      </c>
      <c r="N65" s="79" t="s">
        <v>1027</v>
      </c>
      <c r="O65" s="7" t="s">
        <v>864</v>
      </c>
      <c r="P65" s="7"/>
    </row>
    <row r="66" spans="1:16" x14ac:dyDescent="0.25">
      <c r="A66" s="14">
        <v>44864</v>
      </c>
      <c r="B66" s="14">
        <v>44864</v>
      </c>
      <c r="C66" s="14">
        <v>44817</v>
      </c>
      <c r="D66" s="6">
        <v>44889</v>
      </c>
      <c r="E66" s="6">
        <v>44893</v>
      </c>
      <c r="F66" s="7" t="s">
        <v>1028</v>
      </c>
      <c r="G66" s="8" t="s">
        <v>1029</v>
      </c>
      <c r="H66" s="8" t="s">
        <v>1030</v>
      </c>
      <c r="I66" s="8">
        <v>17063.259999999998</v>
      </c>
      <c r="J66" s="8">
        <v>14845</v>
      </c>
      <c r="K66" s="8">
        <f>Tabla1567937[[#This Row],[CANTIDAD PUBLICA]]*AGENTES!D3</f>
        <v>887.28951999999981</v>
      </c>
      <c r="L66" s="8">
        <f>Tabla1567937[[#This Row],[COMISION AGENCIA]]*0.05</f>
        <v>44.364475999999996</v>
      </c>
      <c r="M66" s="7" t="s">
        <v>1031</v>
      </c>
      <c r="N66" s="77" t="s">
        <v>1032</v>
      </c>
      <c r="O66" s="7" t="s">
        <v>864</v>
      </c>
      <c r="P66" s="7" t="s">
        <v>1033</v>
      </c>
    </row>
    <row r="67" spans="1:16" x14ac:dyDescent="0.25">
      <c r="A67" s="14">
        <f>Tabla1567937[[#This Row],[FECHA IN]]-15</f>
        <v>44864</v>
      </c>
      <c r="B67" s="14">
        <v>44877</v>
      </c>
      <c r="C67" s="14">
        <v>44877</v>
      </c>
      <c r="D67" s="6">
        <v>44879</v>
      </c>
      <c r="E67" s="6">
        <v>44883</v>
      </c>
      <c r="F67" s="7">
        <v>22622</v>
      </c>
      <c r="G67" s="8" t="s">
        <v>1034</v>
      </c>
      <c r="H67" s="158" t="s">
        <v>1035</v>
      </c>
      <c r="I67" s="8">
        <v>21099</v>
      </c>
      <c r="J67" s="8">
        <v>18360</v>
      </c>
      <c r="K67" s="8">
        <f>Tabla1567937[[#This Row],[CANTIDAD PUBLICA]]*AGENTES!D4</f>
        <v>1054.9499999999998</v>
      </c>
      <c r="L67" s="8">
        <f>Tabla1567937[[#This Row],[COMISION AGENCIA]]*0.05</f>
        <v>52.747499999999995</v>
      </c>
      <c r="M67" s="7">
        <v>3481089070</v>
      </c>
      <c r="N67" s="79" t="s">
        <v>1036</v>
      </c>
      <c r="O67" s="7" t="s">
        <v>943</v>
      </c>
      <c r="P67" s="7"/>
    </row>
    <row r="68" spans="1:16" x14ac:dyDescent="0.25">
      <c r="A68" s="14">
        <f>Tabla1567937[[#This Row],[FECHA IN]]-15</f>
        <v>44864</v>
      </c>
      <c r="B68" s="14">
        <v>44877</v>
      </c>
      <c r="C68" s="14">
        <v>44877</v>
      </c>
      <c r="D68" s="6">
        <v>44879</v>
      </c>
      <c r="E68" s="6">
        <v>44883</v>
      </c>
      <c r="F68" s="7">
        <v>22622</v>
      </c>
      <c r="G68" s="8" t="s">
        <v>1037</v>
      </c>
      <c r="H68" s="158" t="s">
        <v>1035</v>
      </c>
      <c r="I68" s="8">
        <v>21619</v>
      </c>
      <c r="J68" s="8">
        <v>18810</v>
      </c>
      <c r="K68" s="8">
        <f>Tabla1567937[[#This Row],[CANTIDAD PUBLICA]]*AGENTES!D4</f>
        <v>1080.9499999999998</v>
      </c>
      <c r="L68" s="8">
        <f>Tabla1567937[[#This Row],[COMISION AGENCIA]]*0.05</f>
        <v>54.047499999999992</v>
      </c>
      <c r="M68" s="7">
        <v>3481089070</v>
      </c>
      <c r="N68" s="79" t="s">
        <v>1038</v>
      </c>
      <c r="O68" s="7" t="s">
        <v>943</v>
      </c>
      <c r="P68" s="7"/>
    </row>
    <row r="69" spans="1:16" x14ac:dyDescent="0.25">
      <c r="A69" s="14">
        <v>44866</v>
      </c>
      <c r="B69" s="14">
        <v>44866</v>
      </c>
      <c r="C69" s="14">
        <v>44866</v>
      </c>
      <c r="D69" s="6">
        <v>44947</v>
      </c>
      <c r="E69" s="6">
        <v>44954</v>
      </c>
      <c r="F69" s="7">
        <v>22478</v>
      </c>
      <c r="G69" s="8" t="s">
        <v>1039</v>
      </c>
      <c r="H69" s="158" t="s">
        <v>1040</v>
      </c>
      <c r="I69" s="8">
        <v>11030</v>
      </c>
      <c r="J69" s="8">
        <v>9880</v>
      </c>
      <c r="K69" s="8">
        <f>Tabla1567937[[#This Row],[PRECIO CLIENTE]]-Tabla1567937[[#This Row],[CANTIDAD PUBLICA]]</f>
        <v>-1150</v>
      </c>
      <c r="L69" s="8">
        <f>Tabla1567937[[#This Row],[COMISION AGENCIA]]*0.05</f>
        <v>-57.5</v>
      </c>
      <c r="M69" s="7" t="s">
        <v>1041</v>
      </c>
      <c r="N69" s="79" t="s">
        <v>1042</v>
      </c>
      <c r="O69" s="7" t="s">
        <v>56</v>
      </c>
      <c r="P69" s="7"/>
    </row>
    <row r="70" spans="1:16" x14ac:dyDescent="0.25">
      <c r="A70" s="14">
        <v>44866</v>
      </c>
      <c r="B70" s="14">
        <v>44866</v>
      </c>
      <c r="C70" s="14">
        <v>44866</v>
      </c>
      <c r="D70" s="6">
        <v>44867</v>
      </c>
      <c r="E70" s="6">
        <v>44879</v>
      </c>
      <c r="F70" s="7">
        <v>22482</v>
      </c>
      <c r="G70" s="8" t="s">
        <v>1043</v>
      </c>
      <c r="H70" s="8" t="s">
        <v>1044</v>
      </c>
      <c r="I70" s="8">
        <v>7333</v>
      </c>
      <c r="J70" s="8">
        <v>7780</v>
      </c>
      <c r="K70" s="8">
        <f>Tabla1567937[[#This Row],[PRECIO CLIENTE]]-Tabla1567937[[#This Row],[CANTIDAD PUBLICA]]</f>
        <v>447</v>
      </c>
      <c r="L70" s="8">
        <f>Tabla1567937[[#This Row],[COMISION AGENCIA]]*0.05</f>
        <v>22.35</v>
      </c>
      <c r="M70" s="7" t="s">
        <v>1045</v>
      </c>
      <c r="N70" s="79" t="s">
        <v>1046</v>
      </c>
      <c r="O70" s="7" t="s">
        <v>47</v>
      </c>
      <c r="P70" s="7"/>
    </row>
    <row r="71" spans="1:16" x14ac:dyDescent="0.25">
      <c r="A71" s="14">
        <v>44866</v>
      </c>
      <c r="B71" s="14">
        <v>44866</v>
      </c>
      <c r="C71" s="14">
        <v>44866</v>
      </c>
      <c r="D71" s="6">
        <v>44869</v>
      </c>
      <c r="E71" s="7"/>
      <c r="F71" s="7" t="s">
        <v>1047</v>
      </c>
      <c r="G71" s="8" t="s">
        <v>1048</v>
      </c>
      <c r="H71" s="8" t="s">
        <v>1049</v>
      </c>
      <c r="I71" s="8">
        <v>4631</v>
      </c>
      <c r="J71" s="8">
        <v>5280</v>
      </c>
      <c r="K71" s="8">
        <f>Tabla1567937[[#This Row],[PRECIO CLIENTE]]-Tabla1567937[[#This Row],[CANTIDAD PUBLICA]]</f>
        <v>649</v>
      </c>
      <c r="L71" s="8">
        <f>Tabla1567937[[#This Row],[COMISION AGENCIA]]*0.05</f>
        <v>32.450000000000003</v>
      </c>
      <c r="M71" s="7" t="s">
        <v>1050</v>
      </c>
      <c r="N71" s="79" t="s">
        <v>1051</v>
      </c>
      <c r="O71" s="7" t="s">
        <v>47</v>
      </c>
      <c r="P71" s="7"/>
    </row>
    <row r="72" spans="1:16" x14ac:dyDescent="0.25">
      <c r="A72" s="14">
        <v>44866</v>
      </c>
      <c r="B72" s="14">
        <v>44866</v>
      </c>
      <c r="C72" s="14">
        <v>44866</v>
      </c>
      <c r="D72" s="6">
        <v>44925</v>
      </c>
      <c r="E72" s="6">
        <v>44956</v>
      </c>
      <c r="F72" s="7">
        <v>22489</v>
      </c>
      <c r="G72" s="8" t="s">
        <v>1052</v>
      </c>
      <c r="H72" s="8" t="s">
        <v>1053</v>
      </c>
      <c r="I72" s="8">
        <v>25504</v>
      </c>
      <c r="J72" s="8">
        <v>27375</v>
      </c>
      <c r="K72" s="8">
        <f>Tabla1567937[[#This Row],[PRECIO CLIENTE]]-Tabla1567937[[#This Row],[CANTIDAD PUBLICA]]</f>
        <v>1871</v>
      </c>
      <c r="L72" s="8">
        <f>Tabla1567937[[#This Row],[COMISION AGENCIA]]*0.05</f>
        <v>93.550000000000011</v>
      </c>
      <c r="M72" s="7" t="s">
        <v>1054</v>
      </c>
      <c r="N72" s="7" t="s">
        <v>1055</v>
      </c>
      <c r="O72" s="7" t="s">
        <v>47</v>
      </c>
      <c r="P72" s="7"/>
    </row>
    <row r="73" spans="1:16" x14ac:dyDescent="0.25">
      <c r="A73" s="14">
        <v>44866</v>
      </c>
      <c r="B73" s="14">
        <v>44866</v>
      </c>
      <c r="C73" s="14">
        <v>44866</v>
      </c>
      <c r="D73" s="6">
        <v>44881</v>
      </c>
      <c r="E73" s="6">
        <v>44887</v>
      </c>
      <c r="F73" s="7" t="s">
        <v>1047</v>
      </c>
      <c r="G73" s="79" t="s">
        <v>1056</v>
      </c>
      <c r="H73" s="8" t="s">
        <v>1057</v>
      </c>
      <c r="I73" s="8">
        <v>6808</v>
      </c>
      <c r="J73" s="8">
        <v>7499</v>
      </c>
      <c r="K73" s="8">
        <f>Tabla1567937[[#This Row],[PRECIO CLIENTE]]-Tabla1567937[[#This Row],[CANTIDAD PUBLICA]]</f>
        <v>691</v>
      </c>
      <c r="L73" s="8">
        <f>Tabla1567937[[#This Row],[COMISION AGENCIA]]*0.05</f>
        <v>34.550000000000004</v>
      </c>
      <c r="M73" s="7"/>
      <c r="N73" s="79" t="s">
        <v>1058</v>
      </c>
      <c r="O73" s="7" t="s">
        <v>56</v>
      </c>
      <c r="P73" s="7"/>
    </row>
    <row r="74" spans="1:16" x14ac:dyDescent="0.25">
      <c r="A74" s="14">
        <v>44867</v>
      </c>
      <c r="B74" s="14">
        <v>44867</v>
      </c>
      <c r="C74" s="14">
        <v>44867</v>
      </c>
      <c r="D74" s="6">
        <v>44870</v>
      </c>
      <c r="E74" s="7"/>
      <c r="F74" s="7">
        <v>22494</v>
      </c>
      <c r="G74" s="8" t="s">
        <v>1059</v>
      </c>
      <c r="H74" s="158" t="s">
        <v>1060</v>
      </c>
      <c r="I74" s="8">
        <v>3057</v>
      </c>
      <c r="J74" s="8">
        <v>3465</v>
      </c>
      <c r="K74" s="8">
        <f>Tabla1567937[[#This Row],[PRECIO CLIENTE]]-Tabla1567937[[#This Row],[CANTIDAD PUBLICA]]</f>
        <v>408</v>
      </c>
      <c r="L74" s="8">
        <f>Tabla1567937[[#This Row],[COMISION AGENCIA]]*0.05</f>
        <v>20.400000000000002</v>
      </c>
      <c r="M74" s="7"/>
      <c r="N74" s="79" t="s">
        <v>1061</v>
      </c>
      <c r="O74" s="7" t="s">
        <v>56</v>
      </c>
      <c r="P74" s="7"/>
    </row>
    <row r="75" spans="1:16" x14ac:dyDescent="0.25">
      <c r="A75" s="14">
        <v>44867</v>
      </c>
      <c r="B75" s="14">
        <v>44867</v>
      </c>
      <c r="C75" s="14">
        <v>44867</v>
      </c>
      <c r="D75" s="6">
        <v>44881</v>
      </c>
      <c r="E75" s="6">
        <v>44888</v>
      </c>
      <c r="F75" s="7">
        <v>22504</v>
      </c>
      <c r="G75" s="8" t="s">
        <v>1062</v>
      </c>
      <c r="H75" s="8" t="s">
        <v>1063</v>
      </c>
      <c r="I75" s="8">
        <v>6461</v>
      </c>
      <c r="J75" s="8">
        <v>7065</v>
      </c>
      <c r="K75" s="8">
        <f>Tabla1567937[[#This Row],[PRECIO CLIENTE]]-Tabla1567937[[#This Row],[CANTIDAD PUBLICA]]</f>
        <v>604</v>
      </c>
      <c r="L75" s="8">
        <f>Tabla1567937[[#This Row],[COMISION AGENCIA]]*0.05</f>
        <v>30.200000000000003</v>
      </c>
      <c r="M75" s="7" t="s">
        <v>1064</v>
      </c>
      <c r="N75" s="78" t="s">
        <v>1065</v>
      </c>
      <c r="O75" s="7" t="s">
        <v>47</v>
      </c>
      <c r="P75" s="7"/>
    </row>
    <row r="76" spans="1:16" x14ac:dyDescent="0.25">
      <c r="A76" s="14">
        <v>44868</v>
      </c>
      <c r="B76" s="14">
        <v>44868</v>
      </c>
      <c r="C76" s="14">
        <v>44868</v>
      </c>
      <c r="D76" s="6">
        <v>44871</v>
      </c>
      <c r="E76" s="7"/>
      <c r="F76" s="7">
        <v>22515</v>
      </c>
      <c r="G76" s="84" t="s">
        <v>447</v>
      </c>
      <c r="H76" s="8" t="s">
        <v>1066</v>
      </c>
      <c r="I76" s="8">
        <v>1159</v>
      </c>
      <c r="J76" s="8">
        <v>1480</v>
      </c>
      <c r="K76" s="8">
        <f>Tabla1567937[[#This Row],[PRECIO CLIENTE]]-Tabla1567937[[#This Row],[CANTIDAD PUBLICA]]</f>
        <v>321</v>
      </c>
      <c r="L76" s="8">
        <f>Tabla1567937[[#This Row],[COMISION AGENCIA]]*0.05</f>
        <v>16.05</v>
      </c>
      <c r="M76" s="7"/>
      <c r="N76" s="79" t="s">
        <v>1067</v>
      </c>
      <c r="O76" s="7" t="s">
        <v>56</v>
      </c>
      <c r="P76" s="7"/>
    </row>
    <row r="77" spans="1:16" x14ac:dyDescent="0.25">
      <c r="A77" s="14">
        <v>44870</v>
      </c>
      <c r="B77" s="14">
        <v>44870</v>
      </c>
      <c r="C77" s="14">
        <v>44870</v>
      </c>
      <c r="D77" s="6">
        <v>44928</v>
      </c>
      <c r="E77" s="6">
        <v>44936</v>
      </c>
      <c r="F77" s="7" t="s">
        <v>877</v>
      </c>
      <c r="G77" s="8" t="s">
        <v>1068</v>
      </c>
      <c r="H77" s="158" t="s">
        <v>1069</v>
      </c>
      <c r="I77" s="8">
        <v>6636</v>
      </c>
      <c r="J77" s="8">
        <v>7630</v>
      </c>
      <c r="K77" s="8">
        <f>Tabla1567937[[#This Row],[PRECIO CLIENTE]]-Tabla1567937[[#This Row],[CANTIDAD PUBLICA]]</f>
        <v>994</v>
      </c>
      <c r="L77" s="8">
        <f>Tabla1567937[[#This Row],[COMISION AGENCIA]]*0.05</f>
        <v>49.7</v>
      </c>
      <c r="M77" s="7"/>
      <c r="N77" s="85" t="s">
        <v>1070</v>
      </c>
      <c r="O77" s="7" t="s">
        <v>47</v>
      </c>
      <c r="P77" s="7"/>
    </row>
    <row r="78" spans="1:16" x14ac:dyDescent="0.25">
      <c r="A78" s="14">
        <f>Tabla1567937[[#This Row],[FECHA IN]]-15</f>
        <v>44871</v>
      </c>
      <c r="B78" s="14">
        <v>44867</v>
      </c>
      <c r="C78" s="14">
        <v>44867</v>
      </c>
      <c r="D78" s="6">
        <v>44886</v>
      </c>
      <c r="E78" s="6">
        <v>44890</v>
      </c>
      <c r="F78" s="7" t="s">
        <v>1071</v>
      </c>
      <c r="G78" s="8" t="s">
        <v>1072</v>
      </c>
      <c r="H78" s="158" t="s">
        <v>1073</v>
      </c>
      <c r="I78" s="8">
        <v>15673</v>
      </c>
      <c r="J78" s="8">
        <v>13635</v>
      </c>
      <c r="K78" s="8">
        <f>Tabla1567937[[#This Row],[CANTIDAD PUBLICA]]*0.05</f>
        <v>783.65000000000009</v>
      </c>
      <c r="L78" s="8">
        <f>Tabla1567937[[#This Row],[COMISION AGENCIA]]*0.05</f>
        <v>39.182500000000005</v>
      </c>
      <c r="M78" s="7">
        <v>3481816352</v>
      </c>
      <c r="N78" s="7"/>
      <c r="O78" s="7"/>
      <c r="P78" s="7"/>
    </row>
    <row r="79" spans="1:16" x14ac:dyDescent="0.25">
      <c r="A79" s="14">
        <v>44874</v>
      </c>
      <c r="B79" s="14">
        <v>44874</v>
      </c>
      <c r="C79" s="14">
        <v>44874</v>
      </c>
      <c r="D79" s="6">
        <v>44881</v>
      </c>
      <c r="E79" s="7"/>
      <c r="F79" s="7" t="s">
        <v>877</v>
      </c>
      <c r="G79" s="8" t="s">
        <v>1074</v>
      </c>
      <c r="H79" s="158" t="s">
        <v>1075</v>
      </c>
      <c r="I79" s="8">
        <v>16608</v>
      </c>
      <c r="J79" s="8">
        <v>18180</v>
      </c>
      <c r="K79" s="8">
        <f>Tabla1567937[[#This Row],[CANTIDAD PUBLICA]]*0.05</f>
        <v>830.40000000000009</v>
      </c>
      <c r="L79" s="8">
        <f>Tabla1567937[[#This Row],[COMISION AGENCIA]]*0.05</f>
        <v>41.52000000000001</v>
      </c>
      <c r="M79" s="7"/>
      <c r="N79" s="7" t="s">
        <v>1076</v>
      </c>
      <c r="O79" s="7" t="s">
        <v>56</v>
      </c>
      <c r="P79" s="7"/>
    </row>
    <row r="80" spans="1:16" x14ac:dyDescent="0.25">
      <c r="A80" s="14">
        <v>44874</v>
      </c>
      <c r="B80" s="14">
        <v>44874</v>
      </c>
      <c r="C80" s="14">
        <v>44874</v>
      </c>
      <c r="D80" s="6">
        <v>44881</v>
      </c>
      <c r="E80" s="7"/>
      <c r="F80" s="7" t="s">
        <v>877</v>
      </c>
      <c r="G80" s="79" t="s">
        <v>1077</v>
      </c>
      <c r="H80" s="8" t="s">
        <v>1075</v>
      </c>
      <c r="I80" s="8">
        <v>16608</v>
      </c>
      <c r="J80" s="8">
        <v>18180</v>
      </c>
      <c r="K80" s="8">
        <f>Tabla1567937[[#This Row],[CANTIDAD PUBLICA]]*0.05</f>
        <v>830.40000000000009</v>
      </c>
      <c r="L80" s="8">
        <f>Tabla1567937[[#This Row],[COMISION AGENCIA]]*0.05</f>
        <v>41.52000000000001</v>
      </c>
      <c r="M80" s="7"/>
      <c r="N80" s="7" t="s">
        <v>1076</v>
      </c>
      <c r="O80" s="7" t="s">
        <v>56</v>
      </c>
      <c r="P80" s="7"/>
    </row>
    <row r="81" spans="1:16" x14ac:dyDescent="0.25">
      <c r="A81" s="14">
        <f>Tabla1567937[[#This Row],[FECHA IN]]-15</f>
        <v>44877</v>
      </c>
      <c r="B81" s="14">
        <v>44873</v>
      </c>
      <c r="C81" s="14">
        <v>44870</v>
      </c>
      <c r="D81" s="6">
        <v>44892</v>
      </c>
      <c r="E81" s="6">
        <v>44896</v>
      </c>
      <c r="F81" s="7" t="s">
        <v>1078</v>
      </c>
      <c r="G81" s="8" t="s">
        <v>1079</v>
      </c>
      <c r="H81" s="158" t="s">
        <v>941</v>
      </c>
      <c r="I81" s="8">
        <v>25278</v>
      </c>
      <c r="J81" s="8">
        <v>21990</v>
      </c>
      <c r="K81" s="8">
        <f>Tabla1567937[[#This Row],[CANTIDAD PUBLICA]]*0.05</f>
        <v>1263.9000000000001</v>
      </c>
      <c r="L81" s="8">
        <f>Tabla1567937[[#This Row],[COMISION AGENCIA]]*0.05</f>
        <v>63.195000000000007</v>
      </c>
      <c r="M81" s="7">
        <v>3485939878</v>
      </c>
      <c r="N81" s="7" t="s">
        <v>1080</v>
      </c>
      <c r="O81" s="7" t="s">
        <v>864</v>
      </c>
      <c r="P81" s="7"/>
    </row>
    <row r="82" spans="1:16" x14ac:dyDescent="0.25">
      <c r="A82" s="14">
        <f>Tabla1567937[[#This Row],[FECHA IN]]-15</f>
        <v>44878</v>
      </c>
      <c r="B82" s="14">
        <v>44883</v>
      </c>
      <c r="C82" s="14">
        <v>44883</v>
      </c>
      <c r="D82" s="6">
        <v>44893</v>
      </c>
      <c r="E82" s="6">
        <v>44897</v>
      </c>
      <c r="F82" s="7">
        <v>22697</v>
      </c>
      <c r="G82" s="8" t="s">
        <v>1081</v>
      </c>
      <c r="H82" s="158" t="s">
        <v>1082</v>
      </c>
      <c r="I82" s="8">
        <v>13699</v>
      </c>
      <c r="J82" s="8">
        <v>11920</v>
      </c>
      <c r="K82" s="8">
        <f>Tabla1567937[[#This Row],[CANTIDAD PUBLICA]]*0.05</f>
        <v>684.95</v>
      </c>
      <c r="L82" s="8">
        <f>Tabla1567937[[#This Row],[COMISION AGENCIA]]*0.05</f>
        <v>34.247500000000002</v>
      </c>
      <c r="M82" s="7"/>
      <c r="N82" s="7" t="s">
        <v>1083</v>
      </c>
      <c r="O82" s="7" t="s">
        <v>943</v>
      </c>
      <c r="P82" s="7"/>
    </row>
    <row r="83" spans="1:16" x14ac:dyDescent="0.25">
      <c r="A83" s="14">
        <f>Tabla1567937[[#This Row],[FECHA IN]]-15</f>
        <v>44880</v>
      </c>
      <c r="B83" s="14">
        <v>44864</v>
      </c>
      <c r="C83" s="14">
        <v>44835</v>
      </c>
      <c r="D83" s="6">
        <v>44895</v>
      </c>
      <c r="E83" s="6">
        <v>44898</v>
      </c>
      <c r="F83" s="7">
        <v>21942</v>
      </c>
      <c r="G83" s="8" t="s">
        <v>1084</v>
      </c>
      <c r="H83" s="158" t="s">
        <v>1085</v>
      </c>
      <c r="I83" s="8">
        <v>3478</v>
      </c>
      <c r="J83" s="8">
        <v>5300</v>
      </c>
      <c r="K83" s="8">
        <f>Tabla1567937[[#This Row],[PRECIO CLIENTE]]-Tabla1567937[[#This Row],[CANTIDAD PUBLICA]]</f>
        <v>1822</v>
      </c>
      <c r="L83" s="8"/>
      <c r="M83" s="7"/>
      <c r="N83" s="7"/>
      <c r="O83" s="7"/>
      <c r="P83" s="7"/>
    </row>
    <row r="84" spans="1:16" x14ac:dyDescent="0.25">
      <c r="A84" s="14">
        <f>Tabla1567937[[#This Row],[FECHA IN]]-15</f>
        <v>44880</v>
      </c>
      <c r="B84" s="14">
        <v>44864</v>
      </c>
      <c r="C84" s="14">
        <v>44835</v>
      </c>
      <c r="D84" s="6">
        <v>44895</v>
      </c>
      <c r="E84" s="6">
        <v>44898</v>
      </c>
      <c r="F84" s="7" t="s">
        <v>1086</v>
      </c>
      <c r="G84" s="8" t="s">
        <v>1084</v>
      </c>
      <c r="H84" s="8" t="s">
        <v>1087</v>
      </c>
      <c r="I84" s="8">
        <v>12365</v>
      </c>
      <c r="J84" s="8">
        <v>10760</v>
      </c>
      <c r="K84" s="8">
        <f>Tabla1567937[[#This Row],[CANTIDAD PUBLICA]]*AGENTES!D4</f>
        <v>618.24999999999989</v>
      </c>
      <c r="L84" s="8">
        <f>Tabla1567937[[#This Row],[COMISION AGENCIA]]*0.05</f>
        <v>30.912499999999994</v>
      </c>
      <c r="M84" s="7">
        <v>3487893621</v>
      </c>
      <c r="N84" s="7" t="s">
        <v>1088</v>
      </c>
      <c r="O84" s="7" t="s">
        <v>1089</v>
      </c>
      <c r="P84" s="7"/>
    </row>
    <row r="85" spans="1:16" x14ac:dyDescent="0.25">
      <c r="A85" s="14">
        <v>44880</v>
      </c>
      <c r="B85" s="14">
        <v>44880</v>
      </c>
      <c r="C85" s="14">
        <v>44880</v>
      </c>
      <c r="D85" s="6">
        <v>44930</v>
      </c>
      <c r="E85" s="6">
        <v>45314</v>
      </c>
      <c r="F85" s="7">
        <v>22654</v>
      </c>
      <c r="G85" s="8" t="s">
        <v>1090</v>
      </c>
      <c r="H85" s="8" t="s">
        <v>904</v>
      </c>
      <c r="I85" s="8">
        <v>21336</v>
      </c>
      <c r="J85" s="80">
        <v>22900</v>
      </c>
      <c r="K85" s="8">
        <f>Tabla1567937[[#This Row],[CANTIDAD PUBLICA]]*0.05</f>
        <v>1066.8</v>
      </c>
      <c r="L85" s="8">
        <f>Tabla1567937[[#This Row],[COMISION AGENCIA]]*0.05</f>
        <v>53.34</v>
      </c>
      <c r="M85" s="7">
        <v>3124795362</v>
      </c>
      <c r="N85" s="7" t="s">
        <v>1091</v>
      </c>
      <c r="O85" s="7" t="s">
        <v>56</v>
      </c>
      <c r="P85" s="7"/>
    </row>
    <row r="86" spans="1:16" x14ac:dyDescent="0.25">
      <c r="A86" s="14">
        <f>Tabla1567937[[#This Row],[FECHA IN]]-15</f>
        <v>44882</v>
      </c>
      <c r="B86" s="14">
        <v>44878</v>
      </c>
      <c r="C86" s="14">
        <v>44835</v>
      </c>
      <c r="D86" s="6">
        <v>44897</v>
      </c>
      <c r="E86" s="6">
        <v>44901</v>
      </c>
      <c r="F86" s="7" t="s">
        <v>1092</v>
      </c>
      <c r="G86" s="7" t="s">
        <v>1093</v>
      </c>
      <c r="H86" s="7" t="s">
        <v>1094</v>
      </c>
      <c r="I86" s="8">
        <v>18215</v>
      </c>
      <c r="J86" s="8">
        <v>15850</v>
      </c>
      <c r="K86" s="8">
        <f>Tabla1567937[[#This Row],[CANTIDAD PUBLICA]]*0.05</f>
        <v>910.75</v>
      </c>
      <c r="L86" s="8">
        <f>Tabla1567937[[#This Row],[COMISION AGENCIA]]*0.05</f>
        <v>45.537500000000001</v>
      </c>
      <c r="M86" s="7">
        <v>3481084262</v>
      </c>
      <c r="N86" s="7" t="s">
        <v>1095</v>
      </c>
      <c r="O86" s="7" t="s">
        <v>864</v>
      </c>
      <c r="P86" s="7"/>
    </row>
    <row r="87" spans="1:16" x14ac:dyDescent="0.25">
      <c r="A87" s="14">
        <f>Tabla1567937[[#This Row],[FECHA IN]]-15</f>
        <v>44882</v>
      </c>
      <c r="B87" s="14">
        <v>44878</v>
      </c>
      <c r="C87" s="14">
        <v>44835</v>
      </c>
      <c r="D87" s="6">
        <v>44897</v>
      </c>
      <c r="E87" s="6">
        <v>44901</v>
      </c>
      <c r="F87" s="143" t="s">
        <v>1096</v>
      </c>
      <c r="G87" s="7" t="s">
        <v>1097</v>
      </c>
      <c r="H87" s="7" t="s">
        <v>1094</v>
      </c>
      <c r="I87" s="8">
        <v>18215</v>
      </c>
      <c r="J87" s="8">
        <v>15850</v>
      </c>
      <c r="K87" s="8">
        <f>Tabla1567937[[#This Row],[CANTIDAD PUBLICA]]*0.05</f>
        <v>910.75</v>
      </c>
      <c r="L87" s="8">
        <f>Tabla1567937[[#This Row],[COMISION AGENCIA]]*0.05</f>
        <v>45.537500000000001</v>
      </c>
      <c r="M87" s="7">
        <v>3481084262</v>
      </c>
      <c r="N87" s="7" t="s">
        <v>1095</v>
      </c>
      <c r="O87" s="7" t="s">
        <v>864</v>
      </c>
      <c r="P87" s="7"/>
    </row>
    <row r="88" spans="1:16" x14ac:dyDescent="0.25">
      <c r="A88" s="14">
        <f>Tabla1567937[[#This Row],[FECHA IN]]-15</f>
        <v>44882</v>
      </c>
      <c r="B88" s="14">
        <v>44878</v>
      </c>
      <c r="C88" s="14">
        <v>44835</v>
      </c>
      <c r="D88" s="6">
        <v>44897</v>
      </c>
      <c r="E88" s="6">
        <v>44901</v>
      </c>
      <c r="F88" s="142" t="s">
        <v>1096</v>
      </c>
      <c r="G88" s="7" t="s">
        <v>1098</v>
      </c>
      <c r="H88" s="7" t="s">
        <v>1094</v>
      </c>
      <c r="I88" s="8">
        <v>18215</v>
      </c>
      <c r="J88" s="8">
        <v>15850</v>
      </c>
      <c r="K88" s="8">
        <f>Tabla1567937[[#This Row],[CANTIDAD PUBLICA]]*0.05</f>
        <v>910.75</v>
      </c>
      <c r="L88" s="8">
        <f>Tabla1567937[[#This Row],[COMISION AGENCIA]]*0.05</f>
        <v>45.537500000000001</v>
      </c>
      <c r="M88" s="7">
        <v>3481084262</v>
      </c>
      <c r="N88" s="7" t="s">
        <v>1099</v>
      </c>
      <c r="O88" s="7" t="s">
        <v>864</v>
      </c>
      <c r="P88" s="7"/>
    </row>
    <row r="89" spans="1:16" x14ac:dyDescent="0.25">
      <c r="A89" s="14">
        <f>Tabla1567937[[#This Row],[FECHA IN]]-15</f>
        <v>44882</v>
      </c>
      <c r="B89" s="14">
        <v>44878</v>
      </c>
      <c r="C89" s="14">
        <v>44835</v>
      </c>
      <c r="D89" s="6">
        <v>44897</v>
      </c>
      <c r="E89" s="6">
        <v>44901</v>
      </c>
      <c r="F89" s="143" t="s">
        <v>1096</v>
      </c>
      <c r="G89" s="7" t="s">
        <v>1100</v>
      </c>
      <c r="H89" s="7" t="s">
        <v>1094</v>
      </c>
      <c r="I89" s="8">
        <v>21420</v>
      </c>
      <c r="J89" s="8">
        <v>18635</v>
      </c>
      <c r="K89" s="8">
        <f>Tabla1567937[[#This Row],[CANTIDAD PUBLICA]]*0.05</f>
        <v>1071</v>
      </c>
      <c r="L89" s="8">
        <f>Tabla1567937[[#This Row],[COMISION AGENCIA]]*0.05</f>
        <v>53.550000000000004</v>
      </c>
      <c r="M89" s="7">
        <v>3481084262</v>
      </c>
      <c r="N89" s="7" t="s">
        <v>1101</v>
      </c>
      <c r="O89" s="7" t="s">
        <v>864</v>
      </c>
      <c r="P89" s="7"/>
    </row>
    <row r="90" spans="1:16" x14ac:dyDescent="0.25">
      <c r="A90" s="14">
        <f>Tabla1567937[[#This Row],[FECHA IN]]-15</f>
        <v>44882</v>
      </c>
      <c r="B90" s="14">
        <v>44878</v>
      </c>
      <c r="C90" s="14">
        <v>44835</v>
      </c>
      <c r="D90" s="6">
        <v>44897</v>
      </c>
      <c r="E90" s="6">
        <v>44901</v>
      </c>
      <c r="F90" s="142" t="s">
        <v>1096</v>
      </c>
      <c r="G90" s="7" t="s">
        <v>1102</v>
      </c>
      <c r="H90" s="7" t="s">
        <v>1094</v>
      </c>
      <c r="I90" s="8">
        <v>18215</v>
      </c>
      <c r="J90" s="8">
        <v>15850</v>
      </c>
      <c r="K90" s="8">
        <f>Tabla1567937[[#This Row],[CANTIDAD PUBLICA]]*0.05</f>
        <v>910.75</v>
      </c>
      <c r="L90" s="8">
        <f>Tabla1567937[[#This Row],[COMISION AGENCIA]]*0.05</f>
        <v>45.537500000000001</v>
      </c>
      <c r="M90" s="7">
        <v>3481084262</v>
      </c>
      <c r="N90" s="7" t="s">
        <v>1103</v>
      </c>
      <c r="O90" s="7" t="s">
        <v>864</v>
      </c>
      <c r="P90" s="7"/>
    </row>
    <row r="91" spans="1:16" x14ac:dyDescent="0.25">
      <c r="A91" s="14">
        <f>Tabla1567937[[#This Row],[FECHA IN]]-15</f>
        <v>44882</v>
      </c>
      <c r="B91" s="14">
        <v>44878</v>
      </c>
      <c r="C91" s="14">
        <v>44835</v>
      </c>
      <c r="D91" s="6">
        <v>44897</v>
      </c>
      <c r="E91" s="6">
        <v>44901</v>
      </c>
      <c r="F91" s="143" t="s">
        <v>1096</v>
      </c>
      <c r="G91" s="7" t="s">
        <v>1104</v>
      </c>
      <c r="H91" s="7" t="s">
        <v>1094</v>
      </c>
      <c r="I91" s="8">
        <v>24626</v>
      </c>
      <c r="J91" s="8">
        <v>21425</v>
      </c>
      <c r="K91" s="8">
        <f>Tabla1567937[[#This Row],[CANTIDAD PUBLICA]]*0.05</f>
        <v>1231.3000000000002</v>
      </c>
      <c r="L91" s="8">
        <f>Tabla1567937[[#This Row],[COMISION AGENCIA]]*0.05</f>
        <v>61.565000000000012</v>
      </c>
      <c r="M91" s="7">
        <v>3481084262</v>
      </c>
      <c r="N91" s="7" t="s">
        <v>1105</v>
      </c>
      <c r="O91" s="7" t="s">
        <v>864</v>
      </c>
      <c r="P91" s="7"/>
    </row>
    <row r="92" spans="1:16" x14ac:dyDescent="0.25">
      <c r="A92" s="14">
        <f>Tabla1567937[[#This Row],[FECHA IN]]-15</f>
        <v>44882</v>
      </c>
      <c r="B92" s="14">
        <v>44878</v>
      </c>
      <c r="C92" s="14">
        <v>44835</v>
      </c>
      <c r="D92" s="6">
        <v>44897</v>
      </c>
      <c r="E92" s="6">
        <v>44901</v>
      </c>
      <c r="F92" s="142" t="s">
        <v>1096</v>
      </c>
      <c r="G92" s="7" t="s">
        <v>1106</v>
      </c>
      <c r="H92" s="7" t="s">
        <v>1094</v>
      </c>
      <c r="I92" s="8">
        <v>21420</v>
      </c>
      <c r="J92" s="8">
        <v>18635</v>
      </c>
      <c r="K92" s="8">
        <f>Tabla1567937[[#This Row],[CANTIDAD PUBLICA]]*0.05</f>
        <v>1071</v>
      </c>
      <c r="L92" s="8">
        <f>Tabla1567937[[#This Row],[COMISION AGENCIA]]*0.05</f>
        <v>53.550000000000004</v>
      </c>
      <c r="M92" s="7">
        <v>3481084262</v>
      </c>
      <c r="N92" s="7" t="s">
        <v>1107</v>
      </c>
      <c r="O92" s="7" t="s">
        <v>864</v>
      </c>
      <c r="P92" s="7"/>
    </row>
    <row r="93" spans="1:16" x14ac:dyDescent="0.25">
      <c r="A93" s="14">
        <f>Tabla1567937[[#This Row],[FECHA IN]]-15</f>
        <v>44882</v>
      </c>
      <c r="B93" s="14">
        <v>44878</v>
      </c>
      <c r="C93" s="14">
        <v>44835</v>
      </c>
      <c r="D93" s="6">
        <v>44897</v>
      </c>
      <c r="E93" s="6">
        <v>44901</v>
      </c>
      <c r="F93" s="143" t="s">
        <v>1096</v>
      </c>
      <c r="G93" s="7" t="s">
        <v>1108</v>
      </c>
      <c r="H93" s="7" t="s">
        <v>1094</v>
      </c>
      <c r="I93" s="8">
        <v>21420</v>
      </c>
      <c r="J93" s="8">
        <v>18635</v>
      </c>
      <c r="K93" s="8">
        <f>Tabla1567937[[#This Row],[CANTIDAD PUBLICA]]*0.05</f>
        <v>1071</v>
      </c>
      <c r="L93" s="8">
        <f>Tabla1567937[[#This Row],[COMISION AGENCIA]]*0.05</f>
        <v>53.550000000000004</v>
      </c>
      <c r="M93" s="7">
        <v>3481084262</v>
      </c>
      <c r="N93" s="7" t="s">
        <v>1109</v>
      </c>
      <c r="O93" s="7" t="s">
        <v>864</v>
      </c>
      <c r="P93" s="7"/>
    </row>
    <row r="94" spans="1:16" x14ac:dyDescent="0.25">
      <c r="A94" s="14">
        <f>Tabla1567937[[#This Row],[FECHA IN]]-15</f>
        <v>44882</v>
      </c>
      <c r="B94" s="14">
        <v>44893</v>
      </c>
      <c r="C94" s="14">
        <v>44893</v>
      </c>
      <c r="D94" s="6">
        <v>44897</v>
      </c>
      <c r="E94" s="6">
        <v>44901</v>
      </c>
      <c r="F94" s="142" t="s">
        <v>1110</v>
      </c>
      <c r="G94" s="8" t="s">
        <v>1111</v>
      </c>
      <c r="H94" s="158" t="s">
        <v>1112</v>
      </c>
      <c r="I94" s="8">
        <v>5400</v>
      </c>
      <c r="J94" s="8">
        <v>9450</v>
      </c>
      <c r="K94" s="8">
        <f>Tabla1567937[[#This Row],[PRECIO CLIENTE]]-Tabla1567937[[#This Row],[CANTIDAD PUBLICA]]</f>
        <v>4050</v>
      </c>
      <c r="L94" s="8">
        <f>Tabla1567937[[#This Row],[COMISION AGENCIA]]*0.05</f>
        <v>202.5</v>
      </c>
      <c r="M94" s="7">
        <v>3481084262</v>
      </c>
      <c r="N94" s="79" t="s">
        <v>1113</v>
      </c>
      <c r="O94" s="7" t="s">
        <v>1114</v>
      </c>
      <c r="P94" s="7"/>
    </row>
    <row r="95" spans="1:16" x14ac:dyDescent="0.25">
      <c r="A95" s="14">
        <v>44884</v>
      </c>
      <c r="B95" s="14">
        <v>44884</v>
      </c>
      <c r="C95" s="14">
        <v>44884</v>
      </c>
      <c r="D95" s="6">
        <v>45022</v>
      </c>
      <c r="E95" s="6">
        <v>45028</v>
      </c>
      <c r="F95" s="143">
        <v>22711</v>
      </c>
      <c r="G95" s="91" t="s">
        <v>1115</v>
      </c>
      <c r="H95" s="158" t="s">
        <v>1116</v>
      </c>
      <c r="I95" s="8">
        <v>16030</v>
      </c>
      <c r="J95" s="8">
        <v>16635</v>
      </c>
      <c r="K95" s="8">
        <f>Tabla1567937[[#This Row],[PRECIO CLIENTE]]-Tabla1567937[[#This Row],[CANTIDAD PUBLICA]]</f>
        <v>605</v>
      </c>
      <c r="L95" s="8">
        <f>Tabla1567937[[#This Row],[COMISION AGENCIA]]*0.05</f>
        <v>30.25</v>
      </c>
      <c r="M95" s="7">
        <v>3481345586</v>
      </c>
      <c r="N95" s="7" t="s">
        <v>1117</v>
      </c>
      <c r="O95" s="7" t="s">
        <v>56</v>
      </c>
      <c r="P95" s="7"/>
    </row>
    <row r="96" spans="1:16" x14ac:dyDescent="0.25">
      <c r="A96" s="14">
        <f>Tabla1567937[[#This Row],[FECHA IN]]-15</f>
        <v>44885</v>
      </c>
      <c r="B96" s="14">
        <v>44884</v>
      </c>
      <c r="C96" s="14">
        <v>44867</v>
      </c>
      <c r="D96" s="6">
        <v>44900</v>
      </c>
      <c r="E96" s="6">
        <v>44903</v>
      </c>
      <c r="F96" s="142" t="s">
        <v>1118</v>
      </c>
      <c r="G96" s="86" t="s">
        <v>1119</v>
      </c>
      <c r="H96" s="158" t="s">
        <v>1120</v>
      </c>
      <c r="I96" s="8">
        <v>18876</v>
      </c>
      <c r="J96" s="8">
        <v>16985</v>
      </c>
      <c r="K96" s="8">
        <f>Tabla1567937[[#This Row],[CANTIDAD PUBLICA]]*AGENTES!D3</f>
        <v>981.55199999999979</v>
      </c>
      <c r="L96" s="8">
        <f>Tabla1567937[[#This Row],[COMISION AGENCIA]]*0.05</f>
        <v>49.07759999999999</v>
      </c>
      <c r="M96" s="7">
        <v>3132587510</v>
      </c>
      <c r="N96" s="7">
        <v>10026334</v>
      </c>
      <c r="O96" s="7" t="s">
        <v>1121</v>
      </c>
      <c r="P96" s="7"/>
    </row>
    <row r="97" spans="1:16" x14ac:dyDescent="0.25">
      <c r="A97" s="14">
        <f>Tabla1567937[[#This Row],[FECHA IN]]-15</f>
        <v>44891</v>
      </c>
      <c r="B97" s="14">
        <v>44893</v>
      </c>
      <c r="C97" s="14">
        <v>44893</v>
      </c>
      <c r="D97" s="6">
        <v>44906</v>
      </c>
      <c r="E97" s="6">
        <v>44909</v>
      </c>
      <c r="F97" s="143">
        <v>22812</v>
      </c>
      <c r="G97" s="8" t="s">
        <v>1122</v>
      </c>
      <c r="H97" s="158" t="s">
        <v>1123</v>
      </c>
      <c r="I97" s="8">
        <v>15681</v>
      </c>
      <c r="J97" s="8">
        <v>13645</v>
      </c>
      <c r="K97" s="8">
        <f>Tabla1567937[[#This Row],[CANTIDAD PUBLICA]]*0.05</f>
        <v>784.05000000000007</v>
      </c>
      <c r="L97" s="8">
        <f>Tabla1567937[[#This Row],[COMISION AGENCIA]]*0.05</f>
        <v>39.202500000000008</v>
      </c>
      <c r="M97" s="7">
        <v>3481047077</v>
      </c>
      <c r="N97" s="7"/>
      <c r="O97" s="7" t="s">
        <v>1124</v>
      </c>
      <c r="P97" s="7"/>
    </row>
    <row r="98" spans="1:16" x14ac:dyDescent="0.25">
      <c r="A98" s="87">
        <f>Tabla1567937[[#This Row],[FECHA IN]]-15</f>
        <v>44892</v>
      </c>
      <c r="B98" s="87">
        <v>44851</v>
      </c>
      <c r="C98" s="88">
        <v>44849</v>
      </c>
      <c r="D98" s="88">
        <v>44907</v>
      </c>
      <c r="E98" s="87">
        <v>44911</v>
      </c>
      <c r="F98" s="118"/>
      <c r="G98" s="89" t="s">
        <v>1125</v>
      </c>
      <c r="H98" s="168" t="s">
        <v>1126</v>
      </c>
      <c r="I98" s="89"/>
      <c r="J98" s="89"/>
      <c r="K98" s="89"/>
      <c r="L98" s="89"/>
      <c r="M98" s="89"/>
      <c r="N98" s="89"/>
      <c r="O98" s="90"/>
      <c r="P98" s="90" t="s">
        <v>418</v>
      </c>
    </row>
    <row r="99" spans="1:16" x14ac:dyDescent="0.25">
      <c r="A99" s="14">
        <f>Tabla1567937[[#This Row],[FECHA IN]]-15</f>
        <v>44892</v>
      </c>
      <c r="B99" s="14">
        <v>44851</v>
      </c>
      <c r="C99" s="82">
        <v>44849</v>
      </c>
      <c r="D99" s="59">
        <v>44907</v>
      </c>
      <c r="E99" s="6">
        <v>44911</v>
      </c>
      <c r="F99" s="143">
        <v>22870</v>
      </c>
      <c r="G99" s="8" t="s">
        <v>1127</v>
      </c>
      <c r="H99" s="158" t="s">
        <v>1126</v>
      </c>
      <c r="I99" s="8">
        <v>19240</v>
      </c>
      <c r="J99" s="8">
        <v>16740</v>
      </c>
      <c r="K99" s="8">
        <f>Tabla1567937[[#This Row],[CANTIDAD PUBLICA]]*0.05</f>
        <v>962</v>
      </c>
      <c r="L99" s="8">
        <f>Tabla1567937[[#This Row],[COMISION AGENCIA]]*0.05</f>
        <v>48.1</v>
      </c>
      <c r="M99" s="8" t="s">
        <v>1128</v>
      </c>
      <c r="N99" s="8" t="s">
        <v>1129</v>
      </c>
      <c r="O99" s="9" t="s">
        <v>1130</v>
      </c>
      <c r="P99" s="9"/>
    </row>
    <row r="100" spans="1:16" x14ac:dyDescent="0.25">
      <c r="A100" s="14">
        <f>Tabla1567937[[#This Row],[FECHA IN]]-15</f>
        <v>44895</v>
      </c>
      <c r="B100" s="14">
        <v>44898</v>
      </c>
      <c r="C100" s="14">
        <v>44898</v>
      </c>
      <c r="D100" s="6">
        <v>44910</v>
      </c>
      <c r="E100" s="6">
        <v>44913</v>
      </c>
      <c r="F100" s="142" t="s">
        <v>1131</v>
      </c>
      <c r="G100" s="8" t="s">
        <v>1132</v>
      </c>
      <c r="H100" s="8" t="s">
        <v>1133</v>
      </c>
      <c r="I100" s="8">
        <v>17117</v>
      </c>
      <c r="J100" s="8">
        <v>14890</v>
      </c>
      <c r="K100" s="8">
        <f>Tabla1567937[[#This Row],[CANTIDAD PUBLICA]]*AGENTES!D4</f>
        <v>855.8499999999998</v>
      </c>
      <c r="L100" s="8">
        <f>Tabla1567937[[#This Row],[COMISION AGENCIA]]*0.05</f>
        <v>42.79249999999999</v>
      </c>
      <c r="M100" s="7">
        <v>3481351472</v>
      </c>
      <c r="N100" s="7" t="s">
        <v>1134</v>
      </c>
      <c r="O100" s="7" t="s">
        <v>864</v>
      </c>
      <c r="P100" s="7"/>
    </row>
    <row r="101" spans="1:16" x14ac:dyDescent="0.25">
      <c r="A101" s="14">
        <f>Tabla1567937[[#This Row],[FECHA IN]]-15</f>
        <v>44895</v>
      </c>
      <c r="B101" s="14">
        <v>44898</v>
      </c>
      <c r="C101" s="14">
        <v>44898</v>
      </c>
      <c r="D101" s="6">
        <v>44910</v>
      </c>
      <c r="E101" s="6">
        <v>44913</v>
      </c>
      <c r="F101" s="143" t="s">
        <v>1131</v>
      </c>
      <c r="G101" s="91" t="s">
        <v>1135</v>
      </c>
      <c r="H101" s="8" t="s">
        <v>1133</v>
      </c>
      <c r="I101" s="8">
        <v>17117</v>
      </c>
      <c r="J101" s="8">
        <v>14890</v>
      </c>
      <c r="K101" s="8">
        <f>Tabla1567937[[#This Row],[CANTIDAD PUBLICA]]*AGENTES!D4</f>
        <v>855.8499999999998</v>
      </c>
      <c r="L101" s="8">
        <f>Tabla1567937[[#This Row],[COMISION AGENCIA]]*0.05</f>
        <v>42.79249999999999</v>
      </c>
      <c r="M101" s="7">
        <v>3481351472</v>
      </c>
      <c r="N101" s="7" t="s">
        <v>1136</v>
      </c>
      <c r="O101" s="7" t="s">
        <v>864</v>
      </c>
      <c r="P101" s="7"/>
    </row>
    <row r="102" spans="1:16" x14ac:dyDescent="0.25">
      <c r="A102" s="14">
        <f>Tabla1567937[[#This Row],[FECHA IN]]-15</f>
        <v>44895</v>
      </c>
      <c r="B102" s="14">
        <v>44898</v>
      </c>
      <c r="C102" s="14">
        <v>44898</v>
      </c>
      <c r="D102" s="6">
        <v>44910</v>
      </c>
      <c r="E102" s="6">
        <v>44913</v>
      </c>
      <c r="F102" s="142" t="s">
        <v>1131</v>
      </c>
      <c r="G102" s="91" t="s">
        <v>1137</v>
      </c>
      <c r="H102" s="8" t="s">
        <v>1133</v>
      </c>
      <c r="I102" s="8">
        <v>17117</v>
      </c>
      <c r="J102" s="8">
        <v>14890</v>
      </c>
      <c r="K102" s="8">
        <f>Tabla1567937[[#This Row],[CANTIDAD PUBLICA]]*AGENTES!D4</f>
        <v>855.8499999999998</v>
      </c>
      <c r="L102" s="8">
        <f>Tabla1567937[[#This Row],[COMISION AGENCIA]]*0.05</f>
        <v>42.79249999999999</v>
      </c>
      <c r="M102" s="7">
        <v>3481351472</v>
      </c>
      <c r="N102" s="7" t="s">
        <v>1138</v>
      </c>
      <c r="O102" s="7" t="s">
        <v>864</v>
      </c>
      <c r="P102" s="7"/>
    </row>
    <row r="103" spans="1:16" x14ac:dyDescent="0.25">
      <c r="A103" s="14">
        <v>44898</v>
      </c>
      <c r="B103" s="14">
        <v>44898</v>
      </c>
      <c r="C103" s="14">
        <v>44898</v>
      </c>
      <c r="D103" s="6">
        <v>45018</v>
      </c>
      <c r="E103" s="6">
        <v>45031</v>
      </c>
      <c r="F103" s="143">
        <v>22855</v>
      </c>
      <c r="G103" s="8" t="s">
        <v>1139</v>
      </c>
      <c r="H103" s="158" t="s">
        <v>1140</v>
      </c>
      <c r="I103" s="8">
        <v>7934</v>
      </c>
      <c r="J103" s="8">
        <v>8455</v>
      </c>
      <c r="K103" s="8">
        <f>Tabla1567937[[#This Row],[PRECIO CLIENTE]]-Tabla1567937[[#This Row],[CANTIDAD PUBLICA]]</f>
        <v>521</v>
      </c>
      <c r="L103" s="8">
        <f>Tabla1567937[[#This Row],[COMISION AGENCIA]]*0.05</f>
        <v>26.05</v>
      </c>
      <c r="M103" s="7"/>
      <c r="N103" s="7" t="s">
        <v>1141</v>
      </c>
      <c r="O103" s="7" t="s">
        <v>56</v>
      </c>
      <c r="P103" s="7"/>
    </row>
    <row r="104" spans="1:16" x14ac:dyDescent="0.25">
      <c r="A104" s="14">
        <f>Tabla1567937[[#This Row],[FECHA IN]]-15</f>
        <v>44899</v>
      </c>
      <c r="B104" s="14">
        <v>44893</v>
      </c>
      <c r="C104" s="14">
        <v>44872</v>
      </c>
      <c r="D104" s="6">
        <v>44914</v>
      </c>
      <c r="E104" s="6">
        <v>44917</v>
      </c>
      <c r="F104" s="7">
        <v>22890</v>
      </c>
      <c r="G104" s="91" t="s">
        <v>1142</v>
      </c>
      <c r="H104" s="8" t="s">
        <v>1143</v>
      </c>
      <c r="I104" s="8">
        <v>35516</v>
      </c>
      <c r="J104" s="8">
        <v>32330</v>
      </c>
      <c r="K104" s="8">
        <f>Tabla1567937[[#This Row],[CANTIDAD PUBLICA]]*0.05</f>
        <v>1775.8000000000002</v>
      </c>
      <c r="L104" s="8">
        <f>Tabla1567937[[#This Row],[COMISION AGENCIA]]*0.05</f>
        <v>88.79000000000002</v>
      </c>
      <c r="M104" s="7">
        <v>5546075919</v>
      </c>
      <c r="N104" s="7" t="s">
        <v>1144</v>
      </c>
      <c r="O104" s="7" t="s">
        <v>864</v>
      </c>
      <c r="P104" s="7"/>
    </row>
    <row r="105" spans="1:16" x14ac:dyDescent="0.25">
      <c r="A105" s="14">
        <v>44900</v>
      </c>
      <c r="B105" s="14">
        <v>44900</v>
      </c>
      <c r="C105" s="14">
        <v>44900</v>
      </c>
      <c r="D105" s="6">
        <v>44910</v>
      </c>
      <c r="E105" s="6">
        <v>44913</v>
      </c>
      <c r="F105" s="7">
        <v>22868</v>
      </c>
      <c r="G105" s="8" t="s">
        <v>1145</v>
      </c>
      <c r="H105" s="158" t="s">
        <v>1133</v>
      </c>
      <c r="I105" s="8">
        <v>32370</v>
      </c>
      <c r="J105" s="8">
        <v>28165</v>
      </c>
      <c r="K105" s="8">
        <f>Tabla1567937[[#This Row],[CANTIDAD PUBLICA]]*0.05</f>
        <v>1618.5</v>
      </c>
      <c r="L105" s="8">
        <f>Tabla1567937[[#This Row],[COMISION AGENCIA]]*0.05</f>
        <v>80.925000000000011</v>
      </c>
      <c r="M105" s="7">
        <v>3481351472</v>
      </c>
      <c r="N105" s="7" t="s">
        <v>1146</v>
      </c>
      <c r="O105" s="7" t="s">
        <v>943</v>
      </c>
      <c r="P105" s="7"/>
    </row>
    <row r="106" spans="1:16" x14ac:dyDescent="0.25">
      <c r="A106" s="14">
        <v>44901</v>
      </c>
      <c r="B106" s="14">
        <v>44901</v>
      </c>
      <c r="C106" s="14">
        <v>44901</v>
      </c>
      <c r="D106" s="6">
        <v>44925</v>
      </c>
      <c r="E106" s="6">
        <v>44940</v>
      </c>
      <c r="F106" s="142">
        <v>22892</v>
      </c>
      <c r="G106" s="8" t="s">
        <v>1147</v>
      </c>
      <c r="H106" s="158" t="s">
        <v>1148</v>
      </c>
      <c r="I106" s="8">
        <v>29545</v>
      </c>
      <c r="J106" s="8">
        <v>33330</v>
      </c>
      <c r="K106" s="8">
        <f>Tabla1567937[[#This Row],[PRECIO CLIENTE]]-Tabla1567937[[#This Row],[CANTIDAD PUBLICA]]</f>
        <v>3785</v>
      </c>
      <c r="L106" s="8">
        <f>Tabla1567937[[#This Row],[COMISION AGENCIA]]*0.05</f>
        <v>189.25</v>
      </c>
      <c r="M106" s="7">
        <v>3481083277</v>
      </c>
      <c r="N106" s="7" t="s">
        <v>1149</v>
      </c>
      <c r="O106" s="7" t="s">
        <v>56</v>
      </c>
      <c r="P106" s="7"/>
    </row>
    <row r="107" spans="1:16" x14ac:dyDescent="0.25">
      <c r="A107" s="14">
        <v>44908</v>
      </c>
      <c r="B107" s="14">
        <v>44908</v>
      </c>
      <c r="C107" s="14">
        <v>44908</v>
      </c>
      <c r="D107" s="6">
        <v>44914</v>
      </c>
      <c r="E107" s="7"/>
      <c r="F107" s="143">
        <v>22933</v>
      </c>
      <c r="G107" s="8" t="s">
        <v>1150</v>
      </c>
      <c r="H107" s="158" t="s">
        <v>1151</v>
      </c>
      <c r="I107" s="8">
        <v>4364</v>
      </c>
      <c r="J107" s="8">
        <v>5565</v>
      </c>
      <c r="K107" s="8">
        <f>Tabla1567937[[#This Row],[PRECIO CLIENTE]]-Tabla1567937[[#This Row],[CANTIDAD PUBLICA]]</f>
        <v>1201</v>
      </c>
      <c r="L107" s="8">
        <f>Tabla1567937[[#This Row],[COMISION AGENCIA]]*0.05</f>
        <v>60.050000000000004</v>
      </c>
      <c r="M107" s="7"/>
      <c r="N107" s="7" t="s">
        <v>1152</v>
      </c>
      <c r="O107" s="7" t="s">
        <v>56</v>
      </c>
      <c r="P107" s="7"/>
    </row>
    <row r="108" spans="1:16" x14ac:dyDescent="0.25">
      <c r="A108" s="14">
        <v>44908</v>
      </c>
      <c r="B108" s="14">
        <v>44908</v>
      </c>
      <c r="C108" s="14">
        <v>44908</v>
      </c>
      <c r="D108" s="6">
        <v>44949</v>
      </c>
      <c r="E108" s="7"/>
      <c r="F108" s="142">
        <v>22934</v>
      </c>
      <c r="G108" s="8" t="s">
        <v>1150</v>
      </c>
      <c r="H108" s="158" t="s">
        <v>1153</v>
      </c>
      <c r="I108" s="8">
        <v>2092</v>
      </c>
      <c r="J108" s="8">
        <v>2760</v>
      </c>
      <c r="K108" s="8">
        <f>Tabla1567937[[#This Row],[PRECIO CLIENTE]]-Tabla1567937[[#This Row],[CANTIDAD PUBLICA]]</f>
        <v>668</v>
      </c>
      <c r="L108" s="8">
        <f>Tabla1567937[[#This Row],[COMISION AGENCIA]]*0.05</f>
        <v>33.4</v>
      </c>
      <c r="M108" s="7"/>
      <c r="N108" s="7" t="s">
        <v>1154</v>
      </c>
      <c r="O108" s="7" t="s">
        <v>56</v>
      </c>
      <c r="P108" s="7"/>
    </row>
    <row r="109" spans="1:16" x14ac:dyDescent="0.25">
      <c r="A109" s="14">
        <v>44917</v>
      </c>
      <c r="B109" s="14">
        <v>44917</v>
      </c>
      <c r="C109" s="14">
        <v>44917</v>
      </c>
      <c r="D109" s="6">
        <v>44938</v>
      </c>
      <c r="E109" s="7"/>
      <c r="F109" s="143">
        <v>23003</v>
      </c>
      <c r="G109" s="8" t="s">
        <v>1155</v>
      </c>
      <c r="H109" s="158" t="s">
        <v>969</v>
      </c>
      <c r="I109" s="8">
        <v>2033</v>
      </c>
      <c r="J109" s="8">
        <v>2400</v>
      </c>
      <c r="K109" s="8">
        <f>Tabla1567937[[#This Row],[PRECIO CLIENTE]]-Tabla1567937[[#This Row],[CANTIDAD PUBLICA]]</f>
        <v>367</v>
      </c>
      <c r="L109" s="8">
        <f>Tabla1567937[[#This Row],[COMISION AGENCIA]]*0.05</f>
        <v>18.350000000000001</v>
      </c>
      <c r="M109" s="7"/>
      <c r="N109" s="7" t="s">
        <v>1156</v>
      </c>
      <c r="O109" s="7" t="s">
        <v>56</v>
      </c>
      <c r="P109" s="7"/>
    </row>
    <row r="110" spans="1:16" x14ac:dyDescent="0.25">
      <c r="A110" s="14">
        <f>Tabla1567937[[#This Row],[FECHA IN]]-15</f>
        <v>44920</v>
      </c>
      <c r="B110" s="14">
        <v>44886</v>
      </c>
      <c r="C110" s="14">
        <v>44884</v>
      </c>
      <c r="D110" s="6">
        <v>44935</v>
      </c>
      <c r="E110" s="6">
        <v>44938</v>
      </c>
      <c r="F110" s="142" t="s">
        <v>1157</v>
      </c>
      <c r="G110" s="8" t="s">
        <v>1158</v>
      </c>
      <c r="H110" s="158" t="s">
        <v>1159</v>
      </c>
      <c r="I110" s="8">
        <v>14069</v>
      </c>
      <c r="J110" s="8">
        <v>12240</v>
      </c>
      <c r="K110" s="8">
        <f>Tabla1567937[[#This Row],[CANTIDAD PUBLICA]]*0.05</f>
        <v>703.45</v>
      </c>
      <c r="L110" s="8">
        <f>Tabla1567937[[#This Row],[COMISION AGENCIA]]*0.05</f>
        <v>35.172500000000007</v>
      </c>
      <c r="M110" s="7">
        <v>3481135691</v>
      </c>
      <c r="N110" s="7" t="s">
        <v>1160</v>
      </c>
      <c r="O110" s="7" t="s">
        <v>864</v>
      </c>
      <c r="P110" s="7"/>
    </row>
    <row r="111" spans="1:16" x14ac:dyDescent="0.25">
      <c r="A111" s="14">
        <f>Tabla1567937[[#This Row],[FECHA IN]]-15</f>
        <v>44920</v>
      </c>
      <c r="B111" s="14">
        <v>44886</v>
      </c>
      <c r="C111" s="14">
        <v>44884</v>
      </c>
      <c r="D111" s="6">
        <v>44935</v>
      </c>
      <c r="E111" s="6">
        <v>44938</v>
      </c>
      <c r="F111" s="143" t="s">
        <v>1157</v>
      </c>
      <c r="G111" s="8" t="s">
        <v>1161</v>
      </c>
      <c r="H111" s="158" t="s">
        <v>1159</v>
      </c>
      <c r="I111" s="8">
        <v>14069</v>
      </c>
      <c r="J111" s="8">
        <v>12240</v>
      </c>
      <c r="K111" s="8">
        <f>Tabla1567937[[#This Row],[CANTIDAD PUBLICA]]*0.05</f>
        <v>703.45</v>
      </c>
      <c r="L111" s="8">
        <f>Tabla1567937[[#This Row],[COMISION AGENCIA]]*0.05</f>
        <v>35.172500000000007</v>
      </c>
      <c r="M111" s="7">
        <v>3481135691</v>
      </c>
      <c r="N111" s="7" t="s">
        <v>1162</v>
      </c>
      <c r="O111" s="7" t="s">
        <v>864</v>
      </c>
      <c r="P111" s="7"/>
    </row>
    <row r="112" spans="1:16" x14ac:dyDescent="0.25">
      <c r="A112" s="14">
        <f>Tabla1567937[[#This Row],[FECHA IN]]-15</f>
        <v>44920</v>
      </c>
      <c r="B112" s="14">
        <v>44886</v>
      </c>
      <c r="C112" s="14">
        <v>44884</v>
      </c>
      <c r="D112" s="6">
        <v>44935</v>
      </c>
      <c r="E112" s="6">
        <v>44938</v>
      </c>
      <c r="F112" s="142" t="s">
        <v>1157</v>
      </c>
      <c r="G112" s="8" t="s">
        <v>1163</v>
      </c>
      <c r="H112" s="158" t="s">
        <v>1159</v>
      </c>
      <c r="I112" s="8">
        <v>9379</v>
      </c>
      <c r="J112" s="8">
        <v>8160</v>
      </c>
      <c r="K112" s="8">
        <f>Tabla1567937[[#This Row],[CANTIDAD PUBLICA]]*0.05</f>
        <v>468.95000000000005</v>
      </c>
      <c r="L112" s="8">
        <f>Tabla1567937[[#This Row],[COMISION AGENCIA]]*0.05</f>
        <v>23.447500000000005</v>
      </c>
      <c r="M112" s="7">
        <v>3481135691</v>
      </c>
      <c r="N112" s="7" t="s">
        <v>1164</v>
      </c>
      <c r="O112" s="7" t="s">
        <v>864</v>
      </c>
      <c r="P112" s="7"/>
    </row>
    <row r="113" spans="1:16" x14ac:dyDescent="0.25">
      <c r="A113" s="14">
        <f>Tabla1567937[[#This Row],[FECHA IN]]-15</f>
        <v>44920</v>
      </c>
      <c r="B113" s="14">
        <f>Tabla1567937[[#This Row],[FECHA IN]]-15</f>
        <v>44920</v>
      </c>
      <c r="C113" s="14">
        <v>44818</v>
      </c>
      <c r="D113" s="6">
        <v>44935</v>
      </c>
      <c r="E113" s="6">
        <v>44938</v>
      </c>
      <c r="F113" s="143" t="s">
        <v>1165</v>
      </c>
      <c r="G113" s="8" t="s">
        <v>1166</v>
      </c>
      <c r="H113" s="8" t="s">
        <v>1167</v>
      </c>
      <c r="I113" s="8">
        <v>225540</v>
      </c>
      <c r="J113" s="8"/>
      <c r="K113" s="8">
        <f>Tabla1567937[[#This Row],[CANTIDAD PUBLICA]]*0.02</f>
        <v>4510.8</v>
      </c>
      <c r="L113" s="8">
        <f>Tabla1567937[[#This Row],[COMISION AGENCIA]]*0.05</f>
        <v>225.54000000000002</v>
      </c>
      <c r="M113" s="7">
        <v>4425514716</v>
      </c>
      <c r="N113" s="7"/>
      <c r="O113" s="7" t="s">
        <v>1168</v>
      </c>
      <c r="P113" s="7" t="s">
        <v>1169</v>
      </c>
    </row>
    <row r="114" spans="1:16" x14ac:dyDescent="0.25">
      <c r="A114" s="14">
        <v>44922</v>
      </c>
      <c r="B114" s="14">
        <v>44922</v>
      </c>
      <c r="C114" s="14">
        <v>44922</v>
      </c>
      <c r="D114" s="6">
        <v>44955</v>
      </c>
      <c r="E114" s="6">
        <v>44969</v>
      </c>
      <c r="F114" s="142">
        <v>23029</v>
      </c>
      <c r="G114" s="8" t="s">
        <v>1170</v>
      </c>
      <c r="H114" s="158" t="s">
        <v>1171</v>
      </c>
      <c r="I114" s="8">
        <v>1439</v>
      </c>
      <c r="J114" s="8">
        <v>1750</v>
      </c>
      <c r="K114" s="8">
        <f>Tabla1567937[[#This Row],[PRECIO CLIENTE]]-Tabla1567937[[#This Row],[CANTIDAD PUBLICA]]</f>
        <v>311</v>
      </c>
      <c r="L114" s="8">
        <f>Tabla1567937[[#This Row],[COMISION AGENCIA]]*0.05</f>
        <v>15.55</v>
      </c>
      <c r="M114" s="7"/>
      <c r="N114" s="79" t="s">
        <v>1172</v>
      </c>
      <c r="O114" s="7" t="s">
        <v>56</v>
      </c>
      <c r="P114" s="7"/>
    </row>
    <row r="115" spans="1:16" x14ac:dyDescent="0.25">
      <c r="A115" s="14">
        <v>44923</v>
      </c>
      <c r="B115" s="14">
        <v>44923</v>
      </c>
      <c r="C115" s="14">
        <v>44923</v>
      </c>
      <c r="D115" s="6">
        <v>44924</v>
      </c>
      <c r="E115" s="7"/>
      <c r="F115" s="143">
        <v>23038</v>
      </c>
      <c r="G115" s="8" t="s">
        <v>1173</v>
      </c>
      <c r="H115" s="158" t="s">
        <v>1174</v>
      </c>
      <c r="I115" s="8">
        <v>1400</v>
      </c>
      <c r="J115" s="8">
        <v>1400</v>
      </c>
      <c r="K115" s="8">
        <f>Tabla1567937[[#This Row],[CANTIDAD PUBLICA]]*AGENTES!D11</f>
        <v>70</v>
      </c>
      <c r="L115" s="8">
        <f>Tabla1567937[[#This Row],[COMISION AGENCIA]]*0.05</f>
        <v>3.5</v>
      </c>
      <c r="M115" s="7">
        <v>3481494700</v>
      </c>
      <c r="N115" s="7"/>
      <c r="O115" s="7" t="s">
        <v>1175</v>
      </c>
      <c r="P115" s="7"/>
    </row>
    <row r="116" spans="1:16" x14ac:dyDescent="0.25">
      <c r="A116" s="14">
        <f>Tabla1567937[[#This Row],[FECHA IN]]-15</f>
        <v>44926</v>
      </c>
      <c r="B116" s="14">
        <v>44902</v>
      </c>
      <c r="C116" s="14">
        <v>44886</v>
      </c>
      <c r="D116" s="6">
        <v>44941</v>
      </c>
      <c r="E116" s="6">
        <v>44944</v>
      </c>
      <c r="F116" s="142">
        <v>22743</v>
      </c>
      <c r="G116" s="8" t="s">
        <v>1176</v>
      </c>
      <c r="H116" s="8" t="s">
        <v>1177</v>
      </c>
      <c r="I116" s="8">
        <v>9353</v>
      </c>
      <c r="J116" s="8">
        <v>8220</v>
      </c>
      <c r="K116" s="8">
        <f>Tabla1567937[[#This Row],[CANTIDAD PUBLICA]]*0.05</f>
        <v>467.65000000000003</v>
      </c>
      <c r="L116" s="8">
        <f>Tabla1567937[[#This Row],[COMISION AGENCIA]]*0.05</f>
        <v>23.382500000000004</v>
      </c>
      <c r="M116" s="7">
        <v>3481013027</v>
      </c>
      <c r="N116" s="7" t="s">
        <v>1178</v>
      </c>
      <c r="O116" s="7" t="s">
        <v>864</v>
      </c>
      <c r="P116" s="7"/>
    </row>
    <row r="117" spans="1:16" x14ac:dyDescent="0.25">
      <c r="A117" s="14">
        <f>Tabla1567937[[#This Row],[FECHA IN]]-15</f>
        <v>44926</v>
      </c>
      <c r="B117" s="14">
        <v>44902</v>
      </c>
      <c r="C117" s="14">
        <v>44886</v>
      </c>
      <c r="D117" s="6">
        <v>44941</v>
      </c>
      <c r="E117" s="6">
        <v>44944</v>
      </c>
      <c r="F117" s="143" t="s">
        <v>1179</v>
      </c>
      <c r="G117" s="8" t="s">
        <v>1180</v>
      </c>
      <c r="H117" s="8" t="s">
        <v>1177</v>
      </c>
      <c r="I117" s="8">
        <v>12987</v>
      </c>
      <c r="J117" s="8">
        <v>11545</v>
      </c>
      <c r="K117" s="8">
        <f>Tabla1567937[[#This Row],[CANTIDAD PUBLICA]]*0.05</f>
        <v>649.35</v>
      </c>
      <c r="L117" s="8">
        <f>Tabla1567937[[#This Row],[COMISION AGENCIA]]*0.05</f>
        <v>32.467500000000001</v>
      </c>
      <c r="M117" s="7">
        <v>3481059444</v>
      </c>
      <c r="N117" s="7" t="s">
        <v>1181</v>
      </c>
      <c r="O117" s="7" t="s">
        <v>864</v>
      </c>
      <c r="P117" s="7"/>
    </row>
    <row r="118" spans="1:16" x14ac:dyDescent="0.25">
      <c r="A118" s="14">
        <f>Tabla1567937[[#This Row],[FECHA IN]]-15</f>
        <v>44926</v>
      </c>
      <c r="B118" s="14">
        <v>44902</v>
      </c>
      <c r="C118" s="14">
        <v>44886</v>
      </c>
      <c r="D118" s="6">
        <v>44941</v>
      </c>
      <c r="E118" s="6">
        <v>44944</v>
      </c>
      <c r="F118" s="142">
        <v>22745</v>
      </c>
      <c r="G118" s="8" t="s">
        <v>1182</v>
      </c>
      <c r="H118" s="8" t="s">
        <v>1177</v>
      </c>
      <c r="I118" s="8">
        <v>6722</v>
      </c>
      <c r="J118" s="8">
        <v>5820</v>
      </c>
      <c r="K118" s="8">
        <f>Tabla1567937[[#This Row],[CANTIDAD PUBLICA]]*0.05</f>
        <v>336.1</v>
      </c>
      <c r="L118" s="8">
        <f>Tabla1567937[[#This Row],[COMISION AGENCIA]]*0.05</f>
        <v>16.805000000000003</v>
      </c>
      <c r="M118" s="7"/>
      <c r="N118" s="7" t="s">
        <v>1183</v>
      </c>
      <c r="O118" s="7" t="s">
        <v>864</v>
      </c>
      <c r="P118" s="7"/>
    </row>
    <row r="119" spans="1:16" x14ac:dyDescent="0.25">
      <c r="A119" s="14">
        <v>44926</v>
      </c>
      <c r="B119" s="14">
        <v>44926</v>
      </c>
      <c r="C119" s="14">
        <v>44926</v>
      </c>
      <c r="D119" s="6">
        <v>44939</v>
      </c>
      <c r="E119" s="7"/>
      <c r="F119" s="143">
        <v>23071</v>
      </c>
      <c r="G119" s="8" t="s">
        <v>1184</v>
      </c>
      <c r="H119" s="158" t="s">
        <v>1185</v>
      </c>
      <c r="I119" s="8">
        <v>6114</v>
      </c>
      <c r="J119" s="8">
        <v>6790</v>
      </c>
      <c r="K119" s="8">
        <f>Tabla1567937[[#This Row],[PRECIO CLIENTE]]-Tabla1567937[[#This Row],[CANTIDAD PUBLICA]]</f>
        <v>676</v>
      </c>
      <c r="L119" s="8">
        <f>Tabla1567937[[#This Row],[COMISION AGENCIA]]*0.05</f>
        <v>33.800000000000004</v>
      </c>
      <c r="M119" s="7"/>
      <c r="N119" s="7" t="s">
        <v>1186</v>
      </c>
      <c r="O119" s="7" t="s">
        <v>56</v>
      </c>
      <c r="P119" s="7"/>
    </row>
    <row r="120" spans="1:16" x14ac:dyDescent="0.25">
      <c r="A120" s="21">
        <v>44926</v>
      </c>
      <c r="B120" s="21"/>
      <c r="C120" s="21" t="s">
        <v>1187</v>
      </c>
      <c r="D120" s="21"/>
      <c r="E120" s="134"/>
      <c r="F120" s="21"/>
      <c r="G120" s="131"/>
      <c r="H120" s="169"/>
      <c r="I120" s="131"/>
      <c r="J120" s="131"/>
      <c r="K120" s="131">
        <f>SUBTOTAL(109,K7:K119)</f>
        <v>93819.946020000018</v>
      </c>
      <c r="L120" s="131">
        <f>SUBTOTAL(109,L7:L119)</f>
        <v>4599.897301</v>
      </c>
      <c r="M120" s="134"/>
      <c r="N120" s="134"/>
      <c r="O120" s="134"/>
      <c r="P120" s="134"/>
    </row>
    <row r="121" spans="1:16" x14ac:dyDescent="0.25">
      <c r="A121" s="14">
        <v>44928</v>
      </c>
      <c r="B121" s="14">
        <v>44928</v>
      </c>
      <c r="C121" s="14">
        <v>44928</v>
      </c>
      <c r="D121" s="6">
        <v>44933</v>
      </c>
      <c r="E121" s="7"/>
      <c r="F121" s="7">
        <v>23092</v>
      </c>
      <c r="G121" s="8" t="s">
        <v>1188</v>
      </c>
      <c r="H121" s="158" t="s">
        <v>1053</v>
      </c>
      <c r="I121" s="8">
        <v>9332</v>
      </c>
      <c r="J121" s="8">
        <v>10300</v>
      </c>
      <c r="K121" s="8">
        <f>Tabla1567937[[#This Row],[PRECIO CLIENTE]]-Tabla1567937[[#This Row],[CANTIDAD PUBLICA]]</f>
        <v>968</v>
      </c>
      <c r="L121" s="8">
        <f>Tabla1567937[[#This Row],[COMISION AGENCIA]]*0.05</f>
        <v>48.400000000000006</v>
      </c>
      <c r="M121" s="7">
        <v>3481162130</v>
      </c>
      <c r="N121" s="7" t="s">
        <v>1189</v>
      </c>
      <c r="O121" s="7" t="s">
        <v>56</v>
      </c>
      <c r="P121" s="7"/>
    </row>
    <row r="122" spans="1:16" x14ac:dyDescent="0.25">
      <c r="A122" s="14">
        <v>44933</v>
      </c>
      <c r="B122" s="14">
        <v>44933</v>
      </c>
      <c r="C122" s="14">
        <v>44933</v>
      </c>
      <c r="D122" s="6">
        <v>44958</v>
      </c>
      <c r="E122" s="6">
        <v>44960</v>
      </c>
      <c r="F122" s="7">
        <v>23127</v>
      </c>
      <c r="G122" s="8" t="s">
        <v>1190</v>
      </c>
      <c r="H122" s="158" t="s">
        <v>1191</v>
      </c>
      <c r="I122" s="8">
        <v>3136</v>
      </c>
      <c r="J122" s="8">
        <v>4460</v>
      </c>
      <c r="K122" s="8">
        <f>Tabla1567937[[#This Row],[PRECIO CLIENTE]]-Tabla1567937[[#This Row],[CANTIDAD PUBLICA]]</f>
        <v>1324</v>
      </c>
      <c r="L122" s="8">
        <f>Tabla1567937[[#This Row],[COMISION AGENCIA]]*0.05</f>
        <v>66.2</v>
      </c>
      <c r="M122" s="7"/>
      <c r="N122" s="7" t="s">
        <v>1192</v>
      </c>
      <c r="O122" s="7" t="s">
        <v>56</v>
      </c>
      <c r="P122" s="7"/>
    </row>
    <row r="123" spans="1:16" x14ac:dyDescent="0.25">
      <c r="A123" s="14">
        <v>44935</v>
      </c>
      <c r="B123" s="14">
        <v>44935</v>
      </c>
      <c r="C123" s="14">
        <v>44935</v>
      </c>
      <c r="D123" s="6">
        <v>44939</v>
      </c>
      <c r="E123" s="7"/>
      <c r="F123" s="7">
        <v>23151</v>
      </c>
      <c r="G123" s="8" t="s">
        <v>1193</v>
      </c>
      <c r="H123" s="158" t="s">
        <v>1194</v>
      </c>
      <c r="I123" s="8">
        <v>7419</v>
      </c>
      <c r="J123" s="8">
        <v>7936</v>
      </c>
      <c r="K123" s="8">
        <f>Tabla1567937[[#This Row],[PRECIO CLIENTE]]-Tabla1567937[[#This Row],[CANTIDAD PUBLICA]]</f>
        <v>517</v>
      </c>
      <c r="L123" s="8">
        <f>Tabla1567937[[#This Row],[COMISION AGENCIA]]*0.05</f>
        <v>25.85</v>
      </c>
      <c r="M123" s="7"/>
      <c r="N123" s="7" t="s">
        <v>1195</v>
      </c>
      <c r="O123" s="7" t="s">
        <v>56</v>
      </c>
      <c r="P123" s="7"/>
    </row>
    <row r="124" spans="1:16" x14ac:dyDescent="0.25">
      <c r="A124" s="14">
        <v>44936</v>
      </c>
      <c r="B124" s="14">
        <v>44936</v>
      </c>
      <c r="C124" s="14">
        <v>44936</v>
      </c>
      <c r="D124" s="6">
        <v>44937</v>
      </c>
      <c r="E124" s="6"/>
      <c r="F124" s="7">
        <v>23156</v>
      </c>
      <c r="G124" s="8" t="s">
        <v>1196</v>
      </c>
      <c r="H124" s="158" t="s">
        <v>1197</v>
      </c>
      <c r="I124" s="8">
        <v>671</v>
      </c>
      <c r="J124" s="8">
        <v>975</v>
      </c>
      <c r="K124" s="8">
        <f>Tabla1567937[[#This Row],[PRECIO CLIENTE]]-Tabla1567937[[#This Row],[CANTIDAD PUBLICA]]</f>
        <v>304</v>
      </c>
      <c r="L124" s="8">
        <f>Tabla1567937[[#This Row],[COMISION AGENCIA]]*0.05</f>
        <v>15.200000000000001</v>
      </c>
      <c r="M124" s="7"/>
      <c r="N124" s="7" t="s">
        <v>1198</v>
      </c>
      <c r="O124" s="7" t="s">
        <v>56</v>
      </c>
      <c r="P124" s="7"/>
    </row>
    <row r="125" spans="1:16" x14ac:dyDescent="0.25">
      <c r="A125" s="14">
        <v>44938</v>
      </c>
      <c r="B125" s="14">
        <v>44938</v>
      </c>
      <c r="C125" s="14">
        <v>44938</v>
      </c>
      <c r="D125" s="6">
        <v>44954</v>
      </c>
      <c r="E125" s="6">
        <v>44957</v>
      </c>
      <c r="F125" s="7">
        <v>23202</v>
      </c>
      <c r="G125" s="8" t="s">
        <v>1199</v>
      </c>
      <c r="H125" s="8" t="s">
        <v>1200</v>
      </c>
      <c r="I125" s="8">
        <v>9824</v>
      </c>
      <c r="J125" s="8">
        <v>8550</v>
      </c>
      <c r="K125" s="8">
        <f>Tabla1567937[[#This Row],[PRECIO CLIENTE]]-Tabla1567937[[#This Row],[CANTIDAD PUBLICA]]</f>
        <v>-1274</v>
      </c>
      <c r="L125" s="8">
        <f>Tabla1567937[[#This Row],[COMISION AGENCIA]]*0.05</f>
        <v>-63.7</v>
      </c>
      <c r="M125" s="7">
        <v>3481134853</v>
      </c>
      <c r="N125" s="7"/>
      <c r="O125" s="7" t="s">
        <v>864</v>
      </c>
      <c r="P125" s="7"/>
    </row>
    <row r="126" spans="1:16" x14ac:dyDescent="0.25">
      <c r="A126" s="14">
        <v>44938</v>
      </c>
      <c r="B126" s="14">
        <v>44938</v>
      </c>
      <c r="C126" s="14">
        <v>44938</v>
      </c>
      <c r="D126" s="6">
        <v>44946</v>
      </c>
      <c r="E126" s="6">
        <v>44959</v>
      </c>
      <c r="F126" s="7">
        <v>23192</v>
      </c>
      <c r="G126" s="7" t="s">
        <v>1201</v>
      </c>
      <c r="H126" s="8" t="s">
        <v>1202</v>
      </c>
      <c r="I126" s="8">
        <v>27170</v>
      </c>
      <c r="J126" s="8">
        <v>27540</v>
      </c>
      <c r="K126" s="8">
        <f>Tabla1567937[[#This Row],[PRECIO CLIENTE]]-Tabla1567937[[#This Row],[CANTIDAD PUBLICA]]</f>
        <v>370</v>
      </c>
      <c r="L126" s="8">
        <f>Tabla1567937[[#This Row],[COMISION AGENCIA]]*0.05</f>
        <v>18.5</v>
      </c>
      <c r="M126" s="7"/>
      <c r="N126" s="7" t="s">
        <v>1203</v>
      </c>
      <c r="O126" s="7" t="s">
        <v>1204</v>
      </c>
      <c r="P126" s="7"/>
    </row>
    <row r="127" spans="1:16" x14ac:dyDescent="0.25">
      <c r="A127" s="14">
        <f>Tabla1567937[[#This Row],[FECHA IN]]-15</f>
        <v>44941</v>
      </c>
      <c r="B127" s="14">
        <v>44945</v>
      </c>
      <c r="C127" s="14">
        <v>44844</v>
      </c>
      <c r="D127" s="6">
        <v>44956</v>
      </c>
      <c r="E127" s="6">
        <v>44960</v>
      </c>
      <c r="F127" s="143" t="s">
        <v>1205</v>
      </c>
      <c r="G127" s="8" t="s">
        <v>1206</v>
      </c>
      <c r="H127" s="158" t="s">
        <v>1207</v>
      </c>
      <c r="I127" s="8">
        <v>27891</v>
      </c>
      <c r="J127" s="8">
        <v>24265</v>
      </c>
      <c r="K127" s="8">
        <f>Tabla1567937[[#This Row],[CANTIDAD PUBLICA]]*0.05</f>
        <v>1394.5500000000002</v>
      </c>
      <c r="L127" s="8">
        <f>Tabla1567937[[#This Row],[COMISION AGENCIA]]*0.05</f>
        <v>69.727500000000006</v>
      </c>
      <c r="M127" s="7"/>
      <c r="N127" s="7" t="s">
        <v>1208</v>
      </c>
      <c r="O127" s="7" t="s">
        <v>864</v>
      </c>
      <c r="P127" s="7"/>
    </row>
    <row r="128" spans="1:16" x14ac:dyDescent="0.25">
      <c r="A128" s="14">
        <v>44943</v>
      </c>
      <c r="B128" s="14">
        <v>44943</v>
      </c>
      <c r="C128" s="14">
        <v>44943</v>
      </c>
      <c r="D128" s="6">
        <v>44945</v>
      </c>
      <c r="E128" s="7"/>
      <c r="F128" s="7">
        <v>23234</v>
      </c>
      <c r="G128" s="8" t="s">
        <v>1209</v>
      </c>
      <c r="H128" s="158" t="s">
        <v>1210</v>
      </c>
      <c r="I128" s="8">
        <v>2536</v>
      </c>
      <c r="J128" s="8">
        <v>2860</v>
      </c>
      <c r="K128" s="8">
        <f>Tabla1567937[[#This Row],[PRECIO CLIENTE]]-Tabla1567937[[#This Row],[CANTIDAD PUBLICA]]</f>
        <v>324</v>
      </c>
      <c r="L128" s="8">
        <f>Tabla1567937[[#This Row],[COMISION AGENCIA]]*0.05</f>
        <v>16.2</v>
      </c>
      <c r="M128" s="7"/>
      <c r="N128" s="7" t="s">
        <v>1211</v>
      </c>
      <c r="O128" s="7" t="s">
        <v>56</v>
      </c>
      <c r="P128" s="7"/>
    </row>
    <row r="129" spans="1:16" x14ac:dyDescent="0.25">
      <c r="A129" s="14">
        <v>44944</v>
      </c>
      <c r="B129" s="14">
        <v>44944</v>
      </c>
      <c r="C129" s="14">
        <v>44944</v>
      </c>
      <c r="D129" s="6">
        <v>44974</v>
      </c>
      <c r="E129" s="6">
        <v>44992</v>
      </c>
      <c r="F129" s="7">
        <v>23250</v>
      </c>
      <c r="G129" s="8" t="s">
        <v>1212</v>
      </c>
      <c r="H129" s="158" t="s">
        <v>1213</v>
      </c>
      <c r="I129" s="8">
        <v>7526</v>
      </c>
      <c r="J129" s="8">
        <v>8080</v>
      </c>
      <c r="K129" s="8">
        <f>Tabla1567937[[#This Row],[PRECIO CLIENTE]]-Tabla1567937[[#This Row],[CANTIDAD PUBLICA]]</f>
        <v>554</v>
      </c>
      <c r="L129" s="8">
        <f>Tabla1567937[[#This Row],[COMISION AGENCIA]]*0.05</f>
        <v>27.700000000000003</v>
      </c>
      <c r="M129" s="7"/>
      <c r="N129" s="7" t="s">
        <v>1214</v>
      </c>
      <c r="O129" s="7" t="s">
        <v>56</v>
      </c>
      <c r="P129" s="7"/>
    </row>
    <row r="130" spans="1:16" x14ac:dyDescent="0.25">
      <c r="A130" s="14">
        <v>44944</v>
      </c>
      <c r="B130" s="14">
        <v>44944</v>
      </c>
      <c r="C130" s="14">
        <v>44944</v>
      </c>
      <c r="D130" s="6">
        <v>44974</v>
      </c>
      <c r="E130" s="6">
        <v>44981</v>
      </c>
      <c r="F130" s="7">
        <v>23251</v>
      </c>
      <c r="G130" s="8" t="s">
        <v>1215</v>
      </c>
      <c r="H130" s="158" t="s">
        <v>1216</v>
      </c>
      <c r="I130" s="8">
        <v>7460</v>
      </c>
      <c r="J130" s="8">
        <v>8660</v>
      </c>
      <c r="K130" s="8">
        <f>Tabla1567937[[#This Row],[PRECIO CLIENTE]]-Tabla1567937[[#This Row],[CANTIDAD PUBLICA]]</f>
        <v>1200</v>
      </c>
      <c r="L130" s="8">
        <f>Tabla1567937[[#This Row],[COMISION AGENCIA]]*0.05</f>
        <v>60</v>
      </c>
      <c r="M130" s="7"/>
      <c r="N130" s="7" t="s">
        <v>1217</v>
      </c>
      <c r="O130" s="7" t="s">
        <v>56</v>
      </c>
      <c r="P130" s="7"/>
    </row>
    <row r="131" spans="1:16" x14ac:dyDescent="0.25">
      <c r="A131" s="14">
        <v>44946</v>
      </c>
      <c r="B131" s="14">
        <v>44946</v>
      </c>
      <c r="C131" s="14">
        <v>44946</v>
      </c>
      <c r="D131" s="6">
        <v>45046</v>
      </c>
      <c r="E131" s="6">
        <v>45057</v>
      </c>
      <c r="F131" s="7" t="s">
        <v>1218</v>
      </c>
      <c r="G131" s="8" t="s">
        <v>1219</v>
      </c>
      <c r="H131" s="8" t="s">
        <v>1220</v>
      </c>
      <c r="I131" s="8">
        <v>23150</v>
      </c>
      <c r="J131" s="8">
        <v>24875</v>
      </c>
      <c r="K131" s="8">
        <f>Tabla1567937[[#This Row],[PRECIO CLIENTE]]-Tabla1567937[[#This Row],[CANTIDAD PUBLICA]]</f>
        <v>1725</v>
      </c>
      <c r="L131" s="8">
        <f>Tabla1567937[[#This Row],[COMISION AGENCIA]]*0.05</f>
        <v>86.25</v>
      </c>
      <c r="M131" s="7">
        <v>3481304083</v>
      </c>
      <c r="N131" s="7" t="s">
        <v>1221</v>
      </c>
      <c r="O131" s="7" t="s">
        <v>56</v>
      </c>
      <c r="P131" s="7"/>
    </row>
    <row r="132" spans="1:16" x14ac:dyDescent="0.25">
      <c r="A132" s="14">
        <v>44946</v>
      </c>
      <c r="B132" s="14">
        <v>44946</v>
      </c>
      <c r="C132" s="14">
        <v>44946</v>
      </c>
      <c r="D132" s="6">
        <v>44953</v>
      </c>
      <c r="E132" s="7"/>
      <c r="F132" s="7">
        <v>23274</v>
      </c>
      <c r="G132" s="80" t="s">
        <v>1222</v>
      </c>
      <c r="H132" s="8" t="s">
        <v>933</v>
      </c>
      <c r="I132" s="8">
        <v>1805</v>
      </c>
      <c r="J132" s="8">
        <v>2715</v>
      </c>
      <c r="K132" s="8">
        <f>Tabla1567937[[#This Row],[PRECIO CLIENTE]]-Tabla1567937[[#This Row],[CANTIDAD PUBLICA]]</f>
        <v>910</v>
      </c>
      <c r="L132" s="8">
        <f>Tabla1567937[[#This Row],[COMISION AGENCIA]]*0.05</f>
        <v>45.5</v>
      </c>
      <c r="M132" s="7"/>
      <c r="N132" s="7" t="s">
        <v>1223</v>
      </c>
      <c r="O132" s="7" t="s">
        <v>47</v>
      </c>
      <c r="P132" s="7"/>
    </row>
    <row r="133" spans="1:16" x14ac:dyDescent="0.25">
      <c r="A133" s="14">
        <v>44947</v>
      </c>
      <c r="B133" s="14">
        <v>44947</v>
      </c>
      <c r="C133" s="14">
        <v>44947</v>
      </c>
      <c r="D133" s="6">
        <v>44967</v>
      </c>
      <c r="E133" s="6">
        <v>44969</v>
      </c>
      <c r="F133" s="7"/>
      <c r="G133" s="8" t="s">
        <v>1224</v>
      </c>
      <c r="H133" s="8" t="s">
        <v>1225</v>
      </c>
      <c r="I133" s="8">
        <v>6024</v>
      </c>
      <c r="J133" s="8">
        <v>9312</v>
      </c>
      <c r="K133" s="8">
        <f>Tabla1567937[[#This Row],[PRECIO CLIENTE]]-Tabla1567937[[#This Row],[CANTIDAD PUBLICA]]</f>
        <v>3288</v>
      </c>
      <c r="L133" s="8">
        <f>Tabla1567937[[#This Row],[COMISION AGENCIA]]*0.05</f>
        <v>164.4</v>
      </c>
      <c r="M133" s="7"/>
      <c r="N133" s="7" t="s">
        <v>1226</v>
      </c>
      <c r="O133" s="7" t="s">
        <v>47</v>
      </c>
      <c r="P133" s="7"/>
    </row>
    <row r="134" spans="1:16" x14ac:dyDescent="0.25">
      <c r="A134" s="14">
        <v>44956</v>
      </c>
      <c r="B134" s="14">
        <v>44956</v>
      </c>
      <c r="C134" s="14">
        <v>44956</v>
      </c>
      <c r="D134" s="6">
        <v>45013</v>
      </c>
      <c r="E134" s="7"/>
      <c r="F134" s="7">
        <v>23383</v>
      </c>
      <c r="G134" s="8" t="s">
        <v>1227</v>
      </c>
      <c r="H134" s="158" t="s">
        <v>1228</v>
      </c>
      <c r="I134" s="8">
        <v>3110</v>
      </c>
      <c r="J134" s="8">
        <v>3465</v>
      </c>
      <c r="K134" s="8">
        <f>Tabla1567937[[#This Row],[PRECIO CLIENTE]]-Tabla1567937[[#This Row],[CANTIDAD PUBLICA]]</f>
        <v>355</v>
      </c>
      <c r="L134" s="8">
        <f>Tabla1567937[[#This Row],[COMISION AGENCIA]]*0.05</f>
        <v>17.75</v>
      </c>
      <c r="M134" s="7"/>
      <c r="N134" s="7" t="s">
        <v>1229</v>
      </c>
      <c r="O134" s="7" t="s">
        <v>47</v>
      </c>
      <c r="P134" s="7"/>
    </row>
    <row r="135" spans="1:16" x14ac:dyDescent="0.25">
      <c r="A135" s="14">
        <v>44959</v>
      </c>
      <c r="B135" s="14">
        <v>44959</v>
      </c>
      <c r="C135" s="14">
        <v>44959</v>
      </c>
      <c r="D135" s="6">
        <v>45019</v>
      </c>
      <c r="E135" s="6">
        <v>45022</v>
      </c>
      <c r="F135" s="7" t="s">
        <v>1230</v>
      </c>
      <c r="G135" s="8" t="s">
        <v>1231</v>
      </c>
      <c r="H135" s="158" t="s">
        <v>1232</v>
      </c>
      <c r="I135" s="8">
        <v>14409</v>
      </c>
      <c r="J135" s="8">
        <v>12535</v>
      </c>
      <c r="K135" s="8">
        <f>Tabla1567937[[#This Row],[PRECIO CLIENTE]]*0.05</f>
        <v>626.75</v>
      </c>
      <c r="L135" s="8">
        <f>Tabla1567937[[#This Row],[COMISION AGENCIA]]*0.05</f>
        <v>31.337500000000002</v>
      </c>
      <c r="M135" s="7">
        <v>3481029809</v>
      </c>
      <c r="N135" s="7"/>
      <c r="O135" s="7" t="s">
        <v>864</v>
      </c>
      <c r="P135" s="7"/>
    </row>
    <row r="136" spans="1:16" x14ac:dyDescent="0.25">
      <c r="A136" s="14">
        <v>44959</v>
      </c>
      <c r="B136" s="14">
        <v>44959</v>
      </c>
      <c r="C136" s="14">
        <v>44959</v>
      </c>
      <c r="D136" s="6">
        <v>44961</v>
      </c>
      <c r="E136" s="7"/>
      <c r="F136" s="7">
        <v>23428</v>
      </c>
      <c r="G136" s="8" t="s">
        <v>1233</v>
      </c>
      <c r="H136" s="158" t="s">
        <v>1234</v>
      </c>
      <c r="I136" s="8">
        <v>3762</v>
      </c>
      <c r="J136" s="8">
        <v>4065</v>
      </c>
      <c r="K136" s="8">
        <f>Tabla1567937[[#This Row],[PRECIO CLIENTE]]-Tabla1567937[[#This Row],[CANTIDAD PUBLICA]]</f>
        <v>303</v>
      </c>
      <c r="L136" s="8">
        <f>Tabla1567937[[#This Row],[COMISION AGENCIA]]*0.05</f>
        <v>15.15</v>
      </c>
      <c r="M136" s="7"/>
      <c r="N136" s="79" t="s">
        <v>1235</v>
      </c>
      <c r="O136" s="7" t="s">
        <v>56</v>
      </c>
      <c r="P136" s="7"/>
    </row>
    <row r="137" spans="1:16" x14ac:dyDescent="0.25">
      <c r="A137" s="14">
        <v>44959</v>
      </c>
      <c r="B137" s="14">
        <v>44959</v>
      </c>
      <c r="C137" s="14">
        <v>44959</v>
      </c>
      <c r="D137" s="6">
        <v>45103</v>
      </c>
      <c r="E137" s="6">
        <v>45107</v>
      </c>
      <c r="F137" s="7">
        <v>23518</v>
      </c>
      <c r="G137" s="7" t="s">
        <v>1236</v>
      </c>
      <c r="H137" s="7" t="s">
        <v>1069</v>
      </c>
      <c r="I137" s="8">
        <v>5930</v>
      </c>
      <c r="J137" s="8">
        <v>7040</v>
      </c>
      <c r="K137" s="8">
        <f>Tabla1567937[[#This Row],[PRECIO CLIENTE]]-Tabla1567937[[#This Row],[CANTIDAD PUBLICA]]</f>
        <v>1110</v>
      </c>
      <c r="L137" s="8">
        <f>Tabla1567937[[#This Row],[COMISION AGENCIA]]*0.05</f>
        <v>55.5</v>
      </c>
      <c r="M137" s="7">
        <v>3481162130</v>
      </c>
      <c r="N137" s="7" t="s">
        <v>1237</v>
      </c>
      <c r="O137" s="7" t="s">
        <v>56</v>
      </c>
      <c r="P137" s="7"/>
    </row>
    <row r="138" spans="1:16" x14ac:dyDescent="0.25">
      <c r="A138" s="14">
        <v>44961</v>
      </c>
      <c r="B138" s="14">
        <v>44961</v>
      </c>
      <c r="C138" s="14">
        <v>44961</v>
      </c>
      <c r="D138" s="6">
        <v>44972</v>
      </c>
      <c r="E138" s="6">
        <v>44978</v>
      </c>
      <c r="F138" s="7">
        <v>23444</v>
      </c>
      <c r="G138" s="8" t="s">
        <v>1238</v>
      </c>
      <c r="H138" s="158" t="s">
        <v>1053</v>
      </c>
      <c r="I138" s="8">
        <v>28079</v>
      </c>
      <c r="J138" s="8">
        <v>30660</v>
      </c>
      <c r="K138" s="8">
        <f>Tabla1567937[[#This Row],[PRECIO CLIENTE]]-Tabla1567937[[#This Row],[CANTIDAD PUBLICA]]</f>
        <v>2581</v>
      </c>
      <c r="L138" s="8">
        <f>Tabla1567937[[#This Row],[COMISION AGENCIA]]*0.05</f>
        <v>129.05000000000001</v>
      </c>
      <c r="M138" s="7">
        <v>7738378504</v>
      </c>
      <c r="N138" s="7" t="s">
        <v>1239</v>
      </c>
      <c r="O138" s="7" t="s">
        <v>56</v>
      </c>
      <c r="P138" s="7"/>
    </row>
    <row r="139" spans="1:16" x14ac:dyDescent="0.25">
      <c r="A139" s="14">
        <v>44961</v>
      </c>
      <c r="B139" s="14">
        <v>44961</v>
      </c>
      <c r="C139" s="14">
        <v>44961</v>
      </c>
      <c r="D139" s="6">
        <v>44963</v>
      </c>
      <c r="E139" s="7"/>
      <c r="F139" s="7">
        <v>23443</v>
      </c>
      <c r="G139" s="7" t="s">
        <v>874</v>
      </c>
      <c r="H139" s="7" t="s">
        <v>1240</v>
      </c>
      <c r="I139" s="8">
        <v>1875</v>
      </c>
      <c r="J139" s="8">
        <v>2195</v>
      </c>
      <c r="K139" s="8">
        <f>Tabla1567937[[#This Row],[PRECIO CLIENTE]]-Tabla1567937[[#This Row],[CANTIDAD PUBLICA]]</f>
        <v>320</v>
      </c>
      <c r="L139" s="8">
        <f>Tabla1567937[[#This Row],[COMISION AGENCIA]]*0.05</f>
        <v>16</v>
      </c>
      <c r="M139" s="7"/>
      <c r="N139" s="7" t="s">
        <v>1241</v>
      </c>
      <c r="O139" s="7" t="s">
        <v>56</v>
      </c>
      <c r="P139" s="7"/>
    </row>
    <row r="140" spans="1:16" x14ac:dyDescent="0.25">
      <c r="A140" s="14">
        <v>44968</v>
      </c>
      <c r="B140" s="14">
        <v>44966</v>
      </c>
      <c r="C140" s="14">
        <v>44964</v>
      </c>
      <c r="D140" s="6">
        <v>44983</v>
      </c>
      <c r="E140" s="6">
        <v>44987</v>
      </c>
      <c r="F140" s="7">
        <v>23491</v>
      </c>
      <c r="G140" s="91" t="s">
        <v>961</v>
      </c>
      <c r="H140" s="158" t="s">
        <v>1242</v>
      </c>
      <c r="I140" s="8">
        <v>29675</v>
      </c>
      <c r="J140" s="8">
        <v>25820</v>
      </c>
      <c r="K140" s="8">
        <f>Tabla1567937[[#This Row],[CANTIDAD PUBLICA]]*0.05</f>
        <v>1483.75</v>
      </c>
      <c r="L140" s="8">
        <f>Tabla1567937[[#This Row],[COMISION AGENCIA]]*0.05</f>
        <v>74.1875</v>
      </c>
      <c r="M140" s="7">
        <v>3481117330</v>
      </c>
      <c r="N140" s="7" t="s">
        <v>1243</v>
      </c>
      <c r="O140" s="7" t="s">
        <v>864</v>
      </c>
      <c r="P140" s="7"/>
    </row>
    <row r="141" spans="1:16" x14ac:dyDescent="0.25">
      <c r="A141" s="14">
        <v>44971</v>
      </c>
      <c r="B141" s="14">
        <v>44971</v>
      </c>
      <c r="C141" s="14">
        <v>44971</v>
      </c>
      <c r="D141" s="6">
        <v>45070</v>
      </c>
      <c r="E141" s="6">
        <v>45078</v>
      </c>
      <c r="F141" s="6">
        <v>23572</v>
      </c>
      <c r="G141" s="8" t="s">
        <v>1244</v>
      </c>
      <c r="H141" s="158" t="s">
        <v>1021</v>
      </c>
      <c r="I141" s="8">
        <v>5954</v>
      </c>
      <c r="J141" s="8">
        <v>6385</v>
      </c>
      <c r="K141" s="8">
        <f>Tabla1567937[[#This Row],[PRECIO CLIENTE]]-Tabla1567937[[#This Row],[CANTIDAD PUBLICA]]</f>
        <v>431</v>
      </c>
      <c r="L141" s="8">
        <f>Tabla1567937[[#This Row],[COMISION AGENCIA]]*0.05</f>
        <v>21.55</v>
      </c>
      <c r="M141" s="7"/>
      <c r="N141" s="7" t="s">
        <v>1245</v>
      </c>
      <c r="O141" s="7" t="s">
        <v>56</v>
      </c>
      <c r="P141" s="7"/>
    </row>
    <row r="142" spans="1:16" x14ac:dyDescent="0.25">
      <c r="A142" s="14">
        <v>44971</v>
      </c>
      <c r="B142" s="14">
        <v>44971</v>
      </c>
      <c r="C142" s="14">
        <v>44971</v>
      </c>
      <c r="D142" s="6">
        <v>44986</v>
      </c>
      <c r="E142" s="6">
        <v>44967</v>
      </c>
      <c r="F142" s="7">
        <v>23602</v>
      </c>
      <c r="G142" s="8" t="s">
        <v>1246</v>
      </c>
      <c r="H142" s="8" t="s">
        <v>1247</v>
      </c>
      <c r="I142" s="8">
        <v>11044</v>
      </c>
      <c r="J142" s="8">
        <v>10170</v>
      </c>
      <c r="K142" s="8">
        <f>Tabla1567937[[#This Row],[CANTIDAD PUBLICA]]*AGENTES!D6</f>
        <v>773.07999999999993</v>
      </c>
      <c r="L142" s="8">
        <f>Tabla1567937[[#This Row],[COMISION AGENCIA]]*0.05</f>
        <v>38.653999999999996</v>
      </c>
      <c r="M142" s="7">
        <v>3487894117</v>
      </c>
      <c r="N142" s="7"/>
      <c r="O142" s="7" t="s">
        <v>1121</v>
      </c>
      <c r="P142" s="7"/>
    </row>
    <row r="143" spans="1:16" x14ac:dyDescent="0.25">
      <c r="A143" s="14">
        <v>44973</v>
      </c>
      <c r="B143" s="14">
        <v>44973</v>
      </c>
      <c r="C143" s="14">
        <v>44973</v>
      </c>
      <c r="D143" s="6">
        <v>45189</v>
      </c>
      <c r="E143" s="6">
        <v>45197</v>
      </c>
      <c r="F143" s="7">
        <v>23610</v>
      </c>
      <c r="G143" s="8" t="s">
        <v>1248</v>
      </c>
      <c r="H143" s="8" t="s">
        <v>1116</v>
      </c>
      <c r="I143" s="8">
        <v>27105</v>
      </c>
      <c r="J143" s="8">
        <v>29150</v>
      </c>
      <c r="K143" s="8">
        <f>Tabla1567937[[#This Row],[PRECIO CLIENTE]]-Tabla1567937[[#This Row],[CANTIDAD PUBLICA]]</f>
        <v>2045</v>
      </c>
      <c r="L143" s="8">
        <f>Tabla1567937[[#This Row],[COMISION AGENCIA]]*0.05</f>
        <v>102.25</v>
      </c>
      <c r="M143" s="7"/>
      <c r="N143" s="7" t="s">
        <v>1249</v>
      </c>
      <c r="O143" s="7" t="s">
        <v>56</v>
      </c>
      <c r="P143" s="7"/>
    </row>
    <row r="144" spans="1:16" x14ac:dyDescent="0.25">
      <c r="A144" s="14">
        <v>44975</v>
      </c>
      <c r="B144" s="14">
        <v>44975</v>
      </c>
      <c r="C144" s="14">
        <v>44975</v>
      </c>
      <c r="D144" s="6">
        <v>44983</v>
      </c>
      <c r="E144" s="7"/>
      <c r="F144" s="7">
        <v>23627</v>
      </c>
      <c r="G144" s="8" t="s">
        <v>1250</v>
      </c>
      <c r="H144" s="158" t="s">
        <v>1251</v>
      </c>
      <c r="I144" s="8">
        <v>1283</v>
      </c>
      <c r="J144" s="8">
        <v>1845</v>
      </c>
      <c r="K144" s="8">
        <f>Tabla1567937[[#This Row],[PRECIO CLIENTE]]-Tabla1567937[[#This Row],[CANTIDAD PUBLICA]]</f>
        <v>562</v>
      </c>
      <c r="L144" s="8">
        <f>Tabla1567937[[#This Row],[COMISION AGENCIA]]*0.05</f>
        <v>28.1</v>
      </c>
      <c r="M144" s="7"/>
      <c r="N144" s="7" t="s">
        <v>1252</v>
      </c>
      <c r="O144" s="7" t="s">
        <v>56</v>
      </c>
      <c r="P144" s="7"/>
    </row>
    <row r="145" spans="1:16" x14ac:dyDescent="0.25">
      <c r="A145" s="14">
        <v>44977</v>
      </c>
      <c r="B145" s="14">
        <v>44977</v>
      </c>
      <c r="C145" s="14">
        <v>44977</v>
      </c>
      <c r="D145" s="6">
        <v>44994</v>
      </c>
      <c r="E145" s="6">
        <v>44996</v>
      </c>
      <c r="F145" s="7">
        <v>23648</v>
      </c>
      <c r="G145" s="8" t="s">
        <v>1253</v>
      </c>
      <c r="H145" s="8" t="s">
        <v>1003</v>
      </c>
      <c r="I145" s="8">
        <v>8754</v>
      </c>
      <c r="J145" s="8">
        <v>10590</v>
      </c>
      <c r="K145" s="8">
        <f>Tabla1567937[[#This Row],[PRECIO CLIENTE]]-Tabla1567937[[#This Row],[CANTIDAD PUBLICA]]</f>
        <v>1836</v>
      </c>
      <c r="L145" s="8">
        <f>Tabla1567937[[#This Row],[COMISION AGENCIA]]*0.05</f>
        <v>91.800000000000011</v>
      </c>
      <c r="M145" s="7"/>
      <c r="N145" s="7" t="s">
        <v>1254</v>
      </c>
      <c r="O145" s="7" t="s">
        <v>56</v>
      </c>
      <c r="P145" s="7"/>
    </row>
    <row r="146" spans="1:16" x14ac:dyDescent="0.25">
      <c r="A146" s="14">
        <v>44978</v>
      </c>
      <c r="B146" s="14">
        <v>44978</v>
      </c>
      <c r="C146" s="14">
        <v>44978</v>
      </c>
      <c r="D146" s="6">
        <v>44996</v>
      </c>
      <c r="E146" s="6">
        <v>45001</v>
      </c>
      <c r="F146" s="7">
        <v>23655</v>
      </c>
      <c r="G146" s="79" t="s">
        <v>1255</v>
      </c>
      <c r="H146" s="8" t="s">
        <v>1256</v>
      </c>
      <c r="I146" s="8">
        <v>6309</v>
      </c>
      <c r="J146" s="8">
        <v>6785</v>
      </c>
      <c r="K146" s="8">
        <f>Tabla1567937[[#This Row],[PRECIO CLIENTE]]-Tabla1567937[[#This Row],[CANTIDAD PUBLICA]]</f>
        <v>476</v>
      </c>
      <c r="L146" s="8">
        <f>Tabla1567937[[#This Row],[COMISION AGENCIA]]*0.05</f>
        <v>23.8</v>
      </c>
      <c r="M146" s="7"/>
      <c r="N146" s="7" t="s">
        <v>1257</v>
      </c>
      <c r="O146" s="7" t="s">
        <v>56</v>
      </c>
      <c r="P146" s="7"/>
    </row>
    <row r="147" spans="1:16" x14ac:dyDescent="0.25">
      <c r="A147" s="14">
        <v>44978</v>
      </c>
      <c r="B147" s="14">
        <v>44978</v>
      </c>
      <c r="C147" s="14">
        <v>44978</v>
      </c>
      <c r="D147" s="6">
        <v>45009</v>
      </c>
      <c r="E147" s="7"/>
      <c r="F147" s="7">
        <v>23654</v>
      </c>
      <c r="G147" s="8" t="s">
        <v>1258</v>
      </c>
      <c r="H147" s="8" t="s">
        <v>1259</v>
      </c>
      <c r="I147" s="8">
        <v>1414</v>
      </c>
      <c r="J147" s="8">
        <v>1760</v>
      </c>
      <c r="K147" s="8">
        <f>Tabla1567937[[#This Row],[PRECIO CLIENTE]]-Tabla1567937[[#This Row],[CANTIDAD PUBLICA]]</f>
        <v>346</v>
      </c>
      <c r="L147" s="8">
        <f>Tabla1567937[[#This Row],[COMISION AGENCIA]]*0.05</f>
        <v>17.3</v>
      </c>
      <c r="M147" s="7"/>
      <c r="N147" s="7" t="s">
        <v>1260</v>
      </c>
      <c r="O147" s="7" t="s">
        <v>56</v>
      </c>
      <c r="P147" s="7"/>
    </row>
    <row r="148" spans="1:16" x14ac:dyDescent="0.25">
      <c r="A148" s="14">
        <v>44979</v>
      </c>
      <c r="B148" s="14">
        <v>44979</v>
      </c>
      <c r="C148" s="14">
        <v>44979</v>
      </c>
      <c r="D148" s="6">
        <v>45236</v>
      </c>
      <c r="E148" s="6">
        <v>45240</v>
      </c>
      <c r="F148" s="7">
        <v>23669</v>
      </c>
      <c r="G148" s="8" t="s">
        <v>1261</v>
      </c>
      <c r="H148" s="8" t="s">
        <v>1262</v>
      </c>
      <c r="I148" s="8">
        <v>4029</v>
      </c>
      <c r="J148" s="8">
        <v>4980</v>
      </c>
      <c r="K148" s="8">
        <f>Tabla1567937[[#This Row],[PRECIO CLIENTE]]-Tabla1567937[[#This Row],[CANTIDAD PUBLICA]]</f>
        <v>951</v>
      </c>
      <c r="L148" s="8">
        <f>Tabla1567937[[#This Row],[COMISION AGENCIA]]*0.05</f>
        <v>47.550000000000004</v>
      </c>
      <c r="M148" s="7">
        <v>3481065162</v>
      </c>
      <c r="N148" s="7" t="s">
        <v>1263</v>
      </c>
      <c r="O148" s="7" t="s">
        <v>56</v>
      </c>
      <c r="P148" s="7"/>
    </row>
    <row r="149" spans="1:16" x14ac:dyDescent="0.25">
      <c r="A149" s="14">
        <v>44980</v>
      </c>
      <c r="B149" s="14">
        <v>44980</v>
      </c>
      <c r="C149" s="14">
        <v>44980</v>
      </c>
      <c r="D149" s="6">
        <v>44990</v>
      </c>
      <c r="E149" s="7"/>
      <c r="F149" s="7">
        <v>23713</v>
      </c>
      <c r="G149" s="8" t="s">
        <v>1264</v>
      </c>
      <c r="H149" s="158" t="s">
        <v>1063</v>
      </c>
      <c r="I149" s="8">
        <v>11630</v>
      </c>
      <c r="J149" s="8">
        <v>11940</v>
      </c>
      <c r="K149" s="8"/>
      <c r="L149" s="8"/>
      <c r="M149" s="7"/>
      <c r="N149" s="141" t="s">
        <v>1265</v>
      </c>
      <c r="O149" s="7" t="s">
        <v>1266</v>
      </c>
      <c r="P149" s="7"/>
    </row>
    <row r="150" spans="1:16" x14ac:dyDescent="0.25">
      <c r="A150" s="14">
        <v>44981</v>
      </c>
      <c r="B150" s="14">
        <v>44977</v>
      </c>
      <c r="C150" s="14">
        <v>44971</v>
      </c>
      <c r="D150" s="6">
        <v>44986</v>
      </c>
      <c r="E150" s="6">
        <v>44967</v>
      </c>
      <c r="F150" s="7" t="s">
        <v>1267</v>
      </c>
      <c r="G150" s="8" t="s">
        <v>1246</v>
      </c>
      <c r="H150" s="8" t="s">
        <v>1268</v>
      </c>
      <c r="I150" s="8">
        <v>22122</v>
      </c>
      <c r="J150" s="8">
        <v>19250</v>
      </c>
      <c r="K150" s="8">
        <f>Tabla1567937[[#This Row],[CANTIDAD PUBLICA]]*0.05</f>
        <v>1106.1000000000001</v>
      </c>
      <c r="L150" s="8">
        <f>Tabla1567937[[#This Row],[COMISION AGENCIA]]*0.05</f>
        <v>55.305000000000007</v>
      </c>
      <c r="M150" s="7">
        <v>3487894117</v>
      </c>
      <c r="N150" s="7" t="s">
        <v>1269</v>
      </c>
      <c r="O150" s="7" t="s">
        <v>864</v>
      </c>
      <c r="P150" s="7"/>
    </row>
    <row r="151" spans="1:16" x14ac:dyDescent="0.25">
      <c r="A151" s="14">
        <v>44981</v>
      </c>
      <c r="B151" s="14">
        <v>44981</v>
      </c>
      <c r="C151" s="14">
        <v>44981</v>
      </c>
      <c r="D151" s="6">
        <v>44988</v>
      </c>
      <c r="E151" s="7"/>
      <c r="F151" s="7">
        <v>23719</v>
      </c>
      <c r="G151" s="8" t="s">
        <v>1270</v>
      </c>
      <c r="H151" s="8" t="s">
        <v>1021</v>
      </c>
      <c r="I151" s="8">
        <v>2701</v>
      </c>
      <c r="J151" s="8">
        <v>3065</v>
      </c>
      <c r="K151" s="8"/>
      <c r="L151" s="8"/>
      <c r="M151" s="7"/>
      <c r="N151" s="7" t="s">
        <v>1271</v>
      </c>
      <c r="O151" s="7" t="s">
        <v>56</v>
      </c>
      <c r="P151" s="7"/>
    </row>
    <row r="152" spans="1:16" ht="60" x14ac:dyDescent="0.25">
      <c r="A152" s="21">
        <f>Tabla1567937[[#This Row],[FECHA IN]]-15</f>
        <v>44982</v>
      </c>
      <c r="B152" s="21">
        <v>44876</v>
      </c>
      <c r="C152" s="21">
        <v>44868</v>
      </c>
      <c r="D152" s="6">
        <v>44997</v>
      </c>
      <c r="E152" s="6">
        <v>45001</v>
      </c>
      <c r="F152" s="194" t="s">
        <v>1272</v>
      </c>
      <c r="G152" s="8" t="s">
        <v>1273</v>
      </c>
      <c r="H152" s="8" t="s">
        <v>1274</v>
      </c>
      <c r="I152" s="8"/>
      <c r="J152" s="8"/>
      <c r="K152" s="8">
        <f>Tabla1567937[[#This Row],[CANTIDAD PUBLICA]]*0.05</f>
        <v>0</v>
      </c>
      <c r="L152" s="8">
        <f>Tabla1567937[[#This Row],[COMISION AGENCIA]]*0.05</f>
        <v>0</v>
      </c>
      <c r="M152" s="7">
        <v>3481136531</v>
      </c>
      <c r="N152" s="7"/>
      <c r="O152" s="7" t="s">
        <v>6</v>
      </c>
      <c r="P152" s="7"/>
    </row>
    <row r="153" spans="1:16" x14ac:dyDescent="0.25">
      <c r="A153" s="14">
        <v>44984</v>
      </c>
      <c r="B153" s="14">
        <v>44966</v>
      </c>
      <c r="C153" s="14">
        <v>44959</v>
      </c>
      <c r="D153" s="6">
        <v>44987</v>
      </c>
      <c r="E153" s="6">
        <v>44997</v>
      </c>
      <c r="F153" s="7">
        <v>23530</v>
      </c>
      <c r="G153" s="8" t="s">
        <v>1275</v>
      </c>
      <c r="H153" s="158" t="s">
        <v>941</v>
      </c>
      <c r="I153" s="8">
        <v>26112</v>
      </c>
      <c r="J153" s="8">
        <v>22720</v>
      </c>
      <c r="K153" s="8">
        <f>Tabla1567937[[#This Row],[CANTIDAD PUBLICA]]*0.05</f>
        <v>1305.6000000000001</v>
      </c>
      <c r="L153" s="8">
        <f>Tabla1567937[[#This Row],[COMISION AGENCIA]]*0.05</f>
        <v>65.280000000000015</v>
      </c>
      <c r="M153" s="7">
        <v>3481521364</v>
      </c>
      <c r="N153" s="7" t="s">
        <v>1276</v>
      </c>
      <c r="O153" s="7" t="s">
        <v>864</v>
      </c>
      <c r="P153" s="7"/>
    </row>
    <row r="154" spans="1:16" x14ac:dyDescent="0.25">
      <c r="A154" s="14">
        <v>44984</v>
      </c>
      <c r="B154" s="14">
        <v>44984</v>
      </c>
      <c r="C154" s="14">
        <v>44984</v>
      </c>
      <c r="D154" s="6">
        <v>45122</v>
      </c>
      <c r="E154" s="6">
        <v>45143</v>
      </c>
      <c r="F154" s="7">
        <v>23753</v>
      </c>
      <c r="G154" s="8" t="s">
        <v>1277</v>
      </c>
      <c r="H154" s="158" t="s">
        <v>1018</v>
      </c>
      <c r="I154" s="8">
        <v>14620</v>
      </c>
      <c r="J154" s="8">
        <v>15790</v>
      </c>
      <c r="K154" s="8">
        <f>Tabla1567937[[#This Row],[PRECIO CLIENTE]]-Tabla1567937[[#This Row],[CANTIDAD PUBLICA]]</f>
        <v>1170</v>
      </c>
      <c r="L154" s="8">
        <f>Tabla1567937[[#This Row],[COMISION AGENCIA]]*0.05</f>
        <v>58.5</v>
      </c>
      <c r="M154" s="7">
        <v>3481162130</v>
      </c>
      <c r="N154" s="7" t="s">
        <v>1278</v>
      </c>
      <c r="O154" s="7" t="s">
        <v>56</v>
      </c>
      <c r="P154" s="7"/>
    </row>
    <row r="155" spans="1:16" x14ac:dyDescent="0.25">
      <c r="A155" s="14">
        <v>44984</v>
      </c>
      <c r="B155" s="14">
        <v>44984</v>
      </c>
      <c r="C155" s="14">
        <v>44984</v>
      </c>
      <c r="D155" s="6">
        <v>45122</v>
      </c>
      <c r="E155" s="6">
        <v>45143</v>
      </c>
      <c r="F155" s="7">
        <v>23753</v>
      </c>
      <c r="G155" s="8" t="s">
        <v>1279</v>
      </c>
      <c r="H155" s="158" t="s">
        <v>1018</v>
      </c>
      <c r="I155" s="8">
        <v>7766</v>
      </c>
      <c r="J155" s="8">
        <v>8095</v>
      </c>
      <c r="K155" s="8">
        <f>Tabla1567937[[#This Row],[PRECIO CLIENTE]]-Tabla1567937[[#This Row],[CANTIDAD PUBLICA]]</f>
        <v>329</v>
      </c>
      <c r="L155" s="8">
        <f>Tabla1567937[[#This Row],[COMISION AGENCIA]]*0.05</f>
        <v>16.45</v>
      </c>
      <c r="M155" s="7">
        <v>3481162130</v>
      </c>
      <c r="N155" s="7" t="s">
        <v>1280</v>
      </c>
      <c r="O155" s="7" t="s">
        <v>56</v>
      </c>
      <c r="P155" s="7"/>
    </row>
    <row r="156" spans="1:16" x14ac:dyDescent="0.25">
      <c r="A156" s="14">
        <v>44984</v>
      </c>
      <c r="B156" s="14">
        <v>44984</v>
      </c>
      <c r="C156" s="14">
        <v>44984</v>
      </c>
      <c r="D156" s="6">
        <v>44990</v>
      </c>
      <c r="E156" s="6">
        <v>45055</v>
      </c>
      <c r="F156" s="83">
        <v>23759</v>
      </c>
      <c r="G156" s="8" t="s">
        <v>1281</v>
      </c>
      <c r="H156" s="158" t="s">
        <v>1282</v>
      </c>
      <c r="I156" s="8">
        <v>13100</v>
      </c>
      <c r="J156" s="8">
        <v>11400</v>
      </c>
      <c r="K156" s="8">
        <f>Tabla1567937[[#This Row],[CANTIDAD PUBLICA]]*0.05</f>
        <v>655</v>
      </c>
      <c r="L156" s="8">
        <f>Tabla1567937[[#This Row],[COMISION AGENCIA]]*0.05</f>
        <v>32.75</v>
      </c>
      <c r="M156" s="7">
        <v>3334664103</v>
      </c>
      <c r="N156" s="7"/>
      <c r="O156" s="7" t="s">
        <v>1283</v>
      </c>
      <c r="P156" s="7"/>
    </row>
    <row r="157" spans="1:16" x14ac:dyDescent="0.25">
      <c r="A157" s="14">
        <v>44985</v>
      </c>
      <c r="B157" s="14">
        <v>44985</v>
      </c>
      <c r="C157" s="14">
        <v>44985</v>
      </c>
      <c r="D157" s="6">
        <v>44986</v>
      </c>
      <c r="E157" s="7"/>
      <c r="F157" s="7">
        <v>23777</v>
      </c>
      <c r="G157" s="8" t="s">
        <v>1284</v>
      </c>
      <c r="H157" s="158" t="s">
        <v>1197</v>
      </c>
      <c r="I157" s="8">
        <v>1387</v>
      </c>
      <c r="J157" s="8">
        <v>1790</v>
      </c>
      <c r="K157" s="8"/>
      <c r="L157" s="8"/>
      <c r="M157" s="7">
        <v>3481006036</v>
      </c>
      <c r="N157" s="7" t="s">
        <v>1285</v>
      </c>
      <c r="O157" s="7" t="s">
        <v>56</v>
      </c>
      <c r="P157" s="7"/>
    </row>
    <row r="158" spans="1:16" x14ac:dyDescent="0.25">
      <c r="A158" s="14">
        <v>44986</v>
      </c>
      <c r="B158" s="14">
        <v>44986</v>
      </c>
      <c r="C158" s="14">
        <v>44986</v>
      </c>
      <c r="D158" s="6">
        <v>45020</v>
      </c>
      <c r="E158" s="6">
        <v>45025</v>
      </c>
      <c r="F158" s="7">
        <v>23794</v>
      </c>
      <c r="G158" s="8" t="s">
        <v>1286</v>
      </c>
      <c r="H158" s="158" t="s">
        <v>1287</v>
      </c>
      <c r="I158" s="8">
        <v>2962</v>
      </c>
      <c r="J158" s="8">
        <v>3425</v>
      </c>
      <c r="K158" s="8">
        <f>Tabla1567937[[#This Row],[PRECIO CLIENTE]]-Tabla1567937[[#This Row],[CANTIDAD PUBLICA]]</f>
        <v>463</v>
      </c>
      <c r="L158" s="8">
        <f>Tabla1567937[[#This Row],[COMISION AGENCIA]]*0.05</f>
        <v>23.150000000000002</v>
      </c>
      <c r="M158" s="7"/>
      <c r="N158" s="7" t="s">
        <v>1288</v>
      </c>
      <c r="O158" s="7" t="s">
        <v>56</v>
      </c>
      <c r="P158" s="7"/>
    </row>
    <row r="159" spans="1:16" x14ac:dyDescent="0.25">
      <c r="A159" s="14">
        <v>44988</v>
      </c>
      <c r="B159" s="14">
        <v>44988</v>
      </c>
      <c r="C159" s="14">
        <v>44988</v>
      </c>
      <c r="D159" s="6">
        <v>45010</v>
      </c>
      <c r="E159" s="6">
        <v>45017</v>
      </c>
      <c r="F159" s="7">
        <v>23820</v>
      </c>
      <c r="G159" s="8" t="s">
        <v>1289</v>
      </c>
      <c r="H159" s="8" t="s">
        <v>1290</v>
      </c>
      <c r="I159" s="8">
        <v>15354</v>
      </c>
      <c r="J159" s="8">
        <v>16830</v>
      </c>
      <c r="K159" s="8">
        <f>Tabla1567937[[#This Row],[PRECIO CLIENTE]]-Tabla1567937[[#This Row],[CANTIDAD PUBLICA]]</f>
        <v>1476</v>
      </c>
      <c r="L159" s="8">
        <f>Tabla1567937[[#This Row],[COMISION AGENCIA]]*0.05</f>
        <v>73.8</v>
      </c>
      <c r="M159" s="7"/>
      <c r="N159" s="7" t="s">
        <v>1291</v>
      </c>
      <c r="O159" s="7" t="s">
        <v>56</v>
      </c>
      <c r="P159" s="7"/>
    </row>
    <row r="160" spans="1:16" x14ac:dyDescent="0.25">
      <c r="A160" s="14">
        <v>44989</v>
      </c>
      <c r="B160" s="14">
        <v>44989</v>
      </c>
      <c r="C160" s="14">
        <v>44989</v>
      </c>
      <c r="D160" s="6">
        <v>45020</v>
      </c>
      <c r="E160" s="6">
        <v>45032</v>
      </c>
      <c r="F160" s="7">
        <v>23828</v>
      </c>
      <c r="G160" s="8" t="s">
        <v>1292</v>
      </c>
      <c r="H160" s="8" t="s">
        <v>1293</v>
      </c>
      <c r="I160" s="8">
        <v>11588</v>
      </c>
      <c r="J160" s="8">
        <v>12040</v>
      </c>
      <c r="K160" s="8">
        <f>Tabla1567937[[#This Row],[PRECIO CLIENTE]]-Tabla1567937[[#This Row],[CANTIDAD PUBLICA]]</f>
        <v>452</v>
      </c>
      <c r="L160" s="8">
        <f>Tabla1567937[[#This Row],[COMISION AGENCIA]]*0.05</f>
        <v>22.6</v>
      </c>
      <c r="M160" s="7">
        <v>3487899244</v>
      </c>
      <c r="N160" s="7" t="s">
        <v>1294</v>
      </c>
      <c r="O160" s="7" t="s">
        <v>997</v>
      </c>
      <c r="P160" s="7"/>
    </row>
    <row r="161" spans="1:16" x14ac:dyDescent="0.25">
      <c r="A161" s="14">
        <v>44989</v>
      </c>
      <c r="B161" s="14">
        <v>44989</v>
      </c>
      <c r="C161" s="14">
        <v>44989</v>
      </c>
      <c r="D161" s="6">
        <v>45033</v>
      </c>
      <c r="E161" s="6">
        <v>45037</v>
      </c>
      <c r="F161" s="7">
        <v>23827</v>
      </c>
      <c r="G161" s="8" t="s">
        <v>1295</v>
      </c>
      <c r="H161" s="158" t="s">
        <v>1296</v>
      </c>
      <c r="I161" s="8">
        <v>14672</v>
      </c>
      <c r="J161" s="8">
        <v>12765</v>
      </c>
      <c r="K161" s="8">
        <f>Tabla1567937[[#This Row],[CANTIDAD PUBLICA]]*0.05</f>
        <v>733.6</v>
      </c>
      <c r="L161" s="8"/>
      <c r="M161" s="7">
        <v>3481093909</v>
      </c>
      <c r="N161" s="7" t="s">
        <v>1297</v>
      </c>
      <c r="O161" s="7" t="s">
        <v>864</v>
      </c>
      <c r="P161" s="7"/>
    </row>
    <row r="162" spans="1:16" x14ac:dyDescent="0.25">
      <c r="A162" s="14">
        <v>44989</v>
      </c>
      <c r="B162" s="14">
        <v>44989</v>
      </c>
      <c r="C162" s="14">
        <v>44989</v>
      </c>
      <c r="D162" s="6">
        <v>45033</v>
      </c>
      <c r="E162" s="6">
        <v>45037</v>
      </c>
      <c r="F162" s="7">
        <v>23827</v>
      </c>
      <c r="G162" s="8" t="s">
        <v>1295</v>
      </c>
      <c r="H162" s="158" t="s">
        <v>1290</v>
      </c>
      <c r="I162" s="8">
        <v>6226</v>
      </c>
      <c r="J162" s="8">
        <v>6825</v>
      </c>
      <c r="K162" s="8">
        <f>Tabla1567937[[#This Row],[PRECIO CLIENTE]]-Tabla1567937[[#This Row],[CANTIDAD PUBLICA]]</f>
        <v>599</v>
      </c>
      <c r="L162" s="8"/>
      <c r="M162" s="7">
        <v>3481093909</v>
      </c>
      <c r="N162" s="7" t="s">
        <v>1298</v>
      </c>
      <c r="O162" s="7" t="s">
        <v>47</v>
      </c>
      <c r="P162" s="7"/>
    </row>
    <row r="163" spans="1:16" x14ac:dyDescent="0.25">
      <c r="A163" s="14">
        <v>44989</v>
      </c>
      <c r="B163" s="14">
        <v>44989</v>
      </c>
      <c r="C163" s="14">
        <v>44989</v>
      </c>
      <c r="D163" s="6">
        <v>45033</v>
      </c>
      <c r="E163" s="6">
        <v>45037</v>
      </c>
      <c r="F163" s="7">
        <v>23827</v>
      </c>
      <c r="G163" s="8" t="s">
        <v>1295</v>
      </c>
      <c r="H163" s="158" t="s">
        <v>1299</v>
      </c>
      <c r="I163" s="8"/>
      <c r="J163" s="8">
        <v>700</v>
      </c>
      <c r="K163" s="8">
        <f>Tabla1567937[[#This Row],[CANTIDAD PUBLICA]]*0.05</f>
        <v>0</v>
      </c>
      <c r="L163" s="8"/>
      <c r="M163" s="7">
        <v>3481093909</v>
      </c>
      <c r="N163" s="7"/>
      <c r="O163" s="7"/>
      <c r="P163" s="7"/>
    </row>
    <row r="164" spans="1:16" x14ac:dyDescent="0.25">
      <c r="A164" s="14">
        <v>44993</v>
      </c>
      <c r="B164" s="14">
        <v>44993</v>
      </c>
      <c r="C164" s="14">
        <v>44993</v>
      </c>
      <c r="D164" s="6">
        <v>45028</v>
      </c>
      <c r="E164" s="7"/>
      <c r="F164" s="7">
        <v>23899</v>
      </c>
      <c r="G164" s="79" t="s">
        <v>1300</v>
      </c>
      <c r="H164" s="8" t="s">
        <v>1202</v>
      </c>
      <c r="I164" s="8">
        <v>2808</v>
      </c>
      <c r="J164" s="8">
        <v>3120</v>
      </c>
      <c r="K164" s="8">
        <f>Tabla1567937[[#This Row],[PRECIO CLIENTE]]-Tabla1567937[[#This Row],[CANTIDAD PUBLICA]]</f>
        <v>312</v>
      </c>
      <c r="L164" s="8">
        <f>Tabla1567937[[#This Row],[COMISION AGENCIA]]*0.05</f>
        <v>15.600000000000001</v>
      </c>
      <c r="M164" s="7"/>
      <c r="N164" s="7" t="s">
        <v>1301</v>
      </c>
      <c r="O164" s="7" t="s">
        <v>47</v>
      </c>
      <c r="P164" s="7"/>
    </row>
    <row r="165" spans="1:16" x14ac:dyDescent="0.25">
      <c r="A165" s="14">
        <v>44993</v>
      </c>
      <c r="B165" s="14">
        <v>44993</v>
      </c>
      <c r="C165" s="14">
        <v>44993</v>
      </c>
      <c r="D165" s="6">
        <v>44996</v>
      </c>
      <c r="E165" s="7"/>
      <c r="F165" s="7">
        <v>23854</v>
      </c>
      <c r="G165" s="8" t="s">
        <v>1302</v>
      </c>
      <c r="H165" s="8" t="s">
        <v>1303</v>
      </c>
      <c r="I165" s="8">
        <v>18550</v>
      </c>
      <c r="J165" s="8">
        <v>18850</v>
      </c>
      <c r="K165" s="8">
        <f>Tabla1567937[[#This Row],[PRECIO CLIENTE]]-Tabla1567937[[#This Row],[CANTIDAD PUBLICA]]</f>
        <v>300</v>
      </c>
      <c r="L165" s="8">
        <f>Tabla1567937[[#This Row],[COMISION AGENCIA]]*0.05</f>
        <v>15</v>
      </c>
      <c r="M165" s="7"/>
      <c r="N165" s="7" t="s">
        <v>1304</v>
      </c>
      <c r="O165" s="7" t="s">
        <v>876</v>
      </c>
      <c r="P165" s="7"/>
    </row>
    <row r="166" spans="1:16" x14ac:dyDescent="0.25">
      <c r="A166" s="14">
        <v>44994</v>
      </c>
      <c r="B166" s="14">
        <v>44994</v>
      </c>
      <c r="C166" s="14">
        <v>44994</v>
      </c>
      <c r="D166" s="6">
        <v>45018</v>
      </c>
      <c r="E166" s="6">
        <v>45028</v>
      </c>
      <c r="F166" s="7">
        <v>23903</v>
      </c>
      <c r="G166" s="8" t="s">
        <v>1305</v>
      </c>
      <c r="H166" s="8" t="s">
        <v>1306</v>
      </c>
      <c r="I166" s="8">
        <v>27866</v>
      </c>
      <c r="J166" s="8">
        <v>30620</v>
      </c>
      <c r="K166" s="8">
        <f>Tabla1567937[[#This Row],[PRECIO CLIENTE]]-Tabla1567937[[#This Row],[CANTIDAD PUBLICA]]</f>
        <v>2754</v>
      </c>
      <c r="L166" s="8">
        <f>Tabla1567937[[#This Row],[COMISION AGENCIA]]*0.05</f>
        <v>137.70000000000002</v>
      </c>
      <c r="M166" s="7"/>
      <c r="N166" s="7" t="s">
        <v>1307</v>
      </c>
      <c r="O166" s="7" t="s">
        <v>56</v>
      </c>
      <c r="P166" s="7"/>
    </row>
    <row r="167" spans="1:16" x14ac:dyDescent="0.25">
      <c r="A167" s="14">
        <v>44994</v>
      </c>
      <c r="B167" s="14">
        <v>44994</v>
      </c>
      <c r="C167" s="14">
        <v>44994</v>
      </c>
      <c r="D167" s="6">
        <v>44996</v>
      </c>
      <c r="E167" s="7"/>
      <c r="F167" s="7">
        <v>23902</v>
      </c>
      <c r="G167" s="8" t="s">
        <v>1308</v>
      </c>
      <c r="H167" s="8" t="s">
        <v>1018</v>
      </c>
      <c r="I167" s="8">
        <v>6730</v>
      </c>
      <c r="J167" s="8">
        <v>7610</v>
      </c>
      <c r="K167" s="8">
        <f>Tabla1567937[[#This Row],[PRECIO CLIENTE]]-Tabla1567937[[#This Row],[CANTIDAD PUBLICA]]</f>
        <v>880</v>
      </c>
      <c r="L167" s="8">
        <f>Tabla1567937[[#This Row],[COMISION AGENCIA]]*0.05</f>
        <v>44</v>
      </c>
      <c r="M167" s="7"/>
      <c r="N167" s="7" t="s">
        <v>1309</v>
      </c>
      <c r="O167" s="7" t="s">
        <v>56</v>
      </c>
      <c r="P167" s="7"/>
    </row>
    <row r="168" spans="1:16" x14ac:dyDescent="0.25">
      <c r="A168" s="14">
        <v>44996</v>
      </c>
      <c r="B168" s="14">
        <v>44996</v>
      </c>
      <c r="C168" s="14">
        <v>44985</v>
      </c>
      <c r="D168" s="6">
        <v>45020</v>
      </c>
      <c r="E168" s="6">
        <v>45024</v>
      </c>
      <c r="F168" s="79" t="s">
        <v>1310</v>
      </c>
      <c r="G168" s="8" t="s">
        <v>1311</v>
      </c>
      <c r="H168" s="158" t="s">
        <v>949</v>
      </c>
      <c r="I168" s="8">
        <v>22799</v>
      </c>
      <c r="J168" s="8">
        <v>19835</v>
      </c>
      <c r="K168" s="8">
        <f>Tabla1567937[[#This Row],[CANTIDAD PUBLICA]]*0.05</f>
        <v>1139.95</v>
      </c>
      <c r="L168" s="8">
        <f>Tabla1567937[[#This Row],[COMISION AGENCIA]]*0.05</f>
        <v>56.997500000000002</v>
      </c>
      <c r="M168" s="7">
        <v>3481001062</v>
      </c>
      <c r="N168" s="7" t="s">
        <v>1312</v>
      </c>
      <c r="O168" s="7" t="s">
        <v>864</v>
      </c>
      <c r="P168" s="7"/>
    </row>
    <row r="169" spans="1:16" x14ac:dyDescent="0.25">
      <c r="A169" s="14">
        <v>44996</v>
      </c>
      <c r="B169" s="14">
        <v>44996</v>
      </c>
      <c r="C169" s="14">
        <v>44996</v>
      </c>
      <c r="D169" s="6">
        <v>45038</v>
      </c>
      <c r="E169" s="6">
        <v>45068</v>
      </c>
      <c r="F169" s="6"/>
      <c r="G169" s="8" t="s">
        <v>1313</v>
      </c>
      <c r="H169" s="8" t="s">
        <v>1018</v>
      </c>
      <c r="I169" s="8">
        <v>9794</v>
      </c>
      <c r="J169" s="8">
        <v>10660</v>
      </c>
      <c r="K169" s="8">
        <f>Tabla1567937[[#This Row],[PRECIO CLIENTE]]-Tabla1567937[[#This Row],[CANTIDAD PUBLICA]]</f>
        <v>866</v>
      </c>
      <c r="L169" s="8">
        <f>Tabla1567937[[#This Row],[COMISION AGENCIA]]*0.05</f>
        <v>43.300000000000004</v>
      </c>
      <c r="M169" s="7"/>
      <c r="N169" s="7" t="s">
        <v>1314</v>
      </c>
      <c r="O169" s="7" t="s">
        <v>56</v>
      </c>
      <c r="P169" s="7"/>
    </row>
    <row r="170" spans="1:16" x14ac:dyDescent="0.25">
      <c r="A170" s="14">
        <v>44996</v>
      </c>
      <c r="B170" s="14">
        <v>44996</v>
      </c>
      <c r="C170" s="14">
        <v>44996</v>
      </c>
      <c r="D170" s="6">
        <v>45038</v>
      </c>
      <c r="E170" s="6">
        <v>45055</v>
      </c>
      <c r="F170" s="6"/>
      <c r="G170" s="8" t="s">
        <v>1315</v>
      </c>
      <c r="H170" s="8" t="s">
        <v>1018</v>
      </c>
      <c r="I170" s="8">
        <v>9794</v>
      </c>
      <c r="J170" s="8">
        <v>10660</v>
      </c>
      <c r="K170" s="8">
        <f>Tabla1567937[[#This Row],[PRECIO CLIENTE]]-Tabla1567937[[#This Row],[CANTIDAD PUBLICA]]</f>
        <v>866</v>
      </c>
      <c r="L170" s="8">
        <f>Tabla1567937[[#This Row],[COMISION AGENCIA]]*0.05</f>
        <v>43.300000000000004</v>
      </c>
      <c r="M170" s="7"/>
      <c r="N170" s="7" t="s">
        <v>1316</v>
      </c>
      <c r="O170" s="7" t="s">
        <v>56</v>
      </c>
      <c r="P170" s="7"/>
    </row>
    <row r="171" spans="1:16" x14ac:dyDescent="0.25">
      <c r="A171" s="14">
        <v>44999</v>
      </c>
      <c r="B171" s="14">
        <v>44999</v>
      </c>
      <c r="C171" s="14">
        <v>44999</v>
      </c>
      <c r="D171" s="67">
        <v>44999</v>
      </c>
      <c r="E171" s="7"/>
      <c r="F171" s="7">
        <v>23863</v>
      </c>
      <c r="G171" s="8" t="s">
        <v>1317</v>
      </c>
      <c r="H171" s="8" t="s">
        <v>1318</v>
      </c>
      <c r="I171" s="8">
        <v>4885</v>
      </c>
      <c r="J171" s="8">
        <v>5725</v>
      </c>
      <c r="K171" s="8">
        <f>Tabla1567937[[#This Row],[PRECIO CLIENTE]]-Tabla1567937[[#This Row],[CANTIDAD PUBLICA]]</f>
        <v>840</v>
      </c>
      <c r="L171" s="8">
        <f>Tabla1567937[[#This Row],[COMISION AGENCIA]]*0.05</f>
        <v>42</v>
      </c>
      <c r="M171" s="7"/>
      <c r="N171" s="7" t="s">
        <v>1319</v>
      </c>
      <c r="O171" s="7" t="s">
        <v>876</v>
      </c>
      <c r="P171" s="7"/>
    </row>
    <row r="172" spans="1:16" x14ac:dyDescent="0.25">
      <c r="A172" s="14">
        <v>45005</v>
      </c>
      <c r="B172" s="14">
        <v>45005</v>
      </c>
      <c r="C172" s="14">
        <v>45005</v>
      </c>
      <c r="D172" s="6">
        <v>45065</v>
      </c>
      <c r="E172" s="7"/>
      <c r="F172" s="7">
        <v>24083</v>
      </c>
      <c r="G172" s="80" t="s">
        <v>1320</v>
      </c>
      <c r="H172" s="8" t="s">
        <v>969</v>
      </c>
      <c r="I172" s="8">
        <v>922</v>
      </c>
      <c r="J172" s="8">
        <v>1245</v>
      </c>
      <c r="K172" s="8">
        <f>Tabla1567937[[#This Row],[PRECIO CLIENTE]]-Tabla1567937[[#This Row],[CANTIDAD PUBLICA]]</f>
        <v>323</v>
      </c>
      <c r="L172" s="8"/>
      <c r="M172" s="7"/>
      <c r="N172" s="7" t="s">
        <v>1321</v>
      </c>
      <c r="O172" s="7" t="s">
        <v>56</v>
      </c>
      <c r="P172" s="7"/>
    </row>
    <row r="173" spans="1:16" x14ac:dyDescent="0.25">
      <c r="A173" s="14">
        <v>45007</v>
      </c>
      <c r="B173" s="14">
        <v>45007</v>
      </c>
      <c r="C173" s="14">
        <v>45007</v>
      </c>
      <c r="D173" s="6">
        <v>45096</v>
      </c>
      <c r="E173" s="6">
        <v>45147</v>
      </c>
      <c r="F173" s="7" t="s">
        <v>1322</v>
      </c>
      <c r="G173" s="8" t="s">
        <v>1323</v>
      </c>
      <c r="H173" s="8" t="s">
        <v>1324</v>
      </c>
      <c r="I173" s="8">
        <v>19873</v>
      </c>
      <c r="J173" s="8">
        <v>21365</v>
      </c>
      <c r="K173" s="8">
        <f>Tabla1567937[[#This Row],[PRECIO CLIENTE]]-Tabla1567937[[#This Row],[CANTIDAD PUBLICA]]</f>
        <v>1492</v>
      </c>
      <c r="L173" s="8"/>
      <c r="M173" s="7"/>
      <c r="N173" s="7" t="s">
        <v>1325</v>
      </c>
      <c r="O173" s="7" t="s">
        <v>56</v>
      </c>
      <c r="P173" s="7"/>
    </row>
    <row r="174" spans="1:16" x14ac:dyDescent="0.25">
      <c r="A174" s="14">
        <v>45008</v>
      </c>
      <c r="B174" s="14">
        <v>45008</v>
      </c>
      <c r="C174" s="14">
        <v>45008</v>
      </c>
      <c r="D174" s="6">
        <v>45019</v>
      </c>
      <c r="E174" s="6">
        <v>45025</v>
      </c>
      <c r="F174" s="7" t="s">
        <v>1326</v>
      </c>
      <c r="G174" s="79" t="s">
        <v>1327</v>
      </c>
      <c r="H174" s="8" t="s">
        <v>1185</v>
      </c>
      <c r="I174" s="8">
        <v>13068</v>
      </c>
      <c r="J174" s="8">
        <v>14020</v>
      </c>
      <c r="K174" s="8">
        <f>Tabla1567937[[#This Row],[PRECIO CLIENTE]]-Tabla1567937[[#This Row],[CANTIDAD PUBLICA]]</f>
        <v>952</v>
      </c>
      <c r="L174" s="8"/>
      <c r="M174" s="7"/>
      <c r="N174" s="7" t="s">
        <v>1328</v>
      </c>
      <c r="O174" s="7" t="s">
        <v>56</v>
      </c>
      <c r="P174" s="7"/>
    </row>
    <row r="175" spans="1:16" x14ac:dyDescent="0.25">
      <c r="A175" s="14">
        <v>45010</v>
      </c>
      <c r="B175" s="14">
        <v>45010</v>
      </c>
      <c r="C175" s="14">
        <v>45010</v>
      </c>
      <c r="D175" s="6">
        <v>45059</v>
      </c>
      <c r="E175" s="6">
        <v>45073</v>
      </c>
      <c r="F175" s="7" t="s">
        <v>1329</v>
      </c>
      <c r="G175" s="80" t="s">
        <v>1330</v>
      </c>
      <c r="H175" s="8" t="s">
        <v>1331</v>
      </c>
      <c r="I175" s="8">
        <v>25895</v>
      </c>
      <c r="J175" s="8">
        <v>26990</v>
      </c>
      <c r="K175" s="8">
        <f>Tabla1567937[[#This Row],[PRECIO CLIENTE]]-Tabla1567937[[#This Row],[CANTIDAD PUBLICA]]</f>
        <v>1095</v>
      </c>
      <c r="L175" s="8"/>
      <c r="M175" s="7"/>
      <c r="N175" s="7" t="s">
        <v>1332</v>
      </c>
      <c r="O175" s="7" t="s">
        <v>1266</v>
      </c>
      <c r="P175" s="7"/>
    </row>
    <row r="176" spans="1:16" x14ac:dyDescent="0.25">
      <c r="A176" s="14">
        <v>45010</v>
      </c>
      <c r="B176" s="14">
        <v>45010</v>
      </c>
      <c r="C176" s="14">
        <v>45010</v>
      </c>
      <c r="D176" s="6">
        <v>45010</v>
      </c>
      <c r="E176" s="6">
        <v>45035</v>
      </c>
      <c r="F176" s="7">
        <v>24172</v>
      </c>
      <c r="G176" s="80" t="s">
        <v>1333</v>
      </c>
      <c r="H176" s="8" t="s">
        <v>1334</v>
      </c>
      <c r="I176" s="8">
        <v>16060</v>
      </c>
      <c r="J176" s="8">
        <v>18160</v>
      </c>
      <c r="K176" s="8">
        <f>Tabla1567937[[#This Row],[PRECIO CLIENTE]]-Tabla1567937[[#This Row],[CANTIDAD PUBLICA]]</f>
        <v>2100</v>
      </c>
      <c r="L176" s="8"/>
      <c r="M176" s="7"/>
      <c r="N176" s="7" t="s">
        <v>1335</v>
      </c>
      <c r="O176" s="7" t="s">
        <v>56</v>
      </c>
      <c r="P176" s="7"/>
    </row>
    <row r="177" spans="1:16" x14ac:dyDescent="0.25">
      <c r="A177" s="14">
        <v>45013</v>
      </c>
      <c r="B177" s="14">
        <v>45013</v>
      </c>
      <c r="C177" s="14">
        <v>45013</v>
      </c>
      <c r="D177" s="6">
        <v>45071</v>
      </c>
      <c r="E177" s="7"/>
      <c r="F177" s="7">
        <v>24202</v>
      </c>
      <c r="G177" s="79" t="s">
        <v>1336</v>
      </c>
      <c r="H177" s="8" t="s">
        <v>1337</v>
      </c>
      <c r="I177" s="8">
        <v>2544</v>
      </c>
      <c r="J177" s="8">
        <v>2930</v>
      </c>
      <c r="K177" s="8">
        <f>Tabla1567937[[#This Row],[PRECIO CLIENTE]]-Tabla1567937[[#This Row],[CANTIDAD PUBLICA]]</f>
        <v>386</v>
      </c>
      <c r="L177" s="8"/>
      <c r="M177" s="7"/>
      <c r="N177" s="7" t="s">
        <v>1338</v>
      </c>
      <c r="O177" s="7" t="s">
        <v>56</v>
      </c>
      <c r="P177" s="7"/>
    </row>
    <row r="178" spans="1:16" x14ac:dyDescent="0.25">
      <c r="A178" s="14">
        <v>45017</v>
      </c>
      <c r="B178" s="14">
        <v>45017</v>
      </c>
      <c r="C178" s="14">
        <v>45017</v>
      </c>
      <c r="D178" s="151">
        <v>45037</v>
      </c>
      <c r="F178" s="7">
        <v>24278</v>
      </c>
      <c r="G178" s="79" t="s">
        <v>1339</v>
      </c>
      <c r="H178" s="7" t="s">
        <v>1340</v>
      </c>
      <c r="I178" s="8">
        <v>2432</v>
      </c>
      <c r="J178" s="8">
        <v>3070</v>
      </c>
      <c r="K178" s="8">
        <f>Tabla1567937[[#This Row],[CANTIDAD PUBLICA]]*0.05</f>
        <v>121.60000000000001</v>
      </c>
      <c r="L178" s="8"/>
      <c r="M178" s="7"/>
      <c r="N178" s="7" t="s">
        <v>1341</v>
      </c>
      <c r="O178" s="7" t="s">
        <v>47</v>
      </c>
      <c r="P178" s="7"/>
    </row>
    <row r="179" spans="1:16" x14ac:dyDescent="0.25">
      <c r="A179" s="14">
        <v>45017</v>
      </c>
      <c r="B179" s="14">
        <v>45017</v>
      </c>
      <c r="C179" s="14">
        <v>45017</v>
      </c>
      <c r="D179" s="6">
        <v>45019</v>
      </c>
      <c r="E179" s="6">
        <v>45024</v>
      </c>
      <c r="F179" s="7">
        <v>24277</v>
      </c>
      <c r="G179" s="8" t="s">
        <v>1342</v>
      </c>
      <c r="H179" s="8" t="s">
        <v>1343</v>
      </c>
      <c r="I179" s="8">
        <v>2400</v>
      </c>
      <c r="J179" s="8">
        <v>2400</v>
      </c>
      <c r="K179" s="8">
        <f>Tabla1567937[[#This Row],[CANTIDAD PUBLICA]]*AGENTES!D10</f>
        <v>480</v>
      </c>
      <c r="L179" s="8"/>
      <c r="M179" s="7"/>
      <c r="N179" s="7"/>
      <c r="O179" s="7" t="s">
        <v>1344</v>
      </c>
      <c r="P179" s="7"/>
    </row>
    <row r="180" spans="1:16" x14ac:dyDescent="0.25">
      <c r="A180" s="14">
        <v>45017</v>
      </c>
      <c r="B180" s="14">
        <v>45017</v>
      </c>
      <c r="C180" s="14">
        <v>45017</v>
      </c>
      <c r="D180" s="67">
        <v>45064</v>
      </c>
      <c r="E180" s="7"/>
      <c r="F180" s="7">
        <v>24276</v>
      </c>
      <c r="G180" s="79" t="s">
        <v>1345</v>
      </c>
      <c r="H180" s="8" t="s">
        <v>1346</v>
      </c>
      <c r="I180" s="8">
        <v>1148</v>
      </c>
      <c r="J180" s="8">
        <v>1408</v>
      </c>
      <c r="K180" s="8">
        <f>Tabla1567937[[#This Row],[PRECIO CLIENTE]]-Tabla1567937[[#This Row],[CANTIDAD PUBLICA]]</f>
        <v>260</v>
      </c>
      <c r="L180" s="8"/>
      <c r="M180" s="7"/>
      <c r="N180" s="7" t="s">
        <v>1347</v>
      </c>
      <c r="O180" s="7" t="s">
        <v>56</v>
      </c>
      <c r="P180" s="7"/>
    </row>
    <row r="181" spans="1:16" x14ac:dyDescent="0.25">
      <c r="A181" s="14">
        <v>45017</v>
      </c>
      <c r="B181" s="14">
        <v>45017</v>
      </c>
      <c r="C181" s="14">
        <v>45017</v>
      </c>
      <c r="D181" s="6">
        <v>45031</v>
      </c>
      <c r="E181" s="7"/>
      <c r="F181" s="7">
        <v>24273</v>
      </c>
      <c r="G181" s="79" t="s">
        <v>1348</v>
      </c>
      <c r="H181" s="8" t="s">
        <v>1228</v>
      </c>
      <c r="I181" s="8">
        <v>7080</v>
      </c>
      <c r="J181" s="8">
        <v>8000</v>
      </c>
      <c r="K181" s="8">
        <f>Tabla1567937[[#This Row],[PRECIO CLIENTE]]-Tabla1567937[[#This Row],[CANTIDAD PUBLICA]]</f>
        <v>920</v>
      </c>
      <c r="L181" s="8"/>
      <c r="M181" s="7"/>
      <c r="N181" s="7" t="s">
        <v>1349</v>
      </c>
      <c r="O181" s="7" t="s">
        <v>56</v>
      </c>
      <c r="P181" s="7"/>
    </row>
    <row r="182" spans="1:16" x14ac:dyDescent="0.25">
      <c r="A182" s="14">
        <v>45022</v>
      </c>
      <c r="B182" s="14">
        <v>45022</v>
      </c>
      <c r="C182" s="14">
        <v>45022</v>
      </c>
      <c r="D182" s="6">
        <v>45043</v>
      </c>
      <c r="E182" s="7"/>
      <c r="F182" s="7">
        <v>24334</v>
      </c>
      <c r="G182" s="8" t="s">
        <v>890</v>
      </c>
      <c r="H182" s="158" t="s">
        <v>1228</v>
      </c>
      <c r="I182" s="8">
        <v>6374</v>
      </c>
      <c r="J182" s="8">
        <v>7130</v>
      </c>
      <c r="K182" s="8">
        <f>Tabla1567937[[#This Row],[CANTIDAD PUBLICA]]*0.05</f>
        <v>318.70000000000005</v>
      </c>
      <c r="L182" s="8"/>
      <c r="M182" s="7"/>
      <c r="N182" s="7" t="s">
        <v>1350</v>
      </c>
      <c r="O182" s="7" t="s">
        <v>56</v>
      </c>
      <c r="P182" s="7"/>
    </row>
    <row r="183" spans="1:16" x14ac:dyDescent="0.25">
      <c r="A183" s="14">
        <v>45027</v>
      </c>
      <c r="B183" s="14">
        <v>45027</v>
      </c>
      <c r="C183" s="14">
        <v>45027</v>
      </c>
      <c r="D183" s="6">
        <v>45031</v>
      </c>
      <c r="E183" s="7"/>
      <c r="F183" s="7">
        <v>24378</v>
      </c>
      <c r="G183" s="79" t="s">
        <v>1351</v>
      </c>
      <c r="H183" s="8" t="s">
        <v>1352</v>
      </c>
      <c r="I183" s="8">
        <v>1089</v>
      </c>
      <c r="J183" s="8">
        <v>1435</v>
      </c>
      <c r="K183" s="8">
        <f>Tabla1567937[[#This Row],[PRECIO CLIENTE]]-Tabla1567937[[#This Row],[CANTIDAD PUBLICA]]</f>
        <v>346</v>
      </c>
      <c r="L183" s="8"/>
      <c r="M183" s="7"/>
      <c r="N183" s="7" t="s">
        <v>1353</v>
      </c>
      <c r="O183" s="7" t="s">
        <v>47</v>
      </c>
      <c r="P183" s="7"/>
    </row>
    <row r="184" spans="1:16" x14ac:dyDescent="0.25">
      <c r="A184" s="14">
        <v>45028</v>
      </c>
      <c r="B184" s="14">
        <v>45028</v>
      </c>
      <c r="C184" s="14">
        <v>45028</v>
      </c>
      <c r="D184" s="6">
        <v>45261</v>
      </c>
      <c r="E184" s="6">
        <v>45205</v>
      </c>
      <c r="F184" s="7">
        <v>24401</v>
      </c>
      <c r="G184" s="79" t="s">
        <v>1354</v>
      </c>
      <c r="H184" s="8" t="s">
        <v>1355</v>
      </c>
      <c r="I184" s="8">
        <v>7777</v>
      </c>
      <c r="J184" s="8">
        <v>10220</v>
      </c>
      <c r="K184" s="8">
        <f>Tabla1567937[[#This Row],[PRECIO CLIENTE]]-Tabla1567937[[#This Row],[CANTIDAD PUBLICA]]</f>
        <v>2443</v>
      </c>
      <c r="L184" s="8"/>
      <c r="M184" s="7"/>
      <c r="N184" s="7" t="s">
        <v>1356</v>
      </c>
      <c r="O184" s="7" t="s">
        <v>56</v>
      </c>
      <c r="P184" s="7"/>
    </row>
    <row r="185" spans="1:16" x14ac:dyDescent="0.25">
      <c r="A185" s="14">
        <v>45030</v>
      </c>
      <c r="B185" s="14">
        <v>45030</v>
      </c>
      <c r="C185" s="14">
        <v>45030</v>
      </c>
      <c r="D185" s="6">
        <v>45032</v>
      </c>
      <c r="E185" s="7"/>
      <c r="F185" s="7">
        <v>24458</v>
      </c>
      <c r="G185" s="79" t="s">
        <v>1357</v>
      </c>
      <c r="H185" s="8" t="s">
        <v>1021</v>
      </c>
      <c r="I185" s="8">
        <v>3886</v>
      </c>
      <c r="J185" s="8">
        <v>7370</v>
      </c>
      <c r="K185" s="8">
        <f>Tabla1567937[[#This Row],[PRECIO CLIENTE]]-Tabla1567937[[#This Row],[CANTIDAD PUBLICA]]</f>
        <v>3484</v>
      </c>
      <c r="L185" s="8"/>
      <c r="M185" s="7"/>
      <c r="N185" s="7" t="s">
        <v>1358</v>
      </c>
      <c r="O185" s="7" t="s">
        <v>56</v>
      </c>
      <c r="P185" s="7"/>
    </row>
    <row r="186" spans="1:16" x14ac:dyDescent="0.25">
      <c r="A186" s="14">
        <v>45037</v>
      </c>
      <c r="B186" s="14">
        <v>45037</v>
      </c>
      <c r="C186" s="14">
        <v>45037</v>
      </c>
      <c r="D186" s="6">
        <v>45048</v>
      </c>
      <c r="E186" s="7"/>
      <c r="F186" s="7">
        <v>24560</v>
      </c>
      <c r="G186" s="79" t="s">
        <v>1359</v>
      </c>
      <c r="H186" s="8" t="s">
        <v>1352</v>
      </c>
      <c r="I186" s="8">
        <v>1900</v>
      </c>
      <c r="J186" s="8">
        <v>2700</v>
      </c>
      <c r="K186" s="8">
        <f>Tabla1567937[[#This Row],[PRECIO CLIENTE]]-Tabla1567937[[#This Row],[CANTIDAD PUBLICA]]</f>
        <v>800</v>
      </c>
      <c r="L186" s="8"/>
      <c r="M186" s="7"/>
      <c r="N186" s="7" t="s">
        <v>1360</v>
      </c>
      <c r="O186" s="7" t="s">
        <v>56</v>
      </c>
      <c r="P186" s="7"/>
    </row>
    <row r="187" spans="1:16" x14ac:dyDescent="0.25">
      <c r="A187" s="14">
        <v>45038</v>
      </c>
      <c r="B187" s="14">
        <v>45038</v>
      </c>
      <c r="C187" s="14">
        <v>45038</v>
      </c>
      <c r="D187" s="6">
        <v>45088</v>
      </c>
      <c r="E187" s="7"/>
      <c r="F187" s="7">
        <v>24578</v>
      </c>
      <c r="G187" s="80" t="s">
        <v>1361</v>
      </c>
      <c r="H187" s="8" t="s">
        <v>1362</v>
      </c>
      <c r="I187" s="8">
        <v>5520</v>
      </c>
      <c r="J187" s="8">
        <v>6575</v>
      </c>
      <c r="K187" s="8">
        <f>Tabla1567937[[#This Row],[PRECIO CLIENTE]]-Tabla1567937[[#This Row],[CANTIDAD PUBLICA]]</f>
        <v>1055</v>
      </c>
      <c r="L187" s="8"/>
      <c r="M187" s="7"/>
      <c r="N187" s="7" t="s">
        <v>1363</v>
      </c>
      <c r="O187" s="7" t="s">
        <v>56</v>
      </c>
      <c r="P187" s="7"/>
    </row>
    <row r="188" spans="1:16" x14ac:dyDescent="0.25">
      <c r="A188" s="14">
        <v>45043</v>
      </c>
      <c r="B188" s="14">
        <v>45044</v>
      </c>
      <c r="C188" s="14">
        <v>44956</v>
      </c>
      <c r="D188" s="6">
        <v>45057</v>
      </c>
      <c r="E188" s="6">
        <v>45060</v>
      </c>
      <c r="F188" s="83">
        <v>23386</v>
      </c>
      <c r="G188" s="8" t="s">
        <v>1364</v>
      </c>
      <c r="H188" s="158" t="s">
        <v>1126</v>
      </c>
      <c r="I188" s="8">
        <v>15598</v>
      </c>
      <c r="J188" s="8">
        <v>13570</v>
      </c>
      <c r="K188" s="8">
        <f>Tabla1567937[[#This Row],[CANTIDAD PUBLICA]]*0.05</f>
        <v>779.90000000000009</v>
      </c>
      <c r="L188" s="8">
        <f>Tabla1567937[[#This Row],[COMISION AGENCIA]]*0.05</f>
        <v>38.995000000000005</v>
      </c>
      <c r="M188" s="7">
        <v>3481364756</v>
      </c>
      <c r="N188" s="7" t="s">
        <v>1365</v>
      </c>
      <c r="O188" s="7" t="s">
        <v>864</v>
      </c>
      <c r="P188" s="7"/>
    </row>
    <row r="189" spans="1:16" x14ac:dyDescent="0.25">
      <c r="A189" s="14">
        <v>45043</v>
      </c>
      <c r="B189" s="14">
        <v>45044</v>
      </c>
      <c r="C189" s="14">
        <v>44956</v>
      </c>
      <c r="D189" s="6">
        <v>45057</v>
      </c>
      <c r="E189" s="6">
        <v>45060</v>
      </c>
      <c r="F189" s="83">
        <v>23386</v>
      </c>
      <c r="G189" s="8" t="s">
        <v>1366</v>
      </c>
      <c r="H189" s="158" t="s">
        <v>1126</v>
      </c>
      <c r="I189" s="8">
        <v>15598</v>
      </c>
      <c r="J189" s="8">
        <v>13570</v>
      </c>
      <c r="K189" s="8">
        <f>Tabla1567937[[#This Row],[CANTIDAD PUBLICA]]*0.05</f>
        <v>779.90000000000009</v>
      </c>
      <c r="L189" s="8">
        <f>Tabla1567937[[#This Row],[COMISION AGENCIA]]*0.05</f>
        <v>38.995000000000005</v>
      </c>
      <c r="M189" s="7">
        <v>3481364756</v>
      </c>
      <c r="N189" s="7" t="s">
        <v>1367</v>
      </c>
      <c r="O189" s="7" t="s">
        <v>864</v>
      </c>
      <c r="P189" s="7"/>
    </row>
    <row r="190" spans="1:16" x14ac:dyDescent="0.25">
      <c r="A190" s="14">
        <f>Tabla1567937[[#This Row],[FECHA IN]]-15</f>
        <v>45046</v>
      </c>
      <c r="B190" s="14">
        <v>44868</v>
      </c>
      <c r="C190" s="14">
        <v>44867</v>
      </c>
      <c r="D190" s="6">
        <v>45061</v>
      </c>
      <c r="E190" s="6">
        <v>45064</v>
      </c>
      <c r="F190" s="7"/>
      <c r="G190" s="91" t="s">
        <v>1368</v>
      </c>
      <c r="H190" s="158" t="s">
        <v>862</v>
      </c>
      <c r="I190" s="8">
        <v>10422</v>
      </c>
      <c r="J190" s="8">
        <v>9070</v>
      </c>
      <c r="K190" s="8">
        <f>Tabla1567937[[#This Row],[CANTIDAD PUBLICA]]*0.05</f>
        <v>521.1</v>
      </c>
      <c r="L190" s="8">
        <f>Tabla1567937[[#This Row],[COMISION AGENCIA]]*0.05</f>
        <v>26.055000000000003</v>
      </c>
      <c r="M190" s="7">
        <v>4476317594</v>
      </c>
      <c r="N190" s="7" t="s">
        <v>1369</v>
      </c>
      <c r="O190" s="7" t="s">
        <v>864</v>
      </c>
      <c r="P190" s="7"/>
    </row>
    <row r="191" spans="1:16" x14ac:dyDescent="0.25">
      <c r="A191" s="14">
        <f>Tabla1567937[[#This Row],[FECHA IN]]-15</f>
        <v>45046</v>
      </c>
      <c r="B191" s="14">
        <v>44868</v>
      </c>
      <c r="C191" s="14">
        <v>44867</v>
      </c>
      <c r="D191" s="6">
        <v>45061</v>
      </c>
      <c r="E191" s="6">
        <v>45064</v>
      </c>
      <c r="F191" s="7"/>
      <c r="G191" s="91" t="s">
        <v>1370</v>
      </c>
      <c r="H191" s="158" t="s">
        <v>862</v>
      </c>
      <c r="I191" s="8">
        <v>12690</v>
      </c>
      <c r="J191" s="8">
        <v>11045</v>
      </c>
      <c r="K191" s="8">
        <f>Tabla1567937[[#This Row],[CANTIDAD PUBLICA]]*0.05</f>
        <v>634.5</v>
      </c>
      <c r="L191" s="8">
        <f>Tabla1567937[[#This Row],[COMISION AGENCIA]]*0.05</f>
        <v>31.725000000000001</v>
      </c>
      <c r="M191" s="7">
        <v>4476317594</v>
      </c>
      <c r="N191" s="7" t="s">
        <v>1371</v>
      </c>
      <c r="O191" s="7" t="s">
        <v>864</v>
      </c>
      <c r="P191" s="7"/>
    </row>
    <row r="192" spans="1:16" x14ac:dyDescent="0.25">
      <c r="A192" s="14">
        <f>Tabla1567937[[#This Row],[FECHA IN]]-15</f>
        <v>45046</v>
      </c>
      <c r="B192" s="14">
        <v>44868</v>
      </c>
      <c r="C192" s="14">
        <v>44867</v>
      </c>
      <c r="D192" s="6">
        <v>45061</v>
      </c>
      <c r="E192" s="6">
        <v>45064</v>
      </c>
      <c r="F192" s="7"/>
      <c r="G192" s="8" t="s">
        <v>1372</v>
      </c>
      <c r="H192" s="158" t="s">
        <v>862</v>
      </c>
      <c r="I192" s="8">
        <v>12690</v>
      </c>
      <c r="J192" s="8">
        <v>11045</v>
      </c>
      <c r="K192" s="8">
        <f>Tabla1567937[[#This Row],[CANTIDAD PUBLICA]]*0.05</f>
        <v>634.5</v>
      </c>
      <c r="L192" s="8">
        <f>Tabla1567937[[#This Row],[COMISION AGENCIA]]*0.05</f>
        <v>31.725000000000001</v>
      </c>
      <c r="M192" s="7">
        <v>4476317594</v>
      </c>
      <c r="N192" s="7" t="s">
        <v>1373</v>
      </c>
      <c r="O192" s="7" t="s">
        <v>864</v>
      </c>
      <c r="P192" s="7"/>
    </row>
    <row r="193" spans="1:16" x14ac:dyDescent="0.25">
      <c r="A193" s="14">
        <f>Tabla1567937[[#This Row],[FECHA IN]]-15</f>
        <v>45046</v>
      </c>
      <c r="B193" s="14">
        <v>44868</v>
      </c>
      <c r="C193" s="14">
        <v>44867</v>
      </c>
      <c r="D193" s="6">
        <v>45061</v>
      </c>
      <c r="E193" s="6">
        <v>45064</v>
      </c>
      <c r="F193" s="7"/>
      <c r="G193" s="8" t="s">
        <v>1374</v>
      </c>
      <c r="H193" s="158" t="s">
        <v>862</v>
      </c>
      <c r="I193" s="8">
        <v>10422</v>
      </c>
      <c r="J193" s="8">
        <v>9070</v>
      </c>
      <c r="K193" s="8">
        <f>Tabla1567937[[#This Row],[CANTIDAD PUBLICA]]*0.05</f>
        <v>521.1</v>
      </c>
      <c r="L193" s="8">
        <f>Tabla1567937[[#This Row],[COMISION AGENCIA]]*0.05</f>
        <v>26.055000000000003</v>
      </c>
      <c r="M193" s="7">
        <v>4476317594</v>
      </c>
      <c r="N193" s="7" t="s">
        <v>1375</v>
      </c>
      <c r="O193" s="7" t="s">
        <v>864</v>
      </c>
      <c r="P193" s="7"/>
    </row>
    <row r="194" spans="1:16" x14ac:dyDescent="0.25">
      <c r="A194" s="14">
        <v>45070</v>
      </c>
      <c r="B194" s="14">
        <v>45071</v>
      </c>
      <c r="C194" s="14">
        <v>44972</v>
      </c>
      <c r="D194" s="6">
        <v>45086</v>
      </c>
      <c r="E194" s="6">
        <v>45090</v>
      </c>
      <c r="F194" s="7">
        <v>23591</v>
      </c>
      <c r="G194" s="8" t="s">
        <v>1376</v>
      </c>
      <c r="H194" s="8" t="s">
        <v>1377</v>
      </c>
      <c r="I194" s="8">
        <v>22748</v>
      </c>
      <c r="J194" s="8">
        <v>21380</v>
      </c>
      <c r="K194" s="8">
        <f>Tabla1567937[[#This Row],[CANTIDAD PUBLICA]]*0.05</f>
        <v>1137.4000000000001</v>
      </c>
      <c r="L194" s="8">
        <f>Tabla1567937[[#This Row],[COMISION AGENCIA]]*0.05</f>
        <v>56.870000000000005</v>
      </c>
      <c r="M194" s="7">
        <v>3481948930</v>
      </c>
      <c r="N194" s="7">
        <v>1047875</v>
      </c>
      <c r="O194" s="7" t="s">
        <v>1121</v>
      </c>
      <c r="P194" s="7"/>
    </row>
    <row r="195" spans="1:16" x14ac:dyDescent="0.25">
      <c r="A195" s="14">
        <v>45070</v>
      </c>
      <c r="B195" s="14">
        <v>45071</v>
      </c>
      <c r="C195" s="14">
        <v>44972</v>
      </c>
      <c r="D195" s="6">
        <v>45086</v>
      </c>
      <c r="E195" s="6">
        <v>45090</v>
      </c>
      <c r="F195" s="7">
        <v>23591</v>
      </c>
      <c r="G195" s="8" t="s">
        <v>1378</v>
      </c>
      <c r="H195" s="8" t="s">
        <v>1377</v>
      </c>
      <c r="I195" s="8">
        <v>32418</v>
      </c>
      <c r="J195" s="8">
        <v>29645</v>
      </c>
      <c r="K195" s="8">
        <f>Tabla1567937[[#This Row],[CANTIDAD PUBLICA]]*0.05</f>
        <v>1620.9</v>
      </c>
      <c r="L195" s="8">
        <f>Tabla1567937[[#This Row],[COMISION AGENCIA]]*0.05</f>
        <v>81.045000000000016</v>
      </c>
      <c r="M195" s="7">
        <v>3481948930</v>
      </c>
      <c r="N195" s="7">
        <v>10478780</v>
      </c>
      <c r="O195" s="7" t="s">
        <v>1121</v>
      </c>
      <c r="P195" s="7"/>
    </row>
    <row r="196" spans="1:16" x14ac:dyDescent="0.25">
      <c r="A196" s="14">
        <v>45090</v>
      </c>
      <c r="B196" s="14">
        <v>45090</v>
      </c>
      <c r="C196" s="14">
        <v>45090</v>
      </c>
      <c r="D196" s="6">
        <v>45148</v>
      </c>
      <c r="E196" s="6">
        <v>45162</v>
      </c>
      <c r="F196" s="7">
        <v>25466</v>
      </c>
      <c r="G196" s="8" t="s">
        <v>1379</v>
      </c>
      <c r="H196" s="195" t="s">
        <v>1380</v>
      </c>
      <c r="I196" s="8">
        <v>13684</v>
      </c>
      <c r="J196" s="8">
        <v>15720</v>
      </c>
      <c r="K196" s="8"/>
      <c r="L196" s="8"/>
      <c r="M196" s="7">
        <v>34812954063</v>
      </c>
      <c r="N196" s="7" t="s">
        <v>1381</v>
      </c>
      <c r="O196" s="7" t="s">
        <v>56</v>
      </c>
      <c r="P196" s="7"/>
    </row>
    <row r="197" spans="1:16" x14ac:dyDescent="0.25">
      <c r="A197" s="14">
        <v>45091</v>
      </c>
      <c r="B197" s="14">
        <v>45091</v>
      </c>
      <c r="C197" s="14">
        <v>45091</v>
      </c>
      <c r="D197" s="6">
        <v>45100</v>
      </c>
      <c r="E197" s="6">
        <v>45103</v>
      </c>
      <c r="F197" s="7">
        <v>25497</v>
      </c>
      <c r="G197" s="8" t="s">
        <v>1382</v>
      </c>
      <c r="H197" s="195" t="s">
        <v>1383</v>
      </c>
      <c r="I197" s="8">
        <v>21914</v>
      </c>
      <c r="J197" s="8">
        <v>19080</v>
      </c>
      <c r="K197" s="8"/>
      <c r="L197" s="8"/>
      <c r="M197" s="7">
        <v>3481020965</v>
      </c>
      <c r="N197" s="7" t="s">
        <v>1384</v>
      </c>
      <c r="O197" s="7" t="s">
        <v>1385</v>
      </c>
      <c r="P197" s="7"/>
    </row>
    <row r="198" spans="1:16" x14ac:dyDescent="0.25">
      <c r="A198" s="14">
        <v>45099</v>
      </c>
      <c r="B198" s="14">
        <v>45099</v>
      </c>
      <c r="C198" s="14">
        <v>45099</v>
      </c>
      <c r="D198" s="6">
        <v>45105</v>
      </c>
      <c r="E198" s="7"/>
      <c r="F198" s="7">
        <v>25638</v>
      </c>
      <c r="G198" s="8" t="s">
        <v>1386</v>
      </c>
      <c r="H198" s="195" t="s">
        <v>1387</v>
      </c>
      <c r="I198" s="8">
        <v>1225</v>
      </c>
      <c r="J198" s="8">
        <v>1600</v>
      </c>
      <c r="K198" s="8"/>
      <c r="L198" s="8"/>
      <c r="M198" s="7"/>
      <c r="N198" s="7" t="s">
        <v>1388</v>
      </c>
      <c r="O198" s="7" t="s">
        <v>47</v>
      </c>
      <c r="P198" s="7"/>
    </row>
    <row r="199" spans="1:16" x14ac:dyDescent="0.25">
      <c r="A199" s="14">
        <v>45099</v>
      </c>
      <c r="B199" s="14">
        <v>45099</v>
      </c>
      <c r="C199" s="14">
        <v>45099</v>
      </c>
      <c r="D199" s="6">
        <v>45105</v>
      </c>
      <c r="E199" s="7"/>
      <c r="F199" s="7">
        <v>25640</v>
      </c>
      <c r="G199" s="8" t="s">
        <v>1389</v>
      </c>
      <c r="H199" s="195" t="s">
        <v>1003</v>
      </c>
      <c r="I199" s="8">
        <v>5607</v>
      </c>
      <c r="J199" s="8">
        <v>6305</v>
      </c>
      <c r="K199" s="8"/>
      <c r="L199" s="8"/>
      <c r="M199" s="7"/>
      <c r="N199" s="7" t="s">
        <v>1390</v>
      </c>
      <c r="O199" s="7" t="s">
        <v>47</v>
      </c>
      <c r="P199" s="7"/>
    </row>
    <row r="200" spans="1:16" x14ac:dyDescent="0.25">
      <c r="A200" s="14">
        <v>45099</v>
      </c>
      <c r="B200" s="14">
        <v>45099</v>
      </c>
      <c r="C200" s="14">
        <v>45099</v>
      </c>
      <c r="D200" s="6">
        <v>45105</v>
      </c>
      <c r="E200" s="7"/>
      <c r="F200" s="7">
        <v>25641</v>
      </c>
      <c r="G200" s="8" t="s">
        <v>1391</v>
      </c>
      <c r="H200" s="195" t="s">
        <v>1003</v>
      </c>
      <c r="I200" s="8">
        <v>1869</v>
      </c>
      <c r="J200" s="8">
        <v>2168</v>
      </c>
      <c r="K200" s="8"/>
      <c r="L200" s="8"/>
      <c r="M200" s="7"/>
      <c r="N200" s="7" t="s">
        <v>1392</v>
      </c>
      <c r="O200" s="7" t="s">
        <v>47</v>
      </c>
      <c r="P200" s="7"/>
    </row>
    <row r="201" spans="1:16" x14ac:dyDescent="0.25">
      <c r="A201" s="14">
        <v>45100</v>
      </c>
      <c r="B201" s="14">
        <v>45100</v>
      </c>
      <c r="C201" s="14">
        <v>45100</v>
      </c>
      <c r="D201" s="6">
        <v>45148</v>
      </c>
      <c r="E201" s="6">
        <v>45152</v>
      </c>
      <c r="F201" s="6"/>
      <c r="G201" s="8" t="s">
        <v>1393</v>
      </c>
      <c r="H201" s="8" t="s">
        <v>1394</v>
      </c>
      <c r="I201" s="8">
        <v>3206</v>
      </c>
      <c r="J201" s="8">
        <v>4450</v>
      </c>
      <c r="K201" s="8"/>
      <c r="L201" s="8"/>
      <c r="M201" s="7">
        <v>3481338922</v>
      </c>
      <c r="N201" s="7" t="s">
        <v>1395</v>
      </c>
      <c r="O201" s="7" t="s">
        <v>56</v>
      </c>
      <c r="P201" s="7"/>
    </row>
    <row r="202" spans="1:16" x14ac:dyDescent="0.25">
      <c r="A202" s="14">
        <v>45102</v>
      </c>
      <c r="B202" s="14">
        <v>45102</v>
      </c>
      <c r="C202" s="14">
        <v>45102</v>
      </c>
      <c r="D202" s="6">
        <v>45107</v>
      </c>
      <c r="E202" s="6">
        <v>45109</v>
      </c>
      <c r="F202" s="7">
        <v>25682</v>
      </c>
      <c r="G202" s="8" t="s">
        <v>1396</v>
      </c>
      <c r="H202" s="195" t="s">
        <v>1397</v>
      </c>
      <c r="I202" s="8">
        <v>7173</v>
      </c>
      <c r="J202" s="8">
        <v>6240</v>
      </c>
      <c r="K202" s="8"/>
      <c r="L202" s="8"/>
      <c r="M202" s="7">
        <v>3318911141</v>
      </c>
      <c r="N202" s="7" t="s">
        <v>1398</v>
      </c>
      <c r="O202" s="7" t="s">
        <v>1130</v>
      </c>
      <c r="P202" s="7"/>
    </row>
    <row r="203" spans="1:16" x14ac:dyDescent="0.25">
      <c r="A203" s="14">
        <v>45102</v>
      </c>
      <c r="B203" s="14">
        <v>45102</v>
      </c>
      <c r="C203" s="14">
        <v>45102</v>
      </c>
      <c r="D203" s="6">
        <v>45104</v>
      </c>
      <c r="E203" s="7"/>
      <c r="F203" s="7">
        <v>25685</v>
      </c>
      <c r="G203" s="8" t="s">
        <v>1399</v>
      </c>
      <c r="H203" s="195" t="s">
        <v>1400</v>
      </c>
      <c r="I203" s="8">
        <v>7941</v>
      </c>
      <c r="J203" s="8">
        <v>8095</v>
      </c>
      <c r="K203" s="8"/>
      <c r="L203" s="8"/>
      <c r="M203" s="7">
        <v>3137397752</v>
      </c>
      <c r="N203" s="7" t="s">
        <v>1401</v>
      </c>
      <c r="O203" s="7" t="s">
        <v>56</v>
      </c>
      <c r="P203" s="7"/>
    </row>
    <row r="204" spans="1:16" x14ac:dyDescent="0.25">
      <c r="A204" s="14">
        <v>45102</v>
      </c>
      <c r="B204" s="14">
        <v>45102</v>
      </c>
      <c r="C204" s="14">
        <v>45102</v>
      </c>
      <c r="D204" s="6">
        <v>45104</v>
      </c>
      <c r="E204" s="7"/>
      <c r="F204" s="7">
        <v>25680</v>
      </c>
      <c r="G204" s="8" t="s">
        <v>1402</v>
      </c>
      <c r="H204" s="195" t="s">
        <v>1403</v>
      </c>
      <c r="I204" s="8">
        <v>3034</v>
      </c>
      <c r="J204" s="8">
        <v>3335</v>
      </c>
      <c r="K204" s="8"/>
      <c r="L204" s="8"/>
      <c r="M204" s="7"/>
      <c r="N204" s="7" t="s">
        <v>1404</v>
      </c>
      <c r="O204" s="7" t="s">
        <v>56</v>
      </c>
      <c r="P204" s="7"/>
    </row>
    <row r="205" spans="1:16" x14ac:dyDescent="0.25">
      <c r="A205" s="14">
        <v>45102</v>
      </c>
      <c r="B205" s="14">
        <v>45102</v>
      </c>
      <c r="C205" s="14">
        <v>45102</v>
      </c>
      <c r="D205" s="6">
        <v>45105</v>
      </c>
      <c r="E205" s="7" t="s">
        <v>1405</v>
      </c>
      <c r="F205" s="7">
        <v>25700</v>
      </c>
      <c r="G205" s="8" t="s">
        <v>1406</v>
      </c>
      <c r="H205" s="8" t="s">
        <v>1407</v>
      </c>
      <c r="I205" s="8">
        <v>18466</v>
      </c>
      <c r="J205" s="8">
        <v>20095</v>
      </c>
      <c r="K205" s="8"/>
      <c r="L205" s="8"/>
      <c r="M205" s="7">
        <v>3481420905</v>
      </c>
      <c r="N205" s="7" t="s">
        <v>1408</v>
      </c>
      <c r="O205" s="7"/>
      <c r="P205" s="7"/>
    </row>
    <row r="206" spans="1:16" x14ac:dyDescent="0.25">
      <c r="A206" s="14">
        <v>45103</v>
      </c>
      <c r="B206" s="14">
        <v>45103</v>
      </c>
      <c r="C206" s="14">
        <v>45103</v>
      </c>
      <c r="D206" s="6">
        <v>45111</v>
      </c>
      <c r="E206" s="6">
        <v>45119</v>
      </c>
      <c r="F206" s="7">
        <v>25706</v>
      </c>
      <c r="G206" s="8" t="s">
        <v>1409</v>
      </c>
      <c r="H206" s="195" t="s">
        <v>1410</v>
      </c>
      <c r="I206" s="8">
        <v>5765</v>
      </c>
      <c r="J206" s="8">
        <v>6405</v>
      </c>
      <c r="K206" s="8"/>
      <c r="L206" s="8"/>
      <c r="M206" s="7"/>
      <c r="N206" s="7" t="s">
        <v>1411</v>
      </c>
      <c r="O206" s="7" t="s">
        <v>56</v>
      </c>
      <c r="P206" s="7"/>
    </row>
    <row r="207" spans="1:16" x14ac:dyDescent="0.25">
      <c r="A207" s="14">
        <v>45104</v>
      </c>
      <c r="B207" s="14">
        <v>45104</v>
      </c>
      <c r="C207" s="14">
        <v>45104</v>
      </c>
      <c r="D207" s="6">
        <v>45136</v>
      </c>
      <c r="E207" s="6">
        <v>45150</v>
      </c>
      <c r="F207" s="7">
        <v>25719</v>
      </c>
      <c r="G207" s="8" t="s">
        <v>1412</v>
      </c>
      <c r="H207" s="195" t="s">
        <v>1410</v>
      </c>
      <c r="I207" s="8">
        <v>8638</v>
      </c>
      <c r="J207" s="8">
        <v>9415</v>
      </c>
      <c r="K207" s="8"/>
      <c r="L207" s="8"/>
      <c r="M207" s="7"/>
      <c r="N207" s="7" t="s">
        <v>1413</v>
      </c>
      <c r="O207" s="7" t="s">
        <v>56</v>
      </c>
      <c r="P207" s="7"/>
    </row>
    <row r="208" spans="1:16" x14ac:dyDescent="0.25">
      <c r="A208" s="14">
        <v>45104</v>
      </c>
      <c r="B208" s="14">
        <v>45104</v>
      </c>
      <c r="C208" s="14">
        <v>45104</v>
      </c>
      <c r="D208" s="6">
        <v>45107</v>
      </c>
      <c r="E208" s="6">
        <v>45110</v>
      </c>
      <c r="F208" s="7" t="s">
        <v>1414</v>
      </c>
      <c r="G208" s="8" t="s">
        <v>1415</v>
      </c>
      <c r="H208" s="8" t="s">
        <v>941</v>
      </c>
      <c r="I208" s="8">
        <v>18740</v>
      </c>
      <c r="J208" s="8">
        <v>16305</v>
      </c>
      <c r="K208" s="8"/>
      <c r="L208" s="8"/>
      <c r="M208" s="7">
        <v>2103790372</v>
      </c>
      <c r="N208" s="7" t="s">
        <v>1416</v>
      </c>
      <c r="O208" s="7" t="s">
        <v>1417</v>
      </c>
      <c r="P208" s="7"/>
    </row>
    <row r="209" spans="1:16" x14ac:dyDescent="0.25">
      <c r="A209" s="14">
        <v>45104</v>
      </c>
      <c r="B209" s="14">
        <v>45104</v>
      </c>
      <c r="C209" s="14">
        <v>45104</v>
      </c>
      <c r="D209" s="6">
        <v>45107</v>
      </c>
      <c r="E209" s="6">
        <v>45110</v>
      </c>
      <c r="F209" s="7" t="s">
        <v>1414</v>
      </c>
      <c r="G209" s="8" t="s">
        <v>1418</v>
      </c>
      <c r="H209" s="8" t="s">
        <v>941</v>
      </c>
      <c r="I209" s="8">
        <v>20645</v>
      </c>
      <c r="J209" s="8">
        <v>17935</v>
      </c>
      <c r="K209" s="8"/>
      <c r="L209" s="8"/>
      <c r="M209" s="7">
        <v>2103790372</v>
      </c>
      <c r="N209" s="7" t="s">
        <v>1419</v>
      </c>
      <c r="O209" s="7" t="s">
        <v>1417</v>
      </c>
      <c r="P209" s="7"/>
    </row>
    <row r="210" spans="1:16" x14ac:dyDescent="0.25">
      <c r="A210" s="14">
        <v>45105</v>
      </c>
      <c r="B210" s="14">
        <v>45105</v>
      </c>
      <c r="C210" s="14">
        <v>45105</v>
      </c>
      <c r="D210" s="6">
        <v>45400</v>
      </c>
      <c r="E210" s="6">
        <v>45403</v>
      </c>
      <c r="F210" s="7" t="s">
        <v>1420</v>
      </c>
      <c r="G210" s="8" t="s">
        <v>1421</v>
      </c>
      <c r="H210" s="8" t="s">
        <v>1422</v>
      </c>
      <c r="I210" s="8">
        <v>7850</v>
      </c>
      <c r="J210" s="8">
        <v>9850</v>
      </c>
      <c r="K210" s="8"/>
      <c r="L210" s="8"/>
      <c r="M210" s="7">
        <v>3323120118</v>
      </c>
      <c r="N210" s="7" t="s">
        <v>1423</v>
      </c>
      <c r="O210" s="7" t="s">
        <v>56</v>
      </c>
      <c r="P210" s="7"/>
    </row>
    <row r="211" spans="1:16" x14ac:dyDescent="0.25">
      <c r="A211" s="14">
        <v>45106</v>
      </c>
      <c r="B211" s="14">
        <v>45106</v>
      </c>
      <c r="C211" s="14">
        <v>45106</v>
      </c>
      <c r="D211" s="6">
        <v>45207</v>
      </c>
      <c r="E211" s="6">
        <v>45210</v>
      </c>
      <c r="F211" s="7">
        <v>25764</v>
      </c>
      <c r="G211" s="8" t="s">
        <v>1424</v>
      </c>
      <c r="H211" s="8" t="s">
        <v>995</v>
      </c>
      <c r="I211" s="8">
        <v>5178</v>
      </c>
      <c r="J211" s="8">
        <v>5640</v>
      </c>
      <c r="K211" s="8"/>
      <c r="L211" s="8"/>
      <c r="M211" s="7">
        <v>3481488487</v>
      </c>
      <c r="N211" s="7" t="s">
        <v>1425</v>
      </c>
      <c r="O211" s="7" t="s">
        <v>997</v>
      </c>
      <c r="P211" s="7"/>
    </row>
    <row r="212" spans="1:16" x14ac:dyDescent="0.25">
      <c r="A212" s="21">
        <v>45114</v>
      </c>
      <c r="B212" s="21">
        <v>45096</v>
      </c>
      <c r="C212" s="21">
        <v>45097</v>
      </c>
      <c r="D212" s="6">
        <v>45133</v>
      </c>
      <c r="E212" s="6">
        <v>45136</v>
      </c>
      <c r="F212" s="7">
        <v>25603</v>
      </c>
      <c r="G212" s="8" t="s">
        <v>1426</v>
      </c>
      <c r="H212" s="195" t="s">
        <v>1427</v>
      </c>
      <c r="I212" s="8">
        <v>21600</v>
      </c>
      <c r="J212" s="8">
        <v>18980</v>
      </c>
      <c r="K212" s="8"/>
      <c r="L212" s="8"/>
      <c r="M212" s="7"/>
      <c r="N212" s="7">
        <v>43381232</v>
      </c>
      <c r="O212" s="7" t="s">
        <v>1121</v>
      </c>
      <c r="P212" s="7"/>
    </row>
    <row r="213" spans="1:16" x14ac:dyDescent="0.25">
      <c r="A213" s="21">
        <v>45129</v>
      </c>
      <c r="B213" s="21">
        <v>45102</v>
      </c>
      <c r="C213" s="21">
        <v>45016</v>
      </c>
      <c r="D213" s="6">
        <v>45140</v>
      </c>
      <c r="E213" s="6">
        <v>45144</v>
      </c>
      <c r="F213" s="7">
        <v>24268</v>
      </c>
      <c r="G213" s="8" t="s">
        <v>1428</v>
      </c>
      <c r="H213" s="195" t="s">
        <v>1429</v>
      </c>
      <c r="I213" s="8">
        <v>17703</v>
      </c>
      <c r="J213" s="8">
        <v>15940</v>
      </c>
      <c r="K213" s="8"/>
      <c r="L213" s="8"/>
      <c r="M213" s="7">
        <v>3481351472</v>
      </c>
      <c r="N213" s="7" t="s">
        <v>1430</v>
      </c>
      <c r="O213" s="7" t="s">
        <v>1431</v>
      </c>
      <c r="P213" s="7"/>
    </row>
    <row r="214" spans="1:16" x14ac:dyDescent="0.25">
      <c r="A214" s="21">
        <v>45129</v>
      </c>
      <c r="B214" s="21">
        <v>45102</v>
      </c>
      <c r="C214" s="21">
        <v>45016</v>
      </c>
      <c r="D214" s="6">
        <v>45140</v>
      </c>
      <c r="E214" s="6">
        <v>45144</v>
      </c>
      <c r="F214" s="7">
        <v>24268</v>
      </c>
      <c r="G214" s="8" t="s">
        <v>1135</v>
      </c>
      <c r="H214" s="195" t="s">
        <v>1429</v>
      </c>
      <c r="I214" s="8">
        <v>17703</v>
      </c>
      <c r="J214" s="8">
        <v>15940</v>
      </c>
      <c r="K214" s="8"/>
      <c r="L214" s="8"/>
      <c r="M214" s="7">
        <v>3481351472</v>
      </c>
      <c r="N214" s="7" t="s">
        <v>1432</v>
      </c>
      <c r="O214" s="7" t="s">
        <v>1431</v>
      </c>
      <c r="P214" s="7"/>
    </row>
    <row r="215" spans="1:16" x14ac:dyDescent="0.25">
      <c r="A215" s="21">
        <v>45129</v>
      </c>
      <c r="B215" s="21">
        <v>45102</v>
      </c>
      <c r="C215" s="21">
        <v>45016</v>
      </c>
      <c r="D215" s="6">
        <v>45140</v>
      </c>
      <c r="E215" s="6">
        <v>45144</v>
      </c>
      <c r="F215" s="186">
        <v>24268</v>
      </c>
      <c r="G215" s="8" t="s">
        <v>1433</v>
      </c>
      <c r="H215" s="195" t="s">
        <v>1429</v>
      </c>
      <c r="I215" s="8">
        <v>17703</v>
      </c>
      <c r="J215" s="8">
        <v>15940</v>
      </c>
      <c r="K215" s="8"/>
      <c r="L215" s="8"/>
      <c r="M215" s="7">
        <v>3481351472</v>
      </c>
      <c r="N215" s="7" t="s">
        <v>1434</v>
      </c>
      <c r="O215" s="7" t="s">
        <v>1431</v>
      </c>
      <c r="P215" s="7"/>
    </row>
    <row r="216" spans="1:16" x14ac:dyDescent="0.25">
      <c r="A216" s="21">
        <v>45129</v>
      </c>
      <c r="B216" s="21">
        <v>45102</v>
      </c>
      <c r="C216" s="21">
        <v>45016</v>
      </c>
      <c r="D216" s="6">
        <v>45140</v>
      </c>
      <c r="E216" s="6">
        <v>45144</v>
      </c>
      <c r="F216" s="7">
        <v>24268</v>
      </c>
      <c r="G216" s="8" t="s">
        <v>1137</v>
      </c>
      <c r="H216" s="195" t="s">
        <v>1429</v>
      </c>
      <c r="I216" s="8">
        <v>17703</v>
      </c>
      <c r="J216" s="8">
        <v>15940</v>
      </c>
      <c r="K216" s="8"/>
      <c r="L216" s="8"/>
      <c r="M216" s="7">
        <v>3481351472</v>
      </c>
      <c r="N216" s="7" t="s">
        <v>1435</v>
      </c>
      <c r="O216" s="7" t="s">
        <v>1431</v>
      </c>
      <c r="P216" s="7"/>
    </row>
    <row r="217" spans="1:16" x14ac:dyDescent="0.25">
      <c r="A217" s="21">
        <v>45178</v>
      </c>
      <c r="B217" s="21">
        <v>45041</v>
      </c>
      <c r="C217" s="21">
        <v>45036</v>
      </c>
      <c r="D217" s="6">
        <v>45203</v>
      </c>
      <c r="E217" s="6">
        <v>45207</v>
      </c>
      <c r="F217" s="7">
        <v>24543</v>
      </c>
      <c r="G217" s="8" t="s">
        <v>1436</v>
      </c>
      <c r="H217" s="195" t="s">
        <v>1159</v>
      </c>
      <c r="I217" s="8">
        <v>15434</v>
      </c>
      <c r="J217" s="8">
        <v>13430</v>
      </c>
      <c r="K217" s="8"/>
      <c r="L217" s="8"/>
      <c r="M217" s="7">
        <v>3481146087</v>
      </c>
      <c r="N217" s="183" t="s">
        <v>1437</v>
      </c>
      <c r="O217" s="7" t="s">
        <v>864</v>
      </c>
      <c r="P217" s="7"/>
    </row>
    <row r="218" spans="1:16" x14ac:dyDescent="0.25">
      <c r="A218" s="21">
        <v>45178</v>
      </c>
      <c r="B218" s="21">
        <v>45041</v>
      </c>
      <c r="C218" s="21">
        <v>45036</v>
      </c>
      <c r="D218" s="6">
        <v>45203</v>
      </c>
      <c r="E218" s="6">
        <v>45207</v>
      </c>
      <c r="F218" s="7">
        <v>24543</v>
      </c>
      <c r="G218" s="8" t="s">
        <v>1438</v>
      </c>
      <c r="H218" s="195" t="s">
        <v>1159</v>
      </c>
      <c r="I218" s="8">
        <v>18651</v>
      </c>
      <c r="J218" s="8">
        <v>16230</v>
      </c>
      <c r="K218" s="8"/>
      <c r="L218" s="8"/>
      <c r="M218" s="7">
        <v>3481146087</v>
      </c>
      <c r="N218" s="7" t="s">
        <v>1439</v>
      </c>
      <c r="O218" s="7" t="s">
        <v>864</v>
      </c>
      <c r="P218" s="7"/>
    </row>
    <row r="219" spans="1:16" x14ac:dyDescent="0.25">
      <c r="A219" s="94">
        <f>Tabla1567937[[#This Row],[FECHA IN]]-15</f>
        <v>45186</v>
      </c>
      <c r="B219" s="94">
        <v>44921</v>
      </c>
      <c r="C219" s="94">
        <v>44915</v>
      </c>
      <c r="D219" s="94">
        <v>45201</v>
      </c>
      <c r="E219" s="94">
        <v>45205</v>
      </c>
      <c r="F219" s="54" t="s">
        <v>1440</v>
      </c>
      <c r="G219" s="22" t="s">
        <v>1441</v>
      </c>
      <c r="H219" s="170" t="s">
        <v>1442</v>
      </c>
      <c r="I219" s="22"/>
      <c r="J219" s="22"/>
      <c r="K219" s="22">
        <f>Tabla1567937[[#This Row],[CANTIDAD PUBLICA]]*0.05</f>
        <v>0</v>
      </c>
      <c r="L219" s="22">
        <f>Tabla1567937[[#This Row],[COMISION AGENCIA]]*0.05</f>
        <v>0</v>
      </c>
      <c r="M219" s="54">
        <v>3481133181</v>
      </c>
      <c r="N219" s="54"/>
      <c r="O219" s="54" t="s">
        <v>1443</v>
      </c>
      <c r="P219" s="54"/>
    </row>
    <row r="220" spans="1:16" x14ac:dyDescent="0.25">
      <c r="A220" s="21">
        <v>45192</v>
      </c>
      <c r="B220" s="21">
        <v>45110</v>
      </c>
      <c r="C220" s="21">
        <v>45107</v>
      </c>
      <c r="D220" s="6">
        <v>45222</v>
      </c>
      <c r="E220" s="6">
        <v>45226</v>
      </c>
      <c r="F220" s="7">
        <v>25779</v>
      </c>
      <c r="G220" s="8" t="s">
        <v>1444</v>
      </c>
      <c r="H220" s="195" t="s">
        <v>1445</v>
      </c>
      <c r="I220" s="8">
        <v>43638</v>
      </c>
      <c r="J220" s="8">
        <v>37015</v>
      </c>
      <c r="K220" s="8"/>
      <c r="L220" s="8"/>
      <c r="M220" s="7">
        <v>3481092329</v>
      </c>
      <c r="N220" s="7" t="s">
        <v>1446</v>
      </c>
      <c r="O220" s="7" t="s">
        <v>1130</v>
      </c>
      <c r="P220" s="7"/>
    </row>
    <row r="221" spans="1:16" x14ac:dyDescent="0.25">
      <c r="A221" s="21">
        <v>45198</v>
      </c>
      <c r="B221" s="21">
        <v>45000</v>
      </c>
      <c r="C221" s="21">
        <v>44996</v>
      </c>
      <c r="D221" s="6">
        <v>45213</v>
      </c>
      <c r="E221" s="6">
        <v>45217</v>
      </c>
      <c r="F221" s="7">
        <v>23934</v>
      </c>
      <c r="G221" s="8" t="s">
        <v>985</v>
      </c>
      <c r="H221" s="158" t="s">
        <v>1447</v>
      </c>
      <c r="I221" s="8">
        <v>17512</v>
      </c>
      <c r="J221" s="8">
        <v>15240</v>
      </c>
      <c r="K221" s="8">
        <f>Tabla1567937[[#This Row],[CANTIDAD PUBLICA]]*0.05</f>
        <v>875.6</v>
      </c>
      <c r="L221" s="8"/>
      <c r="M221" s="7">
        <v>3481498988</v>
      </c>
      <c r="N221" s="7" t="s">
        <v>1448</v>
      </c>
      <c r="O221" s="7" t="s">
        <v>864</v>
      </c>
      <c r="P221" s="7"/>
    </row>
    <row r="222" spans="1:16" x14ac:dyDescent="0.25">
      <c r="A222" s="21">
        <v>45198</v>
      </c>
      <c r="B222" s="21">
        <v>45000</v>
      </c>
      <c r="C222" s="21">
        <v>44996</v>
      </c>
      <c r="D222" s="6">
        <v>45213</v>
      </c>
      <c r="E222" s="6">
        <v>45217</v>
      </c>
      <c r="F222" s="7">
        <v>23934</v>
      </c>
      <c r="G222" s="8" t="s">
        <v>990</v>
      </c>
      <c r="H222" s="158" t="s">
        <v>1447</v>
      </c>
      <c r="I222" s="8">
        <v>17512</v>
      </c>
      <c r="J222" s="8">
        <v>15240</v>
      </c>
      <c r="K222" s="8">
        <f>Tabla1567937[[#This Row],[CANTIDAD PUBLICA]]*0.05</f>
        <v>875.6</v>
      </c>
      <c r="L222" s="8"/>
      <c r="M222" s="7">
        <v>3481498988</v>
      </c>
      <c r="N222" s="7" t="s">
        <v>1449</v>
      </c>
      <c r="O222" s="7" t="s">
        <v>864</v>
      </c>
      <c r="P222" s="7"/>
    </row>
    <row r="223" spans="1:16" x14ac:dyDescent="0.25">
      <c r="A223" s="21">
        <v>45198</v>
      </c>
      <c r="B223" s="21">
        <v>45000</v>
      </c>
      <c r="C223" s="21">
        <v>44996</v>
      </c>
      <c r="D223" s="6">
        <v>45213</v>
      </c>
      <c r="E223" s="6">
        <v>45217</v>
      </c>
      <c r="F223" s="7">
        <v>23934</v>
      </c>
      <c r="G223" s="8" t="s">
        <v>1450</v>
      </c>
      <c r="H223" s="158" t="s">
        <v>1447</v>
      </c>
      <c r="I223" s="8">
        <v>17512</v>
      </c>
      <c r="J223" s="8">
        <v>15240</v>
      </c>
      <c r="K223" s="8">
        <f>Tabla1567937[[#This Row],[CANTIDAD PUBLICA]]*0.05</f>
        <v>875.6</v>
      </c>
      <c r="L223" s="8"/>
      <c r="M223" s="7">
        <v>3481498988</v>
      </c>
      <c r="N223" s="7" t="s">
        <v>1451</v>
      </c>
      <c r="O223" s="7" t="s">
        <v>864</v>
      </c>
      <c r="P223" s="7"/>
    </row>
    <row r="224" spans="1:16" x14ac:dyDescent="0.25">
      <c r="A224" s="21">
        <v>45198</v>
      </c>
      <c r="B224" s="21">
        <v>45000</v>
      </c>
      <c r="C224" s="21">
        <v>44996</v>
      </c>
      <c r="D224" s="6">
        <v>45213</v>
      </c>
      <c r="E224" s="6">
        <v>45217</v>
      </c>
      <c r="F224" s="7">
        <v>23934</v>
      </c>
      <c r="G224" s="8" t="s">
        <v>1452</v>
      </c>
      <c r="H224" s="158" t="s">
        <v>1447</v>
      </c>
      <c r="I224" s="8">
        <v>17512</v>
      </c>
      <c r="J224" s="8">
        <v>15240</v>
      </c>
      <c r="K224" s="8">
        <f>Tabla1567937[[#This Row],[CANTIDAD PUBLICA]]*0.05</f>
        <v>875.6</v>
      </c>
      <c r="L224" s="8"/>
      <c r="M224" s="7">
        <v>3481498988</v>
      </c>
      <c r="N224" s="7" t="s">
        <v>1453</v>
      </c>
      <c r="O224" s="7" t="s">
        <v>864</v>
      </c>
      <c r="P224" s="7"/>
    </row>
    <row r="225" spans="1:16" x14ac:dyDescent="0.25">
      <c r="A225" s="21">
        <v>45198</v>
      </c>
      <c r="B225" s="21">
        <v>45000</v>
      </c>
      <c r="C225" s="21">
        <v>44996</v>
      </c>
      <c r="D225" s="6">
        <v>45213</v>
      </c>
      <c r="E225" s="6">
        <v>45217</v>
      </c>
      <c r="F225" s="7">
        <v>23934</v>
      </c>
      <c r="G225" s="8" t="s">
        <v>1454</v>
      </c>
      <c r="H225" s="158" t="s">
        <v>1447</v>
      </c>
      <c r="I225" s="8">
        <v>17512</v>
      </c>
      <c r="J225" s="8">
        <v>15240</v>
      </c>
      <c r="K225" s="8">
        <f>Tabla1567937[[#This Row],[CANTIDAD PUBLICA]]*0.05</f>
        <v>875.6</v>
      </c>
      <c r="L225" s="8"/>
      <c r="M225" s="7">
        <v>3481498988</v>
      </c>
      <c r="N225" s="7" t="s">
        <v>1455</v>
      </c>
      <c r="O225" s="7" t="s">
        <v>864</v>
      </c>
      <c r="P225" s="7"/>
    </row>
    <row r="226" spans="1:16" x14ac:dyDescent="0.25">
      <c r="A226" s="21">
        <v>45198</v>
      </c>
      <c r="B226" s="21">
        <v>45000</v>
      </c>
      <c r="C226" s="21">
        <v>44996</v>
      </c>
      <c r="D226" s="6">
        <v>45213</v>
      </c>
      <c r="E226" s="6">
        <v>45217</v>
      </c>
      <c r="F226" s="7">
        <v>23934</v>
      </c>
      <c r="G226" s="8" t="s">
        <v>1456</v>
      </c>
      <c r="H226" s="158" t="s">
        <v>1447</v>
      </c>
      <c r="I226" s="8">
        <v>17512</v>
      </c>
      <c r="J226" s="8">
        <v>15240</v>
      </c>
      <c r="K226" s="8">
        <f>Tabla1567937[[#This Row],[CANTIDAD PUBLICA]]*0.05</f>
        <v>875.6</v>
      </c>
      <c r="L226" s="8"/>
      <c r="M226" s="7">
        <v>3481498988</v>
      </c>
      <c r="N226" s="7" t="s">
        <v>1457</v>
      </c>
      <c r="O226" s="7" t="s">
        <v>864</v>
      </c>
      <c r="P226" s="7"/>
    </row>
    <row r="227" spans="1:16" x14ac:dyDescent="0.25">
      <c r="A227" s="21">
        <f>Tabla1567937[[#This Row],[FECHA IN]]-22</f>
        <v>45199</v>
      </c>
      <c r="B227" s="21">
        <v>45198</v>
      </c>
      <c r="C227" s="21">
        <v>45052</v>
      </c>
      <c r="D227" s="6">
        <v>45221</v>
      </c>
      <c r="E227" s="6">
        <v>45225</v>
      </c>
      <c r="F227" s="7">
        <v>24802</v>
      </c>
      <c r="G227" s="8" t="s">
        <v>1458</v>
      </c>
      <c r="H227" s="158" t="s">
        <v>1429</v>
      </c>
      <c r="I227" s="8">
        <v>19979</v>
      </c>
      <c r="J227" s="8">
        <v>17385</v>
      </c>
      <c r="K227" s="8"/>
      <c r="L227" s="8"/>
      <c r="M227" s="7"/>
      <c r="N227" s="7" t="s">
        <v>1459</v>
      </c>
      <c r="O227" s="7" t="s">
        <v>864</v>
      </c>
      <c r="P227" s="7"/>
    </row>
    <row r="228" spans="1:16" x14ac:dyDescent="0.25">
      <c r="A228" s="21">
        <f>Tabla1567937[[#This Row],[FECHA IN]]-15</f>
        <v>45200</v>
      </c>
      <c r="B228" s="21">
        <v>44915</v>
      </c>
      <c r="C228" s="21">
        <v>44911</v>
      </c>
      <c r="D228" s="6">
        <v>45215</v>
      </c>
      <c r="E228" s="6">
        <v>45219</v>
      </c>
      <c r="F228" s="7"/>
      <c r="G228" s="8" t="s">
        <v>1460</v>
      </c>
      <c r="H228" s="158" t="s">
        <v>1461</v>
      </c>
      <c r="I228" s="8"/>
      <c r="J228" s="8"/>
      <c r="K228" s="8">
        <f>Tabla1567937[[#This Row],[CANTIDAD PUBLICA]]*0.05</f>
        <v>0</v>
      </c>
      <c r="L228" s="8">
        <f>Tabla1567937[[#This Row],[COMISION AGENCIA]]*0.05</f>
        <v>0</v>
      </c>
      <c r="M228" s="7">
        <v>3481060813</v>
      </c>
      <c r="N228" s="7"/>
      <c r="O228" s="7" t="s">
        <v>1462</v>
      </c>
      <c r="P228" s="7"/>
    </row>
    <row r="229" spans="1:16" x14ac:dyDescent="0.25">
      <c r="A229" s="21">
        <v>45206</v>
      </c>
      <c r="B229" s="21">
        <v>44956</v>
      </c>
      <c r="C229" s="21">
        <v>44953</v>
      </c>
      <c r="D229" s="6">
        <v>45221</v>
      </c>
      <c r="E229" s="6">
        <v>45225</v>
      </c>
      <c r="F229" s="7"/>
      <c r="G229" s="8" t="s">
        <v>1463</v>
      </c>
      <c r="H229" s="158" t="s">
        <v>1464</v>
      </c>
      <c r="I229" s="8"/>
      <c r="J229" s="8"/>
      <c r="K229" s="8">
        <f>Tabla1567937[[#This Row],[CANTIDAD PUBLICA]]*0.05</f>
        <v>0</v>
      </c>
      <c r="L229" s="8">
        <f>Tabla1567937[[#This Row],[COMISION AGENCIA]]*0.05</f>
        <v>0</v>
      </c>
      <c r="M229" s="7">
        <v>3481243014</v>
      </c>
      <c r="N229" s="7"/>
      <c r="O229" s="7" t="s">
        <v>1465</v>
      </c>
      <c r="P229" s="7"/>
    </row>
    <row r="230" spans="1:16" x14ac:dyDescent="0.25">
      <c r="A230" s="94">
        <v>45207</v>
      </c>
      <c r="B230" s="94">
        <v>44982</v>
      </c>
      <c r="C230" s="94">
        <v>44978</v>
      </c>
      <c r="D230" s="94">
        <v>45222</v>
      </c>
      <c r="E230" s="94">
        <v>45226</v>
      </c>
      <c r="F230" s="94" t="s">
        <v>1466</v>
      </c>
      <c r="G230" s="22" t="s">
        <v>1467</v>
      </c>
      <c r="H230" s="22" t="s">
        <v>1468</v>
      </c>
      <c r="I230" s="22"/>
      <c r="J230" s="22"/>
      <c r="K230" s="22"/>
      <c r="L230" s="22">
        <f>Tabla1567937[[#This Row],[COMISION AGENCIA]]*0.05</f>
        <v>0</v>
      </c>
      <c r="M230" s="54">
        <v>3481464924</v>
      </c>
      <c r="N230" s="54" t="s">
        <v>1469</v>
      </c>
      <c r="O230" s="54" t="s">
        <v>864</v>
      </c>
      <c r="P230" s="54"/>
    </row>
    <row r="231" spans="1:16" x14ac:dyDescent="0.25">
      <c r="A231" s="94">
        <v>45207</v>
      </c>
      <c r="B231" s="94"/>
      <c r="C231" s="94">
        <v>44978</v>
      </c>
      <c r="D231" s="94">
        <v>45222</v>
      </c>
      <c r="E231" s="94">
        <v>45226</v>
      </c>
      <c r="F231" s="94" t="s">
        <v>1466</v>
      </c>
      <c r="G231" s="22" t="s">
        <v>1467</v>
      </c>
      <c r="H231" s="22" t="s">
        <v>1470</v>
      </c>
      <c r="I231" s="22"/>
      <c r="J231" s="22"/>
      <c r="K231" s="22"/>
      <c r="L231" s="22">
        <f>Tabla1567937[[#This Row],[COMISION AGENCIA]]*0.05</f>
        <v>0</v>
      </c>
      <c r="M231" s="54">
        <v>3481464924</v>
      </c>
      <c r="N231" s="54"/>
      <c r="O231" s="54" t="s">
        <v>1344</v>
      </c>
      <c r="P231" s="54"/>
    </row>
    <row r="232" spans="1:16" x14ac:dyDescent="0.25">
      <c r="A232" s="21">
        <v>45208</v>
      </c>
      <c r="B232" s="21">
        <v>44954</v>
      </c>
      <c r="C232" s="21">
        <v>44951</v>
      </c>
      <c r="D232" s="6">
        <v>45193</v>
      </c>
      <c r="E232" s="6">
        <v>45197</v>
      </c>
      <c r="F232" s="7"/>
      <c r="G232" s="8" t="s">
        <v>1471</v>
      </c>
      <c r="H232" s="158" t="s">
        <v>1472</v>
      </c>
      <c r="I232" s="8"/>
      <c r="J232" s="8"/>
      <c r="K232" s="8">
        <f>Tabla1567937[[#This Row],[CANTIDAD PUBLICA]]*0.05</f>
        <v>0</v>
      </c>
      <c r="L232" s="8">
        <f>Tabla1567937[[#This Row],[COMISION AGENCIA]]*0.05</f>
        <v>0</v>
      </c>
      <c r="M232" s="7">
        <v>3481315450</v>
      </c>
      <c r="N232" s="7"/>
      <c r="O232" s="7" t="s">
        <v>1473</v>
      </c>
      <c r="P232" s="7"/>
    </row>
    <row r="233" spans="1:16" x14ac:dyDescent="0.25">
      <c r="A233" s="21">
        <v>45208</v>
      </c>
      <c r="B233" s="21">
        <v>44957</v>
      </c>
      <c r="C233" s="21">
        <v>44953</v>
      </c>
      <c r="D233" s="6">
        <v>45193</v>
      </c>
      <c r="E233" s="6">
        <v>45197</v>
      </c>
      <c r="F233" s="7">
        <v>23367</v>
      </c>
      <c r="G233" s="8" t="s">
        <v>1474</v>
      </c>
      <c r="H233" s="158" t="s">
        <v>1475</v>
      </c>
      <c r="I233" s="8"/>
      <c r="J233" s="8"/>
      <c r="K233" s="8">
        <f>Tabla1567937[[#This Row],[CANTIDAD PUBLICA]]*0.05</f>
        <v>0</v>
      </c>
      <c r="L233" s="8">
        <f>Tabla1567937[[#This Row],[COMISION AGENCIA]]*0.05</f>
        <v>0</v>
      </c>
      <c r="M233" s="7">
        <v>3931588452</v>
      </c>
      <c r="N233" s="7"/>
      <c r="O233" s="7" t="s">
        <v>1476</v>
      </c>
      <c r="P233" s="7"/>
    </row>
    <row r="234" spans="1:16" x14ac:dyDescent="0.25">
      <c r="A234" s="21">
        <v>45209</v>
      </c>
      <c r="B234" s="21">
        <v>45203</v>
      </c>
      <c r="C234" s="21">
        <v>44949</v>
      </c>
      <c r="D234" s="6">
        <v>45224</v>
      </c>
      <c r="E234" s="6">
        <v>45229</v>
      </c>
      <c r="F234" s="7">
        <v>23304</v>
      </c>
      <c r="G234" s="8" t="s">
        <v>1477</v>
      </c>
      <c r="H234" s="158" t="s">
        <v>1478</v>
      </c>
      <c r="I234" s="8">
        <v>24816</v>
      </c>
      <c r="J234" s="8">
        <v>21590</v>
      </c>
      <c r="K234" s="8">
        <f>Tabla1567937[[#This Row],[CANTIDAD PUBLICA]]*0.05</f>
        <v>1240.8000000000002</v>
      </c>
      <c r="L234" s="8">
        <f>Tabla1567937[[#This Row],[COMISION AGENCIA]]*0.05</f>
        <v>62.040000000000013</v>
      </c>
      <c r="M234" s="7">
        <v>3485935717</v>
      </c>
      <c r="N234" s="7" t="s">
        <v>1479</v>
      </c>
      <c r="O234" s="7" t="s">
        <v>864</v>
      </c>
      <c r="P234" s="7"/>
    </row>
    <row r="235" spans="1:16" x14ac:dyDescent="0.25">
      <c r="A235" s="21">
        <v>45209</v>
      </c>
      <c r="B235" s="21">
        <v>45203</v>
      </c>
      <c r="C235" s="21">
        <v>44949</v>
      </c>
      <c r="D235" s="6">
        <v>45225</v>
      </c>
      <c r="E235" s="6">
        <v>45230</v>
      </c>
      <c r="F235" s="7">
        <v>23301</v>
      </c>
      <c r="G235" s="8" t="s">
        <v>1480</v>
      </c>
      <c r="H235" s="158" t="s">
        <v>1478</v>
      </c>
      <c r="I235" s="8">
        <v>16216</v>
      </c>
      <c r="J235" s="8">
        <v>14030</v>
      </c>
      <c r="K235" s="8">
        <f>Tabla1567937[[#This Row],[CANTIDAD PUBLICA]]*0.05</f>
        <v>810.80000000000007</v>
      </c>
      <c r="L235" s="8">
        <f>Tabla1567937[[#This Row],[COMISION AGENCIA]]*0.05</f>
        <v>40.540000000000006</v>
      </c>
      <c r="M235" s="7">
        <v>3485935717</v>
      </c>
      <c r="N235" s="7" t="s">
        <v>1481</v>
      </c>
      <c r="O235" s="7" t="s">
        <v>864</v>
      </c>
      <c r="P235" s="7"/>
    </row>
    <row r="236" spans="1:16" x14ac:dyDescent="0.25">
      <c r="A236" s="21">
        <v>45209</v>
      </c>
      <c r="B236" s="21">
        <v>45203</v>
      </c>
      <c r="C236" s="21">
        <v>44949</v>
      </c>
      <c r="D236" s="6">
        <v>45225</v>
      </c>
      <c r="E236" s="6">
        <v>45230</v>
      </c>
      <c r="F236" s="7">
        <v>23302</v>
      </c>
      <c r="G236" s="8" t="s">
        <v>1482</v>
      </c>
      <c r="H236" s="158" t="s">
        <v>1478</v>
      </c>
      <c r="I236" s="8">
        <v>18109</v>
      </c>
      <c r="J236" s="8">
        <v>15755</v>
      </c>
      <c r="K236" s="8">
        <f>Tabla1567937[[#This Row],[CANTIDAD PUBLICA]]*0.05</f>
        <v>905.45</v>
      </c>
      <c r="L236" s="8">
        <f>Tabla1567937[[#This Row],[COMISION AGENCIA]]*0.05</f>
        <v>45.272500000000008</v>
      </c>
      <c r="M236" s="7">
        <v>3485935717</v>
      </c>
      <c r="N236" s="7" t="s">
        <v>1483</v>
      </c>
      <c r="O236" s="7" t="s">
        <v>864</v>
      </c>
      <c r="P236" s="7"/>
    </row>
    <row r="237" spans="1:16" x14ac:dyDescent="0.25">
      <c r="A237" s="21">
        <v>45209</v>
      </c>
      <c r="B237" s="21">
        <v>45203</v>
      </c>
      <c r="C237" s="21">
        <v>44949</v>
      </c>
      <c r="D237" s="6">
        <v>45225</v>
      </c>
      <c r="E237" s="6">
        <v>45230</v>
      </c>
      <c r="F237" s="7">
        <v>23303</v>
      </c>
      <c r="G237" s="8" t="s">
        <v>1484</v>
      </c>
      <c r="H237" s="158" t="s">
        <v>1478</v>
      </c>
      <c r="I237" s="8">
        <v>16216</v>
      </c>
      <c r="J237" s="8">
        <v>14030</v>
      </c>
      <c r="K237" s="8">
        <f>Tabla1567937[[#This Row],[CANTIDAD PUBLICA]]*0.05</f>
        <v>810.80000000000007</v>
      </c>
      <c r="L237" s="8">
        <f>Tabla1567937[[#This Row],[COMISION AGENCIA]]*0.05</f>
        <v>40.540000000000006</v>
      </c>
      <c r="M237" s="7">
        <v>3485935717</v>
      </c>
      <c r="N237" s="7" t="s">
        <v>1485</v>
      </c>
      <c r="O237" s="7" t="s">
        <v>864</v>
      </c>
      <c r="P237" s="7"/>
    </row>
    <row r="238" spans="1:16" x14ac:dyDescent="0.25">
      <c r="A238" s="21">
        <f>Tabla1567937[[#This Row],[FECHA IN]]-15</f>
        <v>45213</v>
      </c>
      <c r="B238" s="21">
        <f>Tabla1567937[[#This Row],[FECHA IN]]-15</f>
        <v>45213</v>
      </c>
      <c r="C238" s="21">
        <v>44875</v>
      </c>
      <c r="D238" s="6">
        <v>45228</v>
      </c>
      <c r="E238" s="6">
        <v>45232</v>
      </c>
      <c r="F238" s="6"/>
      <c r="G238" s="8" t="s">
        <v>1486</v>
      </c>
      <c r="H238" s="8" t="s">
        <v>1487</v>
      </c>
      <c r="I238" s="8"/>
      <c r="J238" s="8"/>
      <c r="K238" s="8">
        <f>Tabla1567937[[#This Row],[CANTIDAD PUBLICA]]*0.05</f>
        <v>0</v>
      </c>
      <c r="L238" s="8">
        <f>Tabla1567937[[#This Row],[COMISION AGENCIA]]*0.05</f>
        <v>0</v>
      </c>
      <c r="M238" s="7">
        <v>3481074382</v>
      </c>
      <c r="N238" s="7"/>
      <c r="O238" s="7" t="s">
        <v>6</v>
      </c>
      <c r="P238" s="7"/>
    </row>
    <row r="239" spans="1:16" x14ac:dyDescent="0.25">
      <c r="A239" s="21">
        <f>Tabla1567937[[#This Row],[FECHA IN]]-15</f>
        <v>45221</v>
      </c>
      <c r="B239" s="21">
        <v>44982</v>
      </c>
      <c r="C239" s="21">
        <v>44978</v>
      </c>
      <c r="D239" s="6">
        <v>45236</v>
      </c>
      <c r="E239" s="6">
        <v>45240</v>
      </c>
      <c r="F239" s="7">
        <v>23669</v>
      </c>
      <c r="G239" s="8" t="s">
        <v>1261</v>
      </c>
      <c r="H239" s="8" t="s">
        <v>1488</v>
      </c>
      <c r="I239" s="8">
        <v>16400</v>
      </c>
      <c r="J239" s="129">
        <v>14270</v>
      </c>
      <c r="K239" s="8">
        <f>Tabla1567937[[#This Row],[CANTIDAD PUBLICA]]*0.05</f>
        <v>820</v>
      </c>
      <c r="L239" s="8">
        <f>Tabla1567937[[#This Row],[COMISION AGENCIA]]*0.05</f>
        <v>41</v>
      </c>
      <c r="M239" s="7">
        <v>3481065162</v>
      </c>
      <c r="N239" s="7" t="s">
        <v>1489</v>
      </c>
      <c r="O239" s="7" t="s">
        <v>864</v>
      </c>
      <c r="P239" s="7"/>
    </row>
    <row r="240" spans="1:16" x14ac:dyDescent="0.25">
      <c r="A240" s="21">
        <f>Tabla1567937[[#This Row],[FECHA IN]]-15</f>
        <v>45221</v>
      </c>
      <c r="B240" s="21">
        <v>44982</v>
      </c>
      <c r="C240" s="21">
        <v>44978</v>
      </c>
      <c r="D240" s="6">
        <v>45236</v>
      </c>
      <c r="E240" s="6">
        <v>45240</v>
      </c>
      <c r="F240" s="6"/>
      <c r="G240" s="8" t="s">
        <v>1261</v>
      </c>
      <c r="H240" s="8" t="s">
        <v>1490</v>
      </c>
      <c r="I240" s="8"/>
      <c r="J240" s="8"/>
      <c r="K240" s="8">
        <f>Tabla1567937[[#This Row],[PRECIO CLIENTE]]-Tabla1567937[[#This Row],[CANTIDAD PUBLICA]]</f>
        <v>0</v>
      </c>
      <c r="L240" s="8">
        <f>Tabla1567937[[#This Row],[COMISION AGENCIA]]*0.05</f>
        <v>0</v>
      </c>
      <c r="M240" s="7">
        <v>3481065162</v>
      </c>
      <c r="N240" s="7"/>
      <c r="O240" s="7"/>
      <c r="P240" s="7"/>
    </row>
    <row r="241" spans="1:16" x14ac:dyDescent="0.25">
      <c r="A241" s="21">
        <v>45235</v>
      </c>
      <c r="B241" s="21">
        <v>44950</v>
      </c>
      <c r="C241" s="21">
        <v>44947</v>
      </c>
      <c r="D241" s="6">
        <v>45250</v>
      </c>
      <c r="E241" s="6">
        <v>45254</v>
      </c>
      <c r="F241" s="6"/>
      <c r="G241" s="8" t="s">
        <v>1491</v>
      </c>
      <c r="H241" s="8" t="s">
        <v>1167</v>
      </c>
      <c r="I241" s="8"/>
      <c r="J241" s="8"/>
      <c r="K241" s="8">
        <f>Tabla1567937[[#This Row],[CANTIDAD PUBLICA]]*0.05</f>
        <v>0</v>
      </c>
      <c r="L241" s="8">
        <f>Tabla1567937[[#This Row],[COMISION AGENCIA]]*0.05</f>
        <v>0</v>
      </c>
      <c r="M241" s="7">
        <v>3481333603</v>
      </c>
      <c r="N241" s="7"/>
      <c r="O241" s="7" t="s">
        <v>1492</v>
      </c>
      <c r="P241" s="7"/>
    </row>
    <row r="242" spans="1:16" x14ac:dyDescent="0.25">
      <c r="A242" s="21">
        <f>Tabla1567937[[#This Row],[FECHA IN]]-15</f>
        <v>45249</v>
      </c>
      <c r="B242" s="21">
        <v>44912</v>
      </c>
      <c r="C242" s="21">
        <v>44908</v>
      </c>
      <c r="D242" s="6">
        <v>45264</v>
      </c>
      <c r="E242" s="6">
        <v>45268</v>
      </c>
      <c r="F242" s="7"/>
      <c r="G242" s="8" t="s">
        <v>1493</v>
      </c>
      <c r="H242" s="158" t="s">
        <v>1494</v>
      </c>
      <c r="I242" s="8">
        <v>53400</v>
      </c>
      <c r="J242" s="8">
        <v>46460</v>
      </c>
      <c r="K242" s="8">
        <f>Tabla1567937[[#This Row],[CANTIDAD PUBLICA]]*0.05</f>
        <v>2670</v>
      </c>
      <c r="L242" s="8">
        <f>Tabla1567937[[#This Row],[COMISION AGENCIA]]*0.05</f>
        <v>133.5</v>
      </c>
      <c r="M242" s="7">
        <v>3481003318</v>
      </c>
      <c r="N242" s="7" t="s">
        <v>1495</v>
      </c>
      <c r="O242" s="7" t="s">
        <v>1130</v>
      </c>
      <c r="P242" s="7"/>
    </row>
    <row r="243" spans="1:16" x14ac:dyDescent="0.25">
      <c r="A243" s="21">
        <f>Tabla1567937[[#This Row],[FECHA IN]]-22</f>
        <v>45255</v>
      </c>
      <c r="B243" s="21">
        <v>45250</v>
      </c>
      <c r="C243" s="21">
        <v>45015</v>
      </c>
      <c r="D243" s="6">
        <v>45277</v>
      </c>
      <c r="E243" s="6">
        <v>45282</v>
      </c>
      <c r="F243" s="7">
        <v>24234</v>
      </c>
      <c r="G243" s="8" t="s">
        <v>1496</v>
      </c>
      <c r="H243" s="158" t="s">
        <v>1126</v>
      </c>
      <c r="I243" s="8">
        <v>34353</v>
      </c>
      <c r="J243" s="8">
        <v>30930</v>
      </c>
      <c r="K243" s="8">
        <f>Tabla1567937[[#This Row],[CANTIDAD PUBLICA]]*0.05</f>
        <v>1717.65</v>
      </c>
      <c r="L243" s="8">
        <f>Tabla1567937[[#This Row],[COMISION AGENCIA]]*0.05</f>
        <v>85.882500000000007</v>
      </c>
      <c r="M243" s="7">
        <v>3481040183</v>
      </c>
      <c r="N243" s="7">
        <v>10697710</v>
      </c>
      <c r="O243" s="7" t="s">
        <v>1121</v>
      </c>
      <c r="P243" s="7"/>
    </row>
    <row r="244" spans="1:16" x14ac:dyDescent="0.25">
      <c r="A244" s="21">
        <f>Tabla1567937[[#This Row],[FECHA IN]]-15</f>
        <v>45262</v>
      </c>
      <c r="B244" s="21">
        <v>45250</v>
      </c>
      <c r="C244" s="21">
        <v>45015</v>
      </c>
      <c r="D244" s="6">
        <v>45277</v>
      </c>
      <c r="E244" s="6">
        <v>45282</v>
      </c>
      <c r="F244" s="7">
        <v>24234</v>
      </c>
      <c r="G244" s="80" t="s">
        <v>1248</v>
      </c>
      <c r="H244" s="158" t="s">
        <v>1126</v>
      </c>
      <c r="I244" s="8">
        <v>34353</v>
      </c>
      <c r="J244" s="8">
        <v>30930</v>
      </c>
      <c r="K244" s="8">
        <f>Tabla1567937[[#This Row],[CANTIDAD PUBLICA]]*0.05</f>
        <v>1717.65</v>
      </c>
      <c r="L244" s="8">
        <f>Tabla1567937[[#This Row],[COMISION AGENCIA]]*0.05</f>
        <v>85.882500000000007</v>
      </c>
      <c r="M244" s="7">
        <v>3481040183</v>
      </c>
      <c r="N244" s="7">
        <v>10697722</v>
      </c>
      <c r="O244" s="7" t="s">
        <v>1121</v>
      </c>
      <c r="P244" s="7"/>
    </row>
    <row r="245" spans="1:16" x14ac:dyDescent="0.25">
      <c r="A245" s="21">
        <f>Tabla1567937[[#This Row],[FECHA IN]]-15</f>
        <v>45262</v>
      </c>
      <c r="B245" s="21">
        <v>45250</v>
      </c>
      <c r="C245" s="21">
        <v>45015</v>
      </c>
      <c r="D245" s="6">
        <v>45277</v>
      </c>
      <c r="E245" s="6">
        <v>45282</v>
      </c>
      <c r="F245" s="7">
        <v>24234</v>
      </c>
      <c r="G245" s="8" t="s">
        <v>1497</v>
      </c>
      <c r="H245" s="158" t="s">
        <v>1126</v>
      </c>
      <c r="I245" s="8">
        <v>34353</v>
      </c>
      <c r="J245" s="8">
        <v>30930</v>
      </c>
      <c r="K245" s="8">
        <f>Tabla1567937[[#This Row],[CANTIDAD PUBLICA]]*0.05</f>
        <v>1717.65</v>
      </c>
      <c r="L245" s="8">
        <f>Tabla1567937[[#This Row],[COMISION AGENCIA]]*0.05</f>
        <v>85.882500000000007</v>
      </c>
      <c r="M245" s="7">
        <v>3481040183</v>
      </c>
      <c r="N245" s="7">
        <v>10697693</v>
      </c>
      <c r="O245" s="7" t="s">
        <v>1121</v>
      </c>
      <c r="P245" s="7"/>
    </row>
    <row r="246" spans="1:16" x14ac:dyDescent="0.25">
      <c r="A246" s="21">
        <f>Tabla1567937[[#This Row],[FECHA IN]]-15</f>
        <v>45262</v>
      </c>
      <c r="B246" s="21">
        <v>45250</v>
      </c>
      <c r="C246" s="21">
        <v>45015</v>
      </c>
      <c r="D246" s="6">
        <v>45277</v>
      </c>
      <c r="E246" s="6">
        <v>45282</v>
      </c>
      <c r="F246" s="7">
        <v>24234</v>
      </c>
      <c r="G246" s="8" t="s">
        <v>1498</v>
      </c>
      <c r="H246" s="158" t="s">
        <v>1126</v>
      </c>
      <c r="I246" s="8">
        <v>24426</v>
      </c>
      <c r="J246" s="8">
        <v>22180</v>
      </c>
      <c r="K246" s="8">
        <f>Tabla1567937[[#This Row],[CANTIDAD PUBLICA]]*0.05</f>
        <v>1221.3</v>
      </c>
      <c r="L246" s="8">
        <f>Tabla1567937[[#This Row],[COMISION AGENCIA]]*0.05</f>
        <v>61.064999999999998</v>
      </c>
      <c r="M246" s="7">
        <v>3481040183</v>
      </c>
      <c r="N246" s="7">
        <v>10697665</v>
      </c>
      <c r="O246" s="7" t="s">
        <v>1121</v>
      </c>
      <c r="P246" s="7"/>
    </row>
    <row r="247" spans="1:16" x14ac:dyDescent="0.25">
      <c r="A247" s="21">
        <f>Tabla1567937[[#This Row],[FECHA IN]]-15</f>
        <v>45262</v>
      </c>
      <c r="B247" s="21">
        <v>45250</v>
      </c>
      <c r="C247" s="21">
        <v>45015</v>
      </c>
      <c r="D247" s="6">
        <v>45277</v>
      </c>
      <c r="E247" s="6">
        <v>45282</v>
      </c>
      <c r="F247" s="7">
        <v>24234</v>
      </c>
      <c r="G247" s="8" t="s">
        <v>1499</v>
      </c>
      <c r="H247" s="158" t="s">
        <v>1126</v>
      </c>
      <c r="I247" s="8">
        <v>24426</v>
      </c>
      <c r="J247" s="8">
        <v>22180</v>
      </c>
      <c r="K247" s="8">
        <f>Tabla1567937[[#This Row],[CANTIDAD PUBLICA]]*0.05</f>
        <v>1221.3</v>
      </c>
      <c r="L247" s="8">
        <f>Tabla1567937[[#This Row],[COMISION AGENCIA]]*0.05</f>
        <v>61.064999999999998</v>
      </c>
      <c r="M247" s="7">
        <v>3481040183</v>
      </c>
      <c r="N247" s="7">
        <v>10697824</v>
      </c>
      <c r="O247" s="7" t="s">
        <v>1121</v>
      </c>
      <c r="P247" s="7"/>
    </row>
    <row r="248" spans="1:16" x14ac:dyDescent="0.25">
      <c r="A248" s="21">
        <f>Tabla1567937[[#This Row],[FECHA IN]]-15</f>
        <v>45262</v>
      </c>
      <c r="B248" s="21">
        <v>45250</v>
      </c>
      <c r="C248" s="21">
        <v>45015</v>
      </c>
      <c r="D248" s="6">
        <v>45277</v>
      </c>
      <c r="E248" s="6">
        <v>45282</v>
      </c>
      <c r="F248" s="7">
        <v>24234</v>
      </c>
      <c r="G248" s="8" t="s">
        <v>1500</v>
      </c>
      <c r="H248" s="158" t="s">
        <v>1126</v>
      </c>
      <c r="I248" s="8">
        <v>24426</v>
      </c>
      <c r="J248" s="8">
        <v>22180</v>
      </c>
      <c r="K248" s="8">
        <f>Tabla1567937[[#This Row],[CANTIDAD PUBLICA]]*0.05</f>
        <v>1221.3</v>
      </c>
      <c r="L248" s="8">
        <f>Tabla1567937[[#This Row],[COMISION AGENCIA]]*0.05</f>
        <v>61.064999999999998</v>
      </c>
      <c r="M248" s="7">
        <v>3481040183</v>
      </c>
      <c r="N248" s="7">
        <v>10697591</v>
      </c>
      <c r="O248" s="7" t="s">
        <v>1121</v>
      </c>
      <c r="P248" s="7"/>
    </row>
    <row r="249" spans="1:16" x14ac:dyDescent="0.25">
      <c r="A249" s="21">
        <f>Tabla1567937[[#This Row],[FECHA IN]]-15</f>
        <v>45262</v>
      </c>
      <c r="B249" s="21">
        <v>45250</v>
      </c>
      <c r="C249" s="21">
        <v>45015</v>
      </c>
      <c r="D249" s="6">
        <v>45277</v>
      </c>
      <c r="E249" s="6">
        <v>45282</v>
      </c>
      <c r="F249" s="7">
        <v>24234</v>
      </c>
      <c r="G249" s="8" t="s">
        <v>1501</v>
      </c>
      <c r="H249" s="158" t="s">
        <v>1126</v>
      </c>
      <c r="I249" s="8">
        <v>24426</v>
      </c>
      <c r="J249" s="8">
        <v>22180</v>
      </c>
      <c r="K249" s="8">
        <f>Tabla1567937[[#This Row],[CANTIDAD PUBLICA]]*0.05</f>
        <v>1221.3</v>
      </c>
      <c r="L249" s="8">
        <f>Tabla1567937[[#This Row],[COMISION AGENCIA]]*0.05</f>
        <v>61.064999999999998</v>
      </c>
      <c r="M249" s="7">
        <v>3481040183</v>
      </c>
      <c r="N249" s="7">
        <v>10697566</v>
      </c>
      <c r="O249" s="7" t="s">
        <v>1121</v>
      </c>
      <c r="P249" s="7"/>
    </row>
    <row r="250" spans="1:16" x14ac:dyDescent="0.25">
      <c r="A250" s="21">
        <f>Tabla1567937[[#This Row],[FECHA IN]]-15</f>
        <v>45262</v>
      </c>
      <c r="B250" s="21">
        <v>45250</v>
      </c>
      <c r="C250" s="21">
        <v>45015</v>
      </c>
      <c r="D250" s="6">
        <v>45277</v>
      </c>
      <c r="E250" s="6">
        <v>45282</v>
      </c>
      <c r="F250" s="7">
        <v>24234</v>
      </c>
      <c r="G250" s="8" t="s">
        <v>1502</v>
      </c>
      <c r="H250" s="158" t="s">
        <v>1126</v>
      </c>
      <c r="I250" s="8">
        <v>24426</v>
      </c>
      <c r="J250" s="8">
        <v>22180</v>
      </c>
      <c r="K250" s="8">
        <f>Tabla1567937[[#This Row],[CANTIDAD PUBLICA]]*0.05</f>
        <v>1221.3</v>
      </c>
      <c r="L250" s="8">
        <f>Tabla1567937[[#This Row],[COMISION AGENCIA]]*0.05</f>
        <v>61.064999999999998</v>
      </c>
      <c r="M250" s="7">
        <v>3481040183</v>
      </c>
      <c r="N250" s="7">
        <v>10697544</v>
      </c>
      <c r="O250" s="7" t="s">
        <v>1121</v>
      </c>
      <c r="P250" s="7"/>
    </row>
    <row r="251" spans="1:16" x14ac:dyDescent="0.25">
      <c r="A251" s="21">
        <f>Tabla1567937[[#This Row],[FECHA IN]]-15</f>
        <v>45262</v>
      </c>
      <c r="B251" s="21">
        <v>45250</v>
      </c>
      <c r="C251" s="21">
        <v>45015</v>
      </c>
      <c r="D251" s="6">
        <v>45277</v>
      </c>
      <c r="E251" s="6">
        <v>45282</v>
      </c>
      <c r="F251" s="7">
        <v>24234</v>
      </c>
      <c r="G251" s="8" t="s">
        <v>1503</v>
      </c>
      <c r="H251" s="158" t="s">
        <v>1126</v>
      </c>
      <c r="I251" s="8">
        <v>24426</v>
      </c>
      <c r="J251" s="8">
        <v>22180</v>
      </c>
      <c r="K251" s="8">
        <f>Tabla1567937[[#This Row],[CANTIDAD PUBLICA]]*0.05</f>
        <v>1221.3</v>
      </c>
      <c r="L251" s="8">
        <f>Tabla1567937[[#This Row],[COMISION AGENCIA]]*0.05</f>
        <v>61.064999999999998</v>
      </c>
      <c r="M251" s="7">
        <v>3481040183</v>
      </c>
      <c r="N251" s="7">
        <v>10697518</v>
      </c>
      <c r="O251" s="7" t="s">
        <v>1121</v>
      </c>
      <c r="P251" s="7"/>
    </row>
    <row r="252" spans="1:16" x14ac:dyDescent="0.25">
      <c r="A252" s="21">
        <f>Tabla1567937[[#This Row],[FECHA IN]]-15</f>
        <v>45262</v>
      </c>
      <c r="B252" s="21">
        <v>45250</v>
      </c>
      <c r="C252" s="21">
        <v>45015</v>
      </c>
      <c r="D252" s="6">
        <v>45277</v>
      </c>
      <c r="E252" s="6">
        <v>45282</v>
      </c>
      <c r="F252" s="7">
        <v>24234</v>
      </c>
      <c r="G252" s="8" t="s">
        <v>1504</v>
      </c>
      <c r="H252" s="158" t="s">
        <v>1126</v>
      </c>
      <c r="I252" s="8">
        <v>34353</v>
      </c>
      <c r="J252" s="8">
        <v>30930</v>
      </c>
      <c r="K252" s="8">
        <f>Tabla1567937[[#This Row],[CANTIDAD PUBLICA]]*0.05</f>
        <v>1717.65</v>
      </c>
      <c r="L252" s="8">
        <f>Tabla1567937[[#This Row],[COMISION AGENCIA]]*0.05</f>
        <v>85.882500000000007</v>
      </c>
      <c r="M252" s="7">
        <v>3481040183</v>
      </c>
      <c r="N252" s="7">
        <v>10697734</v>
      </c>
      <c r="O252" s="7" t="s">
        <v>1121</v>
      </c>
      <c r="P252" s="7"/>
    </row>
    <row r="253" spans="1:16" x14ac:dyDescent="0.25">
      <c r="A253" s="21">
        <v>45352</v>
      </c>
      <c r="B253" s="21">
        <v>45105</v>
      </c>
      <c r="C253" s="21">
        <v>45105</v>
      </c>
      <c r="D253" s="6">
        <v>45400</v>
      </c>
      <c r="E253" s="6">
        <v>45403</v>
      </c>
      <c r="F253" s="7">
        <v>24745</v>
      </c>
      <c r="G253" s="8" t="s">
        <v>1421</v>
      </c>
      <c r="H253" s="8" t="s">
        <v>1505</v>
      </c>
      <c r="I253" s="8">
        <v>19820</v>
      </c>
      <c r="J253" s="8">
        <v>17810</v>
      </c>
      <c r="K253" s="8"/>
      <c r="L253" s="8"/>
      <c r="M253" s="7">
        <v>3323120118</v>
      </c>
      <c r="N253" s="7">
        <v>11092044</v>
      </c>
      <c r="O253" s="7" t="s">
        <v>1121</v>
      </c>
      <c r="P253" s="7"/>
    </row>
    <row r="254" spans="1:16" x14ac:dyDescent="0.25">
      <c r="A254" s="21">
        <v>45352</v>
      </c>
      <c r="B254" s="21">
        <v>45105</v>
      </c>
      <c r="C254" s="21">
        <v>45105</v>
      </c>
      <c r="D254" s="6">
        <v>45400</v>
      </c>
      <c r="E254" s="6">
        <v>45403</v>
      </c>
      <c r="F254" s="7">
        <v>24745</v>
      </c>
      <c r="G254" s="8" t="s">
        <v>1506</v>
      </c>
      <c r="H254" s="8" t="s">
        <v>1505</v>
      </c>
      <c r="I254" s="8">
        <v>15821</v>
      </c>
      <c r="J254" s="8">
        <v>14230</v>
      </c>
      <c r="K254" s="8"/>
      <c r="L254" s="8"/>
      <c r="M254" s="7">
        <v>3323120118</v>
      </c>
      <c r="N254" s="7">
        <v>11092032</v>
      </c>
      <c r="O254" s="7" t="s">
        <v>1121</v>
      </c>
      <c r="P254" s="7"/>
    </row>
    <row r="255" spans="1:16" x14ac:dyDescent="0.25">
      <c r="A255" s="21">
        <v>45352</v>
      </c>
      <c r="B255" s="21">
        <v>45105</v>
      </c>
      <c r="C255" s="21">
        <v>45105</v>
      </c>
      <c r="D255" s="6">
        <v>45400</v>
      </c>
      <c r="E255" s="6">
        <v>45403</v>
      </c>
      <c r="F255" s="6"/>
      <c r="G255" s="8" t="s">
        <v>1421</v>
      </c>
      <c r="H255" s="8" t="s">
        <v>1507</v>
      </c>
      <c r="I255" s="8"/>
      <c r="J255" s="8">
        <v>450</v>
      </c>
      <c r="K255" s="8"/>
      <c r="L255" s="8"/>
      <c r="M255" s="7">
        <v>3323120118</v>
      </c>
      <c r="N255" s="7"/>
      <c r="O255" s="7"/>
      <c r="P255" s="7"/>
    </row>
    <row r="256" spans="1:16" x14ac:dyDescent="0.25">
      <c r="A256" s="21">
        <v>120723</v>
      </c>
      <c r="B256" s="21">
        <v>100823</v>
      </c>
      <c r="C256" s="21">
        <v>230623</v>
      </c>
      <c r="D256" s="6">
        <v>100823</v>
      </c>
      <c r="E256" s="6">
        <v>140823</v>
      </c>
      <c r="F256" s="6"/>
      <c r="G256" s="8" t="s">
        <v>1393</v>
      </c>
      <c r="H256" s="195" t="s">
        <v>1094</v>
      </c>
      <c r="I256" s="8">
        <v>17302</v>
      </c>
      <c r="J256" s="8">
        <v>15575</v>
      </c>
      <c r="K256" s="8"/>
      <c r="L256" s="8"/>
      <c r="M256" s="7">
        <v>3481338922</v>
      </c>
      <c r="N256" s="7">
        <v>41254800</v>
      </c>
      <c r="O256" s="7" t="s">
        <v>1121</v>
      </c>
      <c r="P256" s="7"/>
    </row>
    <row r="257" spans="1:16" x14ac:dyDescent="0.25">
      <c r="A257" s="21">
        <v>120723</v>
      </c>
      <c r="B257" s="21">
        <v>45100</v>
      </c>
      <c r="C257" s="21">
        <v>45100</v>
      </c>
      <c r="D257" s="6">
        <v>45148</v>
      </c>
      <c r="E257" s="6">
        <v>45152</v>
      </c>
      <c r="F257" s="6"/>
      <c r="G257" s="8" t="s">
        <v>1393</v>
      </c>
      <c r="H257" s="8" t="s">
        <v>1508</v>
      </c>
      <c r="I257" s="8"/>
      <c r="J257" s="8">
        <v>450</v>
      </c>
      <c r="K257" s="8"/>
      <c r="L257" s="8"/>
      <c r="M257" s="7">
        <v>3481338922</v>
      </c>
      <c r="N257" s="7"/>
      <c r="O257" s="7"/>
      <c r="P257" s="7"/>
    </row>
    <row r="258" spans="1:16" x14ac:dyDescent="0.25">
      <c r="A258" s="21" t="s">
        <v>1509</v>
      </c>
      <c r="B258" s="21">
        <v>45108</v>
      </c>
      <c r="C258" s="21">
        <v>45104</v>
      </c>
      <c r="D258" s="6">
        <v>45207</v>
      </c>
      <c r="E258" s="6">
        <v>45210</v>
      </c>
      <c r="F258" s="7">
        <v>25724</v>
      </c>
      <c r="G258" s="8" t="s">
        <v>1424</v>
      </c>
      <c r="H258" s="8" t="s">
        <v>1510</v>
      </c>
      <c r="I258" s="8">
        <v>12998</v>
      </c>
      <c r="J258" s="8">
        <v>11310</v>
      </c>
      <c r="K258" s="8"/>
      <c r="L258" s="8"/>
      <c r="M258" s="7">
        <v>3481488487</v>
      </c>
      <c r="N258" s="7" t="s">
        <v>1511</v>
      </c>
      <c r="O258" s="7" t="s">
        <v>1130</v>
      </c>
      <c r="P258" s="7"/>
    </row>
    <row r="259" spans="1:16" x14ac:dyDescent="0.25">
      <c r="I259" s="2"/>
      <c r="J259" s="2"/>
    </row>
    <row r="260" spans="1:16" x14ac:dyDescent="0.25">
      <c r="I260" s="2"/>
      <c r="J260" s="2"/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142"/>
  <sheetViews>
    <sheetView topLeftCell="A974" zoomScale="85" zoomScaleNormal="85" workbookViewId="0">
      <selection activeCell="F987" sqref="F987"/>
    </sheetView>
  </sheetViews>
  <sheetFormatPr baseColWidth="10" defaultColWidth="11.42578125" defaultRowHeight="15" x14ac:dyDescent="0.25"/>
  <cols>
    <col min="1" max="1" width="11.7109375" customWidth="1"/>
    <col min="2" max="2" width="11.28515625" customWidth="1"/>
    <col min="3" max="5" width="12" customWidth="1"/>
    <col min="6" max="6" width="62.140625" style="123" bestFit="1" customWidth="1"/>
    <col min="7" max="7" width="72.5703125" bestFit="1" customWidth="1"/>
    <col min="8" max="8" width="54.85546875" bestFit="1" customWidth="1"/>
    <col min="9" max="9" width="15.7109375" customWidth="1"/>
    <col min="10" max="10" width="14.140625" bestFit="1" customWidth="1"/>
    <col min="11" max="11" width="13.85546875" customWidth="1"/>
    <col min="12" max="12" width="12.7109375" bestFit="1" customWidth="1"/>
    <col min="13" max="13" width="13.85546875" bestFit="1" customWidth="1"/>
    <col min="14" max="14" width="29.140625" bestFit="1" customWidth="1"/>
    <col min="15" max="15" width="25.28515625" customWidth="1"/>
    <col min="16" max="16" width="73.42578125" bestFit="1" customWidth="1"/>
    <col min="17" max="17" width="33" customWidth="1"/>
  </cols>
  <sheetData>
    <row r="1" spans="1:16" x14ac:dyDescent="0.25">
      <c r="A1" s="196" t="s">
        <v>22</v>
      </c>
      <c r="B1" s="73"/>
      <c r="C1" s="199">
        <f>'GASTOS FIJOS'!B8</f>
        <v>12343.136400000001</v>
      </c>
      <c r="H1" s="17"/>
      <c r="I1" t="s">
        <v>23</v>
      </c>
    </row>
    <row r="2" spans="1:16" x14ac:dyDescent="0.25">
      <c r="A2" s="197"/>
      <c r="B2" s="74"/>
      <c r="C2" s="200"/>
      <c r="F2" s="124"/>
      <c r="G2" t="s">
        <v>24</v>
      </c>
      <c r="H2" s="19"/>
      <c r="I2" t="s">
        <v>25</v>
      </c>
    </row>
    <row r="3" spans="1:16" x14ac:dyDescent="0.25">
      <c r="A3" s="198"/>
      <c r="B3" s="75"/>
      <c r="C3" s="201"/>
      <c r="F3" s="125"/>
      <c r="G3" t="s">
        <v>26</v>
      </c>
      <c r="H3" s="20"/>
      <c r="I3" t="s">
        <v>27</v>
      </c>
    </row>
    <row r="4" spans="1:16" ht="45" x14ac:dyDescent="0.25">
      <c r="A4" s="152" t="s">
        <v>28</v>
      </c>
      <c r="B4" s="152" t="s">
        <v>29</v>
      </c>
      <c r="C4" s="152" t="s">
        <v>30</v>
      </c>
      <c r="D4" s="152" t="s">
        <v>31</v>
      </c>
      <c r="E4" s="152" t="s">
        <v>32</v>
      </c>
      <c r="F4" s="153" t="s">
        <v>33</v>
      </c>
      <c r="G4" s="152" t="s">
        <v>34</v>
      </c>
      <c r="H4" s="152" t="s">
        <v>35</v>
      </c>
      <c r="I4" s="152" t="s">
        <v>36</v>
      </c>
      <c r="J4" s="152" t="s">
        <v>37</v>
      </c>
      <c r="K4" s="152" t="s">
        <v>38</v>
      </c>
      <c r="L4" s="152" t="s">
        <v>39</v>
      </c>
      <c r="M4" s="152" t="s">
        <v>40</v>
      </c>
      <c r="N4" s="152" t="s">
        <v>41</v>
      </c>
      <c r="O4" s="152" t="s">
        <v>42</v>
      </c>
      <c r="P4" s="152" t="s">
        <v>43</v>
      </c>
    </row>
    <row r="5" spans="1:16" x14ac:dyDescent="0.25">
      <c r="A5" s="14">
        <v>44807</v>
      </c>
      <c r="B5" s="14">
        <v>44807</v>
      </c>
      <c r="C5" s="6">
        <v>44807</v>
      </c>
      <c r="D5" s="6">
        <v>44901</v>
      </c>
      <c r="E5" s="6">
        <v>44905</v>
      </c>
      <c r="F5" s="115" t="s">
        <v>1512</v>
      </c>
      <c r="G5" s="8" t="s">
        <v>1513</v>
      </c>
      <c r="H5" s="8" t="s">
        <v>1514</v>
      </c>
      <c r="I5" s="8">
        <v>24396</v>
      </c>
      <c r="J5" s="8">
        <v>26220</v>
      </c>
      <c r="K5" s="9">
        <f>Tabla156798[[#This Row],[PRECIO CLIENTE]]-Tabla156798[[#This Row],[CANTIDAD PUBLICA]]</f>
        <v>1824</v>
      </c>
      <c r="L5" s="10">
        <f>Tabla156798[[#This Row],[COMISION AGENCIA]]*0.05</f>
        <v>91.2</v>
      </c>
      <c r="M5" s="7">
        <v>3322102724</v>
      </c>
      <c r="N5" s="7" t="s">
        <v>1515</v>
      </c>
      <c r="O5" s="7" t="s">
        <v>47</v>
      </c>
      <c r="P5" s="7"/>
    </row>
    <row r="6" spans="1:16" x14ac:dyDescent="0.25">
      <c r="A6" s="14">
        <v>44811</v>
      </c>
      <c r="B6" s="14">
        <v>44811</v>
      </c>
      <c r="C6" s="6">
        <v>44809</v>
      </c>
      <c r="D6" s="6">
        <v>44824</v>
      </c>
      <c r="E6" s="6">
        <v>44828</v>
      </c>
      <c r="F6" s="115">
        <v>21482</v>
      </c>
      <c r="G6" s="8" t="s">
        <v>1516</v>
      </c>
      <c r="H6" s="8" t="s">
        <v>1517</v>
      </c>
      <c r="I6" s="8">
        <v>25958.3</v>
      </c>
      <c r="J6" s="8">
        <v>22585</v>
      </c>
      <c r="K6" s="9">
        <f>Tabla156798[[#This Row],[CANTIDAD PUBLICA]]*AGENTES!D4</f>
        <v>1297.9149999999997</v>
      </c>
      <c r="L6" s="10">
        <f>Tabla156798[[#This Row],[COMISION AGENCIA]]*0.05</f>
        <v>64.895749999999992</v>
      </c>
      <c r="M6" s="7">
        <v>3481324940</v>
      </c>
      <c r="N6" s="7" t="s">
        <v>1518</v>
      </c>
      <c r="O6" s="7" t="s">
        <v>6</v>
      </c>
      <c r="P6" s="7"/>
    </row>
    <row r="7" spans="1:16" x14ac:dyDescent="0.25">
      <c r="A7" s="14">
        <v>44811</v>
      </c>
      <c r="B7" s="14">
        <v>44811</v>
      </c>
      <c r="C7" s="6">
        <v>44809</v>
      </c>
      <c r="D7" s="6">
        <v>44824</v>
      </c>
      <c r="E7" s="6">
        <v>44828</v>
      </c>
      <c r="F7" s="115">
        <v>21482</v>
      </c>
      <c r="G7" s="8" t="s">
        <v>1519</v>
      </c>
      <c r="H7" s="8" t="s">
        <v>1517</v>
      </c>
      <c r="I7" s="8">
        <v>25958.3</v>
      </c>
      <c r="J7" s="8">
        <v>22585</v>
      </c>
      <c r="K7" s="9">
        <f>Tabla156798[[#This Row],[CANTIDAD PUBLICA]]*AGENTES!D4</f>
        <v>1297.9149999999997</v>
      </c>
      <c r="L7" s="10">
        <f>Tabla156798[[#This Row],[COMISION AGENCIA]]*0.05</f>
        <v>64.895749999999992</v>
      </c>
      <c r="M7" s="7">
        <v>3481324940</v>
      </c>
      <c r="N7" s="7" t="s">
        <v>1520</v>
      </c>
      <c r="O7" s="7" t="s">
        <v>6</v>
      </c>
      <c r="P7" s="7"/>
    </row>
    <row r="8" spans="1:16" x14ac:dyDescent="0.25">
      <c r="A8" s="14">
        <v>44811</v>
      </c>
      <c r="B8" s="14">
        <v>44811</v>
      </c>
      <c r="C8" s="6">
        <v>44809</v>
      </c>
      <c r="D8" s="6">
        <v>44824</v>
      </c>
      <c r="E8" s="6">
        <v>44828</v>
      </c>
      <c r="F8" s="115">
        <v>21482</v>
      </c>
      <c r="G8" s="8" t="s">
        <v>1521</v>
      </c>
      <c r="H8" s="8" t="s">
        <v>1517</v>
      </c>
      <c r="I8" s="8">
        <v>25958.3</v>
      </c>
      <c r="J8" s="8">
        <v>22585</v>
      </c>
      <c r="K8" s="9">
        <f>Tabla156798[[#This Row],[CANTIDAD PUBLICA]]*AGENTES!D4</f>
        <v>1297.9149999999997</v>
      </c>
      <c r="L8" s="10">
        <f>Tabla156798[[#This Row],[COMISION AGENCIA]]*0.05</f>
        <v>64.895749999999992</v>
      </c>
      <c r="M8" s="7">
        <v>3481324940</v>
      </c>
      <c r="N8" s="7" t="s">
        <v>1522</v>
      </c>
      <c r="O8" s="7" t="s">
        <v>6</v>
      </c>
      <c r="P8" s="7"/>
    </row>
    <row r="9" spans="1:16" x14ac:dyDescent="0.25">
      <c r="A9" s="14">
        <v>44811</v>
      </c>
      <c r="B9" s="14">
        <v>44811</v>
      </c>
      <c r="C9" s="6">
        <v>44809</v>
      </c>
      <c r="D9" s="6">
        <v>44824</v>
      </c>
      <c r="E9" s="6">
        <v>44828</v>
      </c>
      <c r="F9" s="115">
        <v>21482</v>
      </c>
      <c r="G9" s="8" t="s">
        <v>1523</v>
      </c>
      <c r="H9" s="8" t="s">
        <v>1517</v>
      </c>
      <c r="I9" s="8">
        <v>25958.3</v>
      </c>
      <c r="J9" s="8">
        <v>22585</v>
      </c>
      <c r="K9" s="9">
        <f>Tabla156798[[#This Row],[CANTIDAD PUBLICA]]*AGENTES!D4</f>
        <v>1297.9149999999997</v>
      </c>
      <c r="L9" s="10">
        <f>Tabla156798[[#This Row],[COMISION AGENCIA]]*0.05</f>
        <v>64.895749999999992</v>
      </c>
      <c r="M9" s="7">
        <v>3481324940</v>
      </c>
      <c r="N9" s="7" t="s">
        <v>1524</v>
      </c>
      <c r="O9" s="7" t="s">
        <v>6</v>
      </c>
      <c r="P9" s="7"/>
    </row>
    <row r="10" spans="1:16" x14ac:dyDescent="0.25">
      <c r="A10" s="14">
        <v>44811</v>
      </c>
      <c r="B10" s="14">
        <v>44811</v>
      </c>
      <c r="C10" s="6">
        <v>44809</v>
      </c>
      <c r="D10" s="6">
        <v>44824</v>
      </c>
      <c r="E10" s="6">
        <v>44828</v>
      </c>
      <c r="F10" s="115">
        <v>21482</v>
      </c>
      <c r="G10" s="8" t="s">
        <v>1525</v>
      </c>
      <c r="H10" s="8" t="s">
        <v>1517</v>
      </c>
      <c r="I10" s="8">
        <v>29570.15</v>
      </c>
      <c r="J10" s="8">
        <v>25730</v>
      </c>
      <c r="K10" s="9">
        <f>Tabla156798[[#This Row],[CANTIDAD PUBLICA]]*AGENTES!D4</f>
        <v>1478.5074999999997</v>
      </c>
      <c r="L10" s="10">
        <f>Tabla156798[[#This Row],[COMISION AGENCIA]]*0.05</f>
        <v>73.925374999999988</v>
      </c>
      <c r="M10" s="7">
        <v>3481324940</v>
      </c>
      <c r="N10" s="7" t="s">
        <v>1526</v>
      </c>
      <c r="O10" s="7" t="s">
        <v>6</v>
      </c>
      <c r="P10" s="7"/>
    </row>
    <row r="11" spans="1:16" x14ac:dyDescent="0.25">
      <c r="A11" s="14">
        <v>44811</v>
      </c>
      <c r="B11" s="14">
        <v>44811</v>
      </c>
      <c r="C11" s="6">
        <v>44809</v>
      </c>
      <c r="D11" s="6">
        <v>44824</v>
      </c>
      <c r="E11" s="6">
        <v>44828</v>
      </c>
      <c r="F11" s="115">
        <v>21482</v>
      </c>
      <c r="G11" s="8" t="s">
        <v>1527</v>
      </c>
      <c r="H11" s="8" t="s">
        <v>1517</v>
      </c>
      <c r="I11" s="8">
        <v>29570.15</v>
      </c>
      <c r="J11" s="8">
        <v>25730</v>
      </c>
      <c r="K11" s="9">
        <f>Tabla156798[[#This Row],[CANTIDAD PUBLICA]]*AGENTES!D4</f>
        <v>1478.5074999999997</v>
      </c>
      <c r="L11" s="10">
        <f>Tabla156798[[#This Row],[COMISION AGENCIA]]*0.05</f>
        <v>73.925374999999988</v>
      </c>
      <c r="M11" s="7">
        <v>3481324940</v>
      </c>
      <c r="N11" s="7" t="s">
        <v>1528</v>
      </c>
      <c r="O11" s="7" t="s">
        <v>6</v>
      </c>
      <c r="P11" s="7"/>
    </row>
    <row r="12" spans="1:16" x14ac:dyDescent="0.25">
      <c r="A12" s="14">
        <v>44811</v>
      </c>
      <c r="B12" s="14">
        <v>44811</v>
      </c>
      <c r="C12" s="6">
        <v>44809</v>
      </c>
      <c r="D12" s="6">
        <v>44824</v>
      </c>
      <c r="E12" s="6">
        <v>44828</v>
      </c>
      <c r="F12" s="115">
        <v>21482</v>
      </c>
      <c r="G12" s="8" t="s">
        <v>1529</v>
      </c>
      <c r="H12" s="8" t="s">
        <v>1517</v>
      </c>
      <c r="I12" s="8">
        <v>31210.1</v>
      </c>
      <c r="J12" s="8">
        <v>27155</v>
      </c>
      <c r="K12" s="9">
        <f>Tabla156798[[#This Row],[CANTIDAD PUBLICA]]*AGENTES!D4</f>
        <v>1560.5049999999997</v>
      </c>
      <c r="L12" s="10">
        <f>Tabla156798[[#This Row],[COMISION AGENCIA]]*0.05</f>
        <v>78.025249999999986</v>
      </c>
      <c r="M12" s="7">
        <v>3481324940</v>
      </c>
      <c r="N12" s="7" t="s">
        <v>1530</v>
      </c>
      <c r="O12" s="7" t="s">
        <v>6</v>
      </c>
      <c r="P12" s="7"/>
    </row>
    <row r="13" spans="1:16" x14ac:dyDescent="0.25">
      <c r="A13" s="14">
        <v>44811</v>
      </c>
      <c r="B13" s="14">
        <v>44811</v>
      </c>
      <c r="C13" s="6">
        <v>44811</v>
      </c>
      <c r="D13" s="6">
        <v>44818</v>
      </c>
      <c r="E13" s="6">
        <v>44842</v>
      </c>
      <c r="F13" s="115">
        <v>21508</v>
      </c>
      <c r="G13" s="8" t="s">
        <v>1531</v>
      </c>
      <c r="H13" s="8" t="s">
        <v>1532</v>
      </c>
      <c r="I13" s="8">
        <f>11438+2475</f>
        <v>13913</v>
      </c>
      <c r="J13" s="8">
        <v>14815</v>
      </c>
      <c r="K13" s="9">
        <f>J13-Tabla156798[[#This Row],[CANTIDAD PUBLICA]]</f>
        <v>902</v>
      </c>
      <c r="L13" s="10">
        <f>Tabla156798[[#This Row],[COMISION AGENCIA]]*0.05</f>
        <v>45.1</v>
      </c>
      <c r="M13" s="7"/>
      <c r="N13" s="7" t="s">
        <v>1533</v>
      </c>
      <c r="O13" s="7" t="s">
        <v>47</v>
      </c>
      <c r="P13" s="7"/>
    </row>
    <row r="14" spans="1:16" x14ac:dyDescent="0.25">
      <c r="A14" s="14">
        <v>44811</v>
      </c>
      <c r="B14" s="14">
        <v>44811</v>
      </c>
      <c r="C14" s="6">
        <v>44811</v>
      </c>
      <c r="D14" s="6">
        <v>44848</v>
      </c>
      <c r="E14" s="6">
        <v>44851</v>
      </c>
      <c r="F14" s="115" t="s">
        <v>877</v>
      </c>
      <c r="G14" s="8" t="s">
        <v>1534</v>
      </c>
      <c r="H14" s="8" t="s">
        <v>1535</v>
      </c>
      <c r="I14" s="8">
        <v>17014.32</v>
      </c>
      <c r="J14" s="8">
        <v>19110</v>
      </c>
      <c r="K14" s="9">
        <f>J14-Tabla156798[[#This Row],[CANTIDAD PUBLICA]]</f>
        <v>2095.6800000000003</v>
      </c>
      <c r="L14" s="10">
        <f>Tabla156798[[#This Row],[COMISION AGENCIA]]*0.05</f>
        <v>104.78400000000002</v>
      </c>
      <c r="M14" s="7"/>
      <c r="N14" s="7" t="s">
        <v>1536</v>
      </c>
      <c r="O14" s="7" t="s">
        <v>86</v>
      </c>
      <c r="P14" s="7"/>
    </row>
    <row r="15" spans="1:16" x14ac:dyDescent="0.25">
      <c r="A15" s="14">
        <v>44811</v>
      </c>
      <c r="B15" s="14">
        <v>44811</v>
      </c>
      <c r="C15" s="6">
        <v>44748</v>
      </c>
      <c r="D15" s="6">
        <v>44815</v>
      </c>
      <c r="E15" s="6">
        <v>44819</v>
      </c>
      <c r="F15" s="115" t="s">
        <v>877</v>
      </c>
      <c r="G15" s="8" t="s">
        <v>1537</v>
      </c>
      <c r="H15" s="8" t="s">
        <v>966</v>
      </c>
      <c r="I15" s="8">
        <v>13000</v>
      </c>
      <c r="J15" s="8">
        <v>11310</v>
      </c>
      <c r="K15" s="9">
        <f>Tabla156798[[#This Row],[CANTIDAD PUBLICA]]*AGENTES!D4</f>
        <v>649.99999999999989</v>
      </c>
      <c r="L15" s="10">
        <f>Tabla156798[[#This Row],[COMISION AGENCIA]]*0.05</f>
        <v>32.499999999999993</v>
      </c>
      <c r="M15" s="7">
        <v>3481141682</v>
      </c>
      <c r="N15" s="7" t="s">
        <v>1538</v>
      </c>
      <c r="O15" s="7" t="s">
        <v>6</v>
      </c>
      <c r="P15" s="7"/>
    </row>
    <row r="16" spans="1:16" x14ac:dyDescent="0.25">
      <c r="A16" s="14">
        <v>44811</v>
      </c>
      <c r="B16" s="14">
        <v>44811</v>
      </c>
      <c r="C16" s="6">
        <v>44748</v>
      </c>
      <c r="D16" s="6">
        <v>44815</v>
      </c>
      <c r="E16" s="6">
        <v>44819</v>
      </c>
      <c r="F16" s="115" t="s">
        <v>877</v>
      </c>
      <c r="G16" s="8" t="s">
        <v>1537</v>
      </c>
      <c r="H16" s="8" t="s">
        <v>1539</v>
      </c>
      <c r="I16" s="8">
        <v>2400</v>
      </c>
      <c r="J16" s="8">
        <v>2400</v>
      </c>
      <c r="K16" s="9">
        <f>Tabla156798[[#This Row],[CANTIDAD PUBLICA]]*AGENTES!D10</f>
        <v>480</v>
      </c>
      <c r="L16" s="10">
        <f>Tabla156798[[#This Row],[COMISION AGENCIA]]*0.05</f>
        <v>24</v>
      </c>
      <c r="M16" s="7">
        <v>3481141682</v>
      </c>
      <c r="N16" s="7" t="s">
        <v>1538</v>
      </c>
      <c r="O16" s="7" t="s">
        <v>12</v>
      </c>
      <c r="P16" s="7"/>
    </row>
    <row r="17" spans="1:16" x14ac:dyDescent="0.25">
      <c r="A17" s="14">
        <v>44812</v>
      </c>
      <c r="B17" s="14">
        <v>44812</v>
      </c>
      <c r="C17" s="6">
        <v>44812</v>
      </c>
      <c r="D17" s="6">
        <v>44856</v>
      </c>
      <c r="E17" s="6"/>
      <c r="F17" s="115">
        <v>21536</v>
      </c>
      <c r="G17" s="8" t="s">
        <v>1540</v>
      </c>
      <c r="H17" s="8" t="s">
        <v>1541</v>
      </c>
      <c r="I17" s="8">
        <v>6532</v>
      </c>
      <c r="J17" s="8">
        <v>7420</v>
      </c>
      <c r="K17" s="9">
        <f>J17-Tabla156798[[#This Row],[CANTIDAD PUBLICA]]</f>
        <v>888</v>
      </c>
      <c r="L17" s="10">
        <f>Tabla156798[[#This Row],[COMISION AGENCIA]]*0.05</f>
        <v>44.400000000000006</v>
      </c>
      <c r="M17" s="7">
        <v>3310464184</v>
      </c>
      <c r="N17" s="7" t="s">
        <v>1542</v>
      </c>
      <c r="O17" s="7" t="s">
        <v>47</v>
      </c>
      <c r="P17" s="7"/>
    </row>
    <row r="18" spans="1:16" x14ac:dyDescent="0.25">
      <c r="A18" s="14">
        <v>44812</v>
      </c>
      <c r="B18" s="14">
        <v>44812</v>
      </c>
      <c r="C18" s="6">
        <v>44812</v>
      </c>
      <c r="D18" s="6">
        <v>44815</v>
      </c>
      <c r="E18" s="6">
        <v>44818</v>
      </c>
      <c r="F18" s="115" t="s">
        <v>877</v>
      </c>
      <c r="G18" s="8" t="s">
        <v>1543</v>
      </c>
      <c r="H18" s="8" t="s">
        <v>1544</v>
      </c>
      <c r="I18" s="8">
        <v>10164</v>
      </c>
      <c r="J18" s="8">
        <v>10920</v>
      </c>
      <c r="K18" s="9">
        <f>J18-Tabla156798[[#This Row],[CANTIDAD PUBLICA]]</f>
        <v>756</v>
      </c>
      <c r="L18" s="10">
        <f>Tabla156798[[#This Row],[COMISION AGENCIA]]*0.05</f>
        <v>37.800000000000004</v>
      </c>
      <c r="M18" s="7" t="s">
        <v>1545</v>
      </c>
      <c r="N18" s="7" t="s">
        <v>1546</v>
      </c>
      <c r="O18" s="7" t="s">
        <v>47</v>
      </c>
      <c r="P18" s="7"/>
    </row>
    <row r="19" spans="1:16" x14ac:dyDescent="0.25">
      <c r="A19" s="14">
        <v>44813</v>
      </c>
      <c r="B19" s="14">
        <v>44813</v>
      </c>
      <c r="C19" s="6">
        <v>44813</v>
      </c>
      <c r="D19" s="6">
        <v>44817</v>
      </c>
      <c r="E19" s="6">
        <v>44833</v>
      </c>
      <c r="F19" s="115" t="s">
        <v>1547</v>
      </c>
      <c r="G19" s="8" t="s">
        <v>1548</v>
      </c>
      <c r="H19" s="8" t="s">
        <v>1549</v>
      </c>
      <c r="I19" s="8">
        <v>24964</v>
      </c>
      <c r="J19" s="8">
        <v>25270</v>
      </c>
      <c r="K19" s="9">
        <f>J19-Tabla156798[[#This Row],[CANTIDAD PUBLICA]]</f>
        <v>306</v>
      </c>
      <c r="L19" s="10">
        <f>Tabla156798[[#This Row],[COMISION AGENCIA]]*0.05</f>
        <v>15.3</v>
      </c>
      <c r="M19" s="7">
        <v>3111126803</v>
      </c>
      <c r="N19" s="7" t="s">
        <v>1550</v>
      </c>
      <c r="O19" s="7" t="s">
        <v>1551</v>
      </c>
      <c r="P19" s="7"/>
    </row>
    <row r="20" spans="1:16" x14ac:dyDescent="0.25">
      <c r="A20" s="14">
        <v>44813</v>
      </c>
      <c r="B20" s="14">
        <v>44813</v>
      </c>
      <c r="C20" s="6">
        <v>44813</v>
      </c>
      <c r="D20" s="6">
        <v>44824</v>
      </c>
      <c r="E20" s="6">
        <v>44826</v>
      </c>
      <c r="F20" s="115" t="s">
        <v>1552</v>
      </c>
      <c r="G20" s="8" t="s">
        <v>1553</v>
      </c>
      <c r="H20" s="8" t="s">
        <v>1554</v>
      </c>
      <c r="I20" s="8">
        <f>3970+3976</f>
        <v>7946</v>
      </c>
      <c r="J20" s="8">
        <v>8870</v>
      </c>
      <c r="K20" s="9">
        <f>Tabla156798[[#This Row],[PRECIO CLIENTE]]-Tabla156798[[#This Row],[CANTIDAD PUBLICA]]</f>
        <v>924</v>
      </c>
      <c r="L20" s="10">
        <f>Tabla156798[[#This Row],[COMISION AGENCIA]]*0.05</f>
        <v>46.2</v>
      </c>
      <c r="M20" s="7">
        <v>3320221672</v>
      </c>
      <c r="N20" s="7" t="s">
        <v>1555</v>
      </c>
      <c r="O20" s="7" t="s">
        <v>1556</v>
      </c>
      <c r="P20" s="7"/>
    </row>
    <row r="21" spans="1:16" x14ac:dyDescent="0.25">
      <c r="A21" s="14">
        <v>44813</v>
      </c>
      <c r="B21" s="14">
        <v>44813</v>
      </c>
      <c r="C21" s="6">
        <v>44813</v>
      </c>
      <c r="D21" s="6">
        <v>44854</v>
      </c>
      <c r="E21" s="7"/>
      <c r="F21" s="115">
        <v>21554</v>
      </c>
      <c r="G21" s="8" t="s">
        <v>1557</v>
      </c>
      <c r="H21" s="8" t="s">
        <v>1558</v>
      </c>
      <c r="I21" s="8">
        <v>1558</v>
      </c>
      <c r="J21" s="8">
        <v>2160</v>
      </c>
      <c r="K21" s="9">
        <f>J21-Tabla156798[[#This Row],[CANTIDAD PUBLICA]]</f>
        <v>602</v>
      </c>
      <c r="L21" s="10">
        <f>Tabla156798[[#This Row],[COMISION AGENCIA]]*0.05</f>
        <v>30.1</v>
      </c>
      <c r="M21" s="7"/>
      <c r="N21" s="7" t="s">
        <v>1559</v>
      </c>
      <c r="O21" s="7" t="s">
        <v>47</v>
      </c>
      <c r="P21" s="7"/>
    </row>
    <row r="22" spans="1:16" x14ac:dyDescent="0.25">
      <c r="A22" s="14">
        <v>44814</v>
      </c>
      <c r="B22" s="14">
        <v>44814</v>
      </c>
      <c r="C22" s="6">
        <v>44814</v>
      </c>
      <c r="D22" s="6">
        <v>44822</v>
      </c>
      <c r="E22" s="7"/>
      <c r="F22" s="115">
        <v>21571</v>
      </c>
      <c r="G22" s="8" t="s">
        <v>1560</v>
      </c>
      <c r="H22" s="8" t="s">
        <v>1561</v>
      </c>
      <c r="I22" s="8">
        <v>3093</v>
      </c>
      <c r="J22" s="8">
        <v>3395</v>
      </c>
      <c r="K22" s="9">
        <f>Tabla156798[[#This Row],[PRECIO CLIENTE]]-Tabla156798[[#This Row],[CANTIDAD PUBLICA]]</f>
        <v>302</v>
      </c>
      <c r="L22" s="10">
        <f>Tabla156798[[#This Row],[COMISION AGENCIA]]*0.05</f>
        <v>15.100000000000001</v>
      </c>
      <c r="M22" s="7"/>
      <c r="N22" s="7" t="s">
        <v>1562</v>
      </c>
      <c r="O22" s="7" t="s">
        <v>47</v>
      </c>
      <c r="P22" s="7"/>
    </row>
    <row r="23" spans="1:16" x14ac:dyDescent="0.25">
      <c r="A23" s="14">
        <v>44816</v>
      </c>
      <c r="B23" s="14">
        <v>44816</v>
      </c>
      <c r="C23" s="6">
        <v>44816</v>
      </c>
      <c r="D23" s="6">
        <v>44819</v>
      </c>
      <c r="E23" s="7"/>
      <c r="F23" s="115">
        <v>21598</v>
      </c>
      <c r="G23" s="8" t="s">
        <v>1563</v>
      </c>
      <c r="H23" s="8" t="s">
        <v>1564</v>
      </c>
      <c r="I23" s="8">
        <v>3391</v>
      </c>
      <c r="J23" s="8">
        <v>3695</v>
      </c>
      <c r="K23" s="9">
        <f>Tabla156798[[#This Row],[PRECIO CLIENTE]]-Tabla156798[[#This Row],[CANTIDAD PUBLICA]]</f>
        <v>304</v>
      </c>
      <c r="L23" s="10">
        <f>Tabla156798[[#This Row],[COMISION AGENCIA]]*0.05</f>
        <v>15.200000000000001</v>
      </c>
      <c r="M23" s="7"/>
      <c r="N23" s="7" t="s">
        <v>1565</v>
      </c>
      <c r="O23" s="7" t="s">
        <v>47</v>
      </c>
      <c r="P23" s="7"/>
    </row>
    <row r="24" spans="1:16" x14ac:dyDescent="0.25">
      <c r="A24" s="14">
        <v>44816</v>
      </c>
      <c r="B24" s="14">
        <v>44816</v>
      </c>
      <c r="C24" s="6">
        <v>44816</v>
      </c>
      <c r="D24" s="6">
        <v>44831</v>
      </c>
      <c r="E24" s="7"/>
      <c r="F24" s="115" t="s">
        <v>877</v>
      </c>
      <c r="G24" s="8" t="s">
        <v>1566</v>
      </c>
      <c r="H24" s="8" t="s">
        <v>1567</v>
      </c>
      <c r="I24" s="8">
        <v>3083</v>
      </c>
      <c r="J24" s="8">
        <v>3385</v>
      </c>
      <c r="K24" s="9">
        <f>Tabla156798[[#This Row],[PRECIO CLIENTE]]-Tabla156798[[#This Row],[CANTIDAD PUBLICA]]</f>
        <v>302</v>
      </c>
      <c r="L24" s="10">
        <f>Tabla156798[[#This Row],[COMISION AGENCIA]]*0.05</f>
        <v>15.100000000000001</v>
      </c>
      <c r="M24" s="7">
        <v>3481292417</v>
      </c>
      <c r="N24" s="7" t="s">
        <v>1568</v>
      </c>
      <c r="O24" s="7" t="s">
        <v>47</v>
      </c>
      <c r="P24" s="7"/>
    </row>
    <row r="25" spans="1:16" x14ac:dyDescent="0.25">
      <c r="A25" s="14">
        <v>44816</v>
      </c>
      <c r="B25" s="14">
        <v>44816</v>
      </c>
      <c r="C25" s="6">
        <v>44816</v>
      </c>
      <c r="D25" s="6">
        <v>44854</v>
      </c>
      <c r="E25" s="6">
        <v>44859</v>
      </c>
      <c r="F25" s="115" t="s">
        <v>877</v>
      </c>
      <c r="G25" s="8" t="s">
        <v>1569</v>
      </c>
      <c r="H25" s="8" t="s">
        <v>1570</v>
      </c>
      <c r="I25" s="8">
        <v>26524</v>
      </c>
      <c r="J25" s="8">
        <v>26980</v>
      </c>
      <c r="K25" s="9">
        <f>Tabla156798[[#This Row],[PRECIO CLIENTE]]-Tabla156798[[#This Row],[CANTIDAD PUBLICA]]</f>
        <v>456</v>
      </c>
      <c r="L25" s="10">
        <f>Tabla156798[[#This Row],[COMISION AGENCIA]]*0.05</f>
        <v>22.8</v>
      </c>
      <c r="M25" s="7">
        <v>3781196726</v>
      </c>
      <c r="N25" s="7" t="s">
        <v>1571</v>
      </c>
      <c r="O25" s="7" t="s">
        <v>1572</v>
      </c>
      <c r="P25" s="7"/>
    </row>
    <row r="26" spans="1:16" x14ac:dyDescent="0.25">
      <c r="A26" s="14">
        <v>44816</v>
      </c>
      <c r="B26" s="14">
        <v>44816</v>
      </c>
      <c r="C26" s="6">
        <v>44816</v>
      </c>
      <c r="D26" s="6">
        <v>44828</v>
      </c>
      <c r="E26" s="6">
        <v>44829</v>
      </c>
      <c r="F26" s="115" t="s">
        <v>877</v>
      </c>
      <c r="G26" s="8" t="s">
        <v>1573</v>
      </c>
      <c r="H26" s="8" t="s">
        <v>1574</v>
      </c>
      <c r="I26" s="8">
        <v>7557.23</v>
      </c>
      <c r="J26" s="8">
        <v>6575</v>
      </c>
      <c r="K26" s="9">
        <f>Tabla156798[[#This Row],[CANTIDAD PUBLICA]]*0.05</f>
        <v>377.86149999999998</v>
      </c>
      <c r="L26" s="10">
        <f>Tabla156798[[#This Row],[COMISION AGENCIA]]*0.05</f>
        <v>18.893075</v>
      </c>
      <c r="M26" s="7">
        <v>3481061622</v>
      </c>
      <c r="N26" s="7" t="s">
        <v>1575</v>
      </c>
      <c r="O26" s="7" t="s">
        <v>6</v>
      </c>
      <c r="P26" s="7"/>
    </row>
    <row r="27" spans="1:16" x14ac:dyDescent="0.25">
      <c r="A27" s="14">
        <v>44817</v>
      </c>
      <c r="B27" s="14">
        <v>44817</v>
      </c>
      <c r="C27" s="18">
        <v>44807</v>
      </c>
      <c r="D27" s="6">
        <v>44833</v>
      </c>
      <c r="E27" s="6">
        <v>44837</v>
      </c>
      <c r="F27" s="115">
        <v>21467</v>
      </c>
      <c r="G27" s="8" t="s">
        <v>1576</v>
      </c>
      <c r="H27" s="8" t="s">
        <v>949</v>
      </c>
      <c r="I27" s="8">
        <v>15028.12</v>
      </c>
      <c r="J27" s="8">
        <v>14310</v>
      </c>
      <c r="K27" s="9">
        <f>Tabla156798[[#This Row],[CANTIDAD PUBLICA]]*AGENTES!D3</f>
        <v>781.46223999999995</v>
      </c>
      <c r="L27" s="10">
        <f>Tabla156798[[#This Row],[COMISION AGENCIA]]*0.05</f>
        <v>39.073112000000002</v>
      </c>
      <c r="M27" s="7">
        <v>3335486277</v>
      </c>
      <c r="N27" s="7">
        <v>9740758</v>
      </c>
      <c r="O27" s="7" t="s">
        <v>5</v>
      </c>
      <c r="P27" s="7" t="s">
        <v>1577</v>
      </c>
    </row>
    <row r="28" spans="1:16" x14ac:dyDescent="0.25">
      <c r="A28" s="14">
        <v>44817</v>
      </c>
      <c r="B28" s="14">
        <v>44817</v>
      </c>
      <c r="C28" s="18">
        <v>44807</v>
      </c>
      <c r="D28" s="6">
        <v>44833</v>
      </c>
      <c r="E28" s="6">
        <v>44837</v>
      </c>
      <c r="F28" s="115">
        <v>21468</v>
      </c>
      <c r="G28" s="8" t="s">
        <v>1578</v>
      </c>
      <c r="H28" s="8" t="s">
        <v>949</v>
      </c>
      <c r="I28" s="8">
        <v>15028.12</v>
      </c>
      <c r="J28" s="8">
        <v>14310</v>
      </c>
      <c r="K28" s="9">
        <f>Tabla156798[[#This Row],[CANTIDAD PUBLICA]]*AGENTES!D4</f>
        <v>751.40599999999984</v>
      </c>
      <c r="L28" s="10">
        <f>Tabla156798[[#This Row],[COMISION AGENCIA]]*0.05</f>
        <v>37.570299999999996</v>
      </c>
      <c r="M28" s="7">
        <v>3481337019</v>
      </c>
      <c r="N28" s="7">
        <v>9740746</v>
      </c>
      <c r="O28" s="7" t="s">
        <v>5</v>
      </c>
      <c r="P28" s="7" t="s">
        <v>1577</v>
      </c>
    </row>
    <row r="29" spans="1:16" x14ac:dyDescent="0.25">
      <c r="A29" s="14">
        <v>44817</v>
      </c>
      <c r="B29" s="14">
        <v>44817</v>
      </c>
      <c r="C29" s="18">
        <v>44807</v>
      </c>
      <c r="D29" s="6">
        <v>44833</v>
      </c>
      <c r="E29" s="6">
        <v>44837</v>
      </c>
      <c r="F29" s="115">
        <v>21469</v>
      </c>
      <c r="G29" s="8" t="s">
        <v>1579</v>
      </c>
      <c r="H29" s="8" t="s">
        <v>949</v>
      </c>
      <c r="I29" s="8">
        <v>15028.12</v>
      </c>
      <c r="J29" s="8">
        <v>14310</v>
      </c>
      <c r="K29" s="9">
        <f>Tabla156798[[#This Row],[CANTIDAD PUBLICA]]*AGENTES!D6</f>
        <v>1051.9684</v>
      </c>
      <c r="L29" s="10">
        <f>Tabla156798[[#This Row],[COMISION AGENCIA]]*0.05</f>
        <v>52.598420000000004</v>
      </c>
      <c r="M29" s="7">
        <v>3481257089</v>
      </c>
      <c r="N29" s="7">
        <v>9740779</v>
      </c>
      <c r="O29" s="7" t="s">
        <v>5</v>
      </c>
      <c r="P29" s="7" t="s">
        <v>1577</v>
      </c>
    </row>
    <row r="30" spans="1:16" x14ac:dyDescent="0.25">
      <c r="A30" s="14">
        <v>44817</v>
      </c>
      <c r="B30" s="14">
        <v>44817</v>
      </c>
      <c r="C30" s="18">
        <v>44807</v>
      </c>
      <c r="D30" s="6">
        <v>44833</v>
      </c>
      <c r="E30" s="6">
        <v>44837</v>
      </c>
      <c r="F30" s="115">
        <v>21470</v>
      </c>
      <c r="G30" s="8" t="s">
        <v>1580</v>
      </c>
      <c r="H30" s="8" t="s">
        <v>949</v>
      </c>
      <c r="I30" s="8">
        <v>21412.18</v>
      </c>
      <c r="J30" s="8">
        <v>21465</v>
      </c>
      <c r="K30" s="9">
        <f>Tabla156798[[#This Row],[CANTIDAD PUBLICA]]*AGENTES!D7</f>
        <v>1070.6090000000004</v>
      </c>
      <c r="L30" s="10">
        <f>Tabla156798[[#This Row],[COMISION AGENCIA]]*0.05</f>
        <v>53.530450000000023</v>
      </c>
      <c r="M30" s="7">
        <v>3481257089</v>
      </c>
      <c r="N30" s="7">
        <v>9740786</v>
      </c>
      <c r="O30" s="7" t="s">
        <v>5</v>
      </c>
      <c r="P30" s="7" t="s">
        <v>1581</v>
      </c>
    </row>
    <row r="31" spans="1:16" x14ac:dyDescent="0.25">
      <c r="A31" s="14">
        <v>44817</v>
      </c>
      <c r="B31" s="14">
        <v>44817</v>
      </c>
      <c r="C31" s="6">
        <v>44817</v>
      </c>
      <c r="D31" s="6">
        <v>44581</v>
      </c>
      <c r="E31" s="7"/>
      <c r="F31" s="115">
        <v>21603</v>
      </c>
      <c r="G31" s="8" t="s">
        <v>1582</v>
      </c>
      <c r="H31" s="8" t="s">
        <v>1583</v>
      </c>
      <c r="I31" s="8">
        <v>6329</v>
      </c>
      <c r="J31" s="8">
        <v>6930</v>
      </c>
      <c r="K31" s="9">
        <f>Tabla156798[[#This Row],[PRECIO CLIENTE]]-Tabla156798[[#This Row],[CANTIDAD PUBLICA]]</f>
        <v>601</v>
      </c>
      <c r="L31" s="10">
        <f>Tabla156798[[#This Row],[COMISION AGENCIA]]*0.05</f>
        <v>30.05</v>
      </c>
      <c r="M31" s="7"/>
      <c r="N31" s="7" t="s">
        <v>1584</v>
      </c>
      <c r="O31" s="7" t="s">
        <v>47</v>
      </c>
      <c r="P31" s="7"/>
    </row>
    <row r="32" spans="1:16" x14ac:dyDescent="0.25">
      <c r="A32" s="14">
        <v>44817</v>
      </c>
      <c r="B32" s="14">
        <v>44817</v>
      </c>
      <c r="C32" s="6">
        <v>44817</v>
      </c>
      <c r="D32" s="6">
        <v>44827</v>
      </c>
      <c r="E32" s="6">
        <v>44839</v>
      </c>
      <c r="F32" s="115">
        <v>21622</v>
      </c>
      <c r="G32" s="8" t="s">
        <v>1585</v>
      </c>
      <c r="H32" s="8" t="s">
        <v>1586</v>
      </c>
      <c r="I32" s="8">
        <f>39156+6526</f>
        <v>45682</v>
      </c>
      <c r="J32" s="8">
        <v>47210</v>
      </c>
      <c r="K32" s="9">
        <f>Tabla156798[[#This Row],[PRECIO CLIENTE]]-Tabla156798[[#This Row],[CANTIDAD PUBLICA]]</f>
        <v>1528</v>
      </c>
      <c r="L32" s="10">
        <f>Tabla156798[[#This Row],[COMISION AGENCIA]]*0.05</f>
        <v>76.400000000000006</v>
      </c>
      <c r="M32" s="7"/>
      <c r="N32" s="7" t="s">
        <v>1587</v>
      </c>
      <c r="O32" s="7" t="s">
        <v>47</v>
      </c>
      <c r="P32" s="7"/>
    </row>
    <row r="33" spans="1:16" x14ac:dyDescent="0.25">
      <c r="A33" s="14">
        <v>44818</v>
      </c>
      <c r="B33" s="14">
        <v>44818</v>
      </c>
      <c r="C33" s="6">
        <v>44817</v>
      </c>
      <c r="D33" s="6">
        <v>44911</v>
      </c>
      <c r="E33" s="6">
        <v>44924</v>
      </c>
      <c r="F33" s="115">
        <v>21624</v>
      </c>
      <c r="G33" s="8" t="s">
        <v>1588</v>
      </c>
      <c r="H33" s="8" t="s">
        <v>1589</v>
      </c>
      <c r="I33" s="8">
        <v>14576</v>
      </c>
      <c r="J33" s="8">
        <v>15570</v>
      </c>
      <c r="K33" s="9">
        <f>Tabla156798[[#This Row],[PRECIO CLIENTE]]-Tabla156798[[#This Row],[CANTIDAD PUBLICA]]</f>
        <v>994</v>
      </c>
      <c r="L33" s="10">
        <f>Tabla156798[[#This Row],[COMISION AGENCIA]]*0.05</f>
        <v>49.7</v>
      </c>
      <c r="M33" s="7"/>
      <c r="N33" s="7" t="s">
        <v>1590</v>
      </c>
      <c r="O33" s="7" t="s">
        <v>47</v>
      </c>
      <c r="P33" s="7"/>
    </row>
    <row r="34" spans="1:16" x14ac:dyDescent="0.25">
      <c r="A34" s="14">
        <v>44818</v>
      </c>
      <c r="B34" s="14">
        <v>44818</v>
      </c>
      <c r="C34" s="6">
        <v>44818</v>
      </c>
      <c r="D34" s="6">
        <v>44847</v>
      </c>
      <c r="E34" s="7"/>
      <c r="F34" s="115" t="s">
        <v>877</v>
      </c>
      <c r="G34" s="8" t="s">
        <v>1591</v>
      </c>
      <c r="H34" s="8" t="s">
        <v>1592</v>
      </c>
      <c r="I34" s="8">
        <v>2852</v>
      </c>
      <c r="J34" s="8">
        <v>3175</v>
      </c>
      <c r="K34" s="9">
        <f>Tabla156798[[#This Row],[PRECIO CLIENTE]]-Tabla156798[[#This Row],[CANTIDAD PUBLICA]]</f>
        <v>323</v>
      </c>
      <c r="L34" s="10">
        <f>Tabla156798[[#This Row],[COMISION AGENCIA]]*0.05</f>
        <v>16.150000000000002</v>
      </c>
      <c r="M34" s="7"/>
      <c r="N34" s="7" t="s">
        <v>1593</v>
      </c>
      <c r="O34" s="7" t="s">
        <v>47</v>
      </c>
      <c r="P34" s="7"/>
    </row>
    <row r="35" spans="1:16" x14ac:dyDescent="0.25">
      <c r="A35" s="14">
        <v>44818</v>
      </c>
      <c r="B35" s="14">
        <v>44818</v>
      </c>
      <c r="C35" s="6">
        <v>44818</v>
      </c>
      <c r="D35" s="6">
        <v>44823</v>
      </c>
      <c r="E35" s="7"/>
      <c r="F35" s="115">
        <v>21641</v>
      </c>
      <c r="G35" s="8" t="s">
        <v>1594</v>
      </c>
      <c r="H35" s="8" t="s">
        <v>1595</v>
      </c>
      <c r="I35" s="8">
        <v>3986</v>
      </c>
      <c r="J35" s="8">
        <v>4375</v>
      </c>
      <c r="K35" s="9">
        <f>Tabla156798[[#This Row],[PRECIO CLIENTE]]-Tabla156798[[#This Row],[CANTIDAD PUBLICA]]</f>
        <v>389</v>
      </c>
      <c r="L35" s="10">
        <f>Tabla156798[[#This Row],[COMISION AGENCIA]]*0.05</f>
        <v>19.450000000000003</v>
      </c>
      <c r="M35" s="7"/>
      <c r="N35" s="7" t="s">
        <v>1596</v>
      </c>
      <c r="O35" s="7" t="s">
        <v>47</v>
      </c>
      <c r="P35" s="7"/>
    </row>
    <row r="36" spans="1:16" x14ac:dyDescent="0.25">
      <c r="A36" s="14">
        <v>44818</v>
      </c>
      <c r="B36" s="14">
        <v>44818</v>
      </c>
      <c r="C36" s="6">
        <v>44818</v>
      </c>
      <c r="D36" s="6">
        <v>44824</v>
      </c>
      <c r="E36" s="6">
        <v>44826</v>
      </c>
      <c r="F36" s="115" t="s">
        <v>1552</v>
      </c>
      <c r="G36" s="8" t="s">
        <v>1597</v>
      </c>
      <c r="H36" s="8" t="s">
        <v>1554</v>
      </c>
      <c r="I36" s="8">
        <f>2698+2580</f>
        <v>5278</v>
      </c>
      <c r="J36" s="8">
        <v>5730</v>
      </c>
      <c r="K36" s="9">
        <f>Tabla156798[[#This Row],[PRECIO CLIENTE]]-Tabla156798[[#This Row],[CANTIDAD PUBLICA]]</f>
        <v>452</v>
      </c>
      <c r="L36" s="10">
        <f>Tabla156798[[#This Row],[COMISION AGENCIA]]*0.05</f>
        <v>22.6</v>
      </c>
      <c r="M36" s="7"/>
      <c r="N36" s="7" t="s">
        <v>1598</v>
      </c>
      <c r="O36" s="7" t="s">
        <v>1556</v>
      </c>
      <c r="P36" s="7"/>
    </row>
    <row r="37" spans="1:16" x14ac:dyDescent="0.25">
      <c r="A37" s="14">
        <v>44818</v>
      </c>
      <c r="B37" s="14">
        <v>44820</v>
      </c>
      <c r="C37" s="18">
        <v>44814</v>
      </c>
      <c r="D37" s="6">
        <v>44833</v>
      </c>
      <c r="E37" s="6">
        <v>44837</v>
      </c>
      <c r="F37" s="115">
        <v>21569</v>
      </c>
      <c r="G37" s="8" t="s">
        <v>1599</v>
      </c>
      <c r="H37" s="8" t="s">
        <v>949</v>
      </c>
      <c r="I37" s="8">
        <v>16469.060000000001</v>
      </c>
      <c r="J37" s="8">
        <v>15080</v>
      </c>
      <c r="K37" s="9">
        <f>Tabla156798[[#This Row],[CANTIDAD PUBLICA]]*0.05</f>
        <v>823.45300000000009</v>
      </c>
      <c r="L37" s="10">
        <f>Tabla156798[[#This Row],[COMISION AGENCIA]]*0.05</f>
        <v>41.172650000000004</v>
      </c>
      <c r="M37" s="7">
        <v>3485936332</v>
      </c>
      <c r="N37" s="7">
        <v>9791348</v>
      </c>
      <c r="O37" s="7" t="s">
        <v>5</v>
      </c>
      <c r="P37" s="7" t="s">
        <v>1600</v>
      </c>
    </row>
    <row r="38" spans="1:16" x14ac:dyDescent="0.25">
      <c r="A38" s="14">
        <v>44821</v>
      </c>
      <c r="B38" s="14">
        <v>44827</v>
      </c>
      <c r="C38" s="18">
        <v>44825</v>
      </c>
      <c r="D38" s="6">
        <v>44836</v>
      </c>
      <c r="E38" s="6">
        <v>44839</v>
      </c>
      <c r="F38" s="115">
        <v>21738</v>
      </c>
      <c r="G38" s="8" t="s">
        <v>1601</v>
      </c>
      <c r="H38" s="8" t="s">
        <v>1602</v>
      </c>
      <c r="I38" s="8">
        <v>11658.51</v>
      </c>
      <c r="J38" s="8">
        <v>9940</v>
      </c>
      <c r="K38" s="9">
        <f>Tabla156798[[#This Row],[CANTIDAD PUBLICA]]*0.05</f>
        <v>582.92550000000006</v>
      </c>
      <c r="L38" s="10">
        <f>Tabla156798[[#This Row],[COMISION AGENCIA]]*0.05</f>
        <v>29.146275000000003</v>
      </c>
      <c r="M38" s="7">
        <v>3481040040</v>
      </c>
      <c r="N38" s="7" t="s">
        <v>1603</v>
      </c>
      <c r="O38" s="7" t="s">
        <v>6</v>
      </c>
      <c r="P38" s="7" t="s">
        <v>1604</v>
      </c>
    </row>
    <row r="39" spans="1:16" x14ac:dyDescent="0.25">
      <c r="A39" s="14">
        <v>44821</v>
      </c>
      <c r="B39" s="14">
        <v>44827</v>
      </c>
      <c r="C39" s="6">
        <v>44825</v>
      </c>
      <c r="D39" s="6">
        <v>44836</v>
      </c>
      <c r="E39" s="6">
        <v>44839</v>
      </c>
      <c r="F39" s="115">
        <v>21738</v>
      </c>
      <c r="G39" s="8" t="s">
        <v>1601</v>
      </c>
      <c r="H39" s="158" t="s">
        <v>1602</v>
      </c>
      <c r="I39" s="8">
        <v>3600</v>
      </c>
      <c r="J39" s="8">
        <v>3600</v>
      </c>
      <c r="K39" s="9">
        <f>Tabla156798[[#This Row],[CANTIDAD PUBLICA]]*AGENTES!D10</f>
        <v>720</v>
      </c>
      <c r="L39" s="10">
        <f>Tabla156798[[#This Row],[COMISION AGENCIA]]*0.05</f>
        <v>36</v>
      </c>
      <c r="M39" s="7">
        <v>3481040040</v>
      </c>
      <c r="N39" s="7"/>
      <c r="O39" s="7" t="s">
        <v>12</v>
      </c>
      <c r="P39" s="7"/>
    </row>
    <row r="40" spans="1:16" x14ac:dyDescent="0.25">
      <c r="A40" s="14">
        <v>44823</v>
      </c>
      <c r="B40" s="14">
        <v>44823</v>
      </c>
      <c r="C40" s="6">
        <v>44823</v>
      </c>
      <c r="D40" s="6">
        <v>44827</v>
      </c>
      <c r="E40" s="6">
        <v>44851</v>
      </c>
      <c r="F40" s="115">
        <v>21702</v>
      </c>
      <c r="G40" s="8" t="s">
        <v>1605</v>
      </c>
      <c r="H40" s="8" t="s">
        <v>1595</v>
      </c>
      <c r="I40" s="8">
        <v>6494</v>
      </c>
      <c r="J40" s="8">
        <v>6945</v>
      </c>
      <c r="K40" s="9">
        <f>Tabla156798[[#This Row],[PRECIO CLIENTE]]-Tabla156798[[#This Row],[CANTIDAD PUBLICA]]</f>
        <v>451</v>
      </c>
      <c r="L40" s="10">
        <f>Tabla156798[[#This Row],[COMISION AGENCIA]]*0.05</f>
        <v>22.55</v>
      </c>
      <c r="M40" s="7">
        <v>3481252599</v>
      </c>
      <c r="N40" s="7" t="s">
        <v>1606</v>
      </c>
      <c r="O40" s="7" t="s">
        <v>47</v>
      </c>
      <c r="P40" s="7"/>
    </row>
    <row r="41" spans="1:16" x14ac:dyDescent="0.25">
      <c r="A41" s="14">
        <v>44823</v>
      </c>
      <c r="B41" s="14">
        <v>44823</v>
      </c>
      <c r="C41" s="6">
        <v>44823</v>
      </c>
      <c r="D41" s="6">
        <v>44853</v>
      </c>
      <c r="E41" s="7"/>
      <c r="F41" s="115">
        <v>21701</v>
      </c>
      <c r="G41" s="8" t="s">
        <v>1607</v>
      </c>
      <c r="H41" s="8" t="s">
        <v>1608</v>
      </c>
      <c r="I41" s="8">
        <v>2564</v>
      </c>
      <c r="J41" s="8">
        <v>2870</v>
      </c>
      <c r="K41" s="9">
        <f>Tabla156798[[#This Row],[PRECIO CLIENTE]]-Tabla156798[[#This Row],[CANTIDAD PUBLICA]]</f>
        <v>306</v>
      </c>
      <c r="L41" s="10">
        <f>Tabla156798[[#This Row],[COMISION AGENCIA]]*0.05</f>
        <v>15.3</v>
      </c>
      <c r="M41" s="7"/>
      <c r="N41" s="7" t="s">
        <v>1609</v>
      </c>
      <c r="O41" s="7" t="s">
        <v>86</v>
      </c>
      <c r="P41" s="7"/>
    </row>
    <row r="42" spans="1:16" x14ac:dyDescent="0.25">
      <c r="A42" s="14">
        <v>44823</v>
      </c>
      <c r="B42" s="14">
        <v>44823</v>
      </c>
      <c r="C42" s="6">
        <v>44823</v>
      </c>
      <c r="D42" s="6">
        <v>44845</v>
      </c>
      <c r="E42" s="6">
        <v>44852</v>
      </c>
      <c r="F42" s="115">
        <v>21723</v>
      </c>
      <c r="G42" s="8" t="s">
        <v>1610</v>
      </c>
      <c r="H42" s="8" t="s">
        <v>1611</v>
      </c>
      <c r="I42" s="8">
        <v>9130</v>
      </c>
      <c r="J42" s="8">
        <v>10750</v>
      </c>
      <c r="K42" s="9">
        <f>Tabla156798[[#This Row],[PRECIO CLIENTE]]-Tabla156798[[#This Row],[CANTIDAD PUBLICA]]</f>
        <v>1620</v>
      </c>
      <c r="L42" s="10">
        <f>Tabla156798[[#This Row],[COMISION AGENCIA]]*0.05</f>
        <v>81</v>
      </c>
      <c r="M42" s="7">
        <v>3481295826</v>
      </c>
      <c r="N42" s="7" t="s">
        <v>1612</v>
      </c>
      <c r="O42" s="7" t="s">
        <v>47</v>
      </c>
      <c r="P42" s="7"/>
    </row>
    <row r="43" spans="1:16" x14ac:dyDescent="0.25">
      <c r="A43" s="14">
        <v>44824</v>
      </c>
      <c r="B43" s="14">
        <v>44824</v>
      </c>
      <c r="C43" s="6">
        <v>44824</v>
      </c>
      <c r="D43" s="6">
        <v>44878</v>
      </c>
      <c r="E43" s="6">
        <v>44893</v>
      </c>
      <c r="F43" s="115" t="s">
        <v>877</v>
      </c>
      <c r="G43" s="8" t="s">
        <v>1613</v>
      </c>
      <c r="H43" s="8" t="s">
        <v>1614</v>
      </c>
      <c r="I43" s="8">
        <f>6157+5768</f>
        <v>11925</v>
      </c>
      <c r="J43" s="8">
        <v>12950</v>
      </c>
      <c r="K43" s="9">
        <f>Tabla156798[[#This Row],[PRECIO CLIENTE]]-Tabla156798[[#This Row],[CANTIDAD PUBLICA]]</f>
        <v>1025</v>
      </c>
      <c r="L43" s="10">
        <f>Tabla156798[[#This Row],[COMISION AGENCIA]]*0.05</f>
        <v>51.25</v>
      </c>
      <c r="M43" s="7">
        <v>3481058120</v>
      </c>
      <c r="N43" s="7" t="s">
        <v>1615</v>
      </c>
      <c r="O43" s="7" t="s">
        <v>47</v>
      </c>
      <c r="P43" s="7"/>
    </row>
    <row r="44" spans="1:16" x14ac:dyDescent="0.25">
      <c r="A44" s="14">
        <v>44826</v>
      </c>
      <c r="B44" s="14">
        <v>44826</v>
      </c>
      <c r="C44" s="6">
        <v>44826</v>
      </c>
      <c r="D44" s="6">
        <v>44832</v>
      </c>
      <c r="E44" s="7"/>
      <c r="F44" s="115">
        <v>21763</v>
      </c>
      <c r="G44" s="8" t="s">
        <v>1616</v>
      </c>
      <c r="H44" s="8" t="s">
        <v>1561</v>
      </c>
      <c r="I44" s="8">
        <v>3189</v>
      </c>
      <c r="J44" s="8">
        <v>3490</v>
      </c>
      <c r="K44" s="9">
        <f>Tabla156798[[#This Row],[PRECIO CLIENTE]]-Tabla156798[[#This Row],[CANTIDAD PUBLICA]]</f>
        <v>301</v>
      </c>
      <c r="L44" s="10">
        <f>Tabla156798[[#This Row],[COMISION AGENCIA]]*0.05</f>
        <v>15.05</v>
      </c>
      <c r="M44" s="7"/>
      <c r="N44" s="7" t="s">
        <v>1617</v>
      </c>
      <c r="O44" s="7" t="s">
        <v>47</v>
      </c>
      <c r="P44" s="7"/>
    </row>
    <row r="45" spans="1:16" x14ac:dyDescent="0.25">
      <c r="A45" s="14">
        <v>44826</v>
      </c>
      <c r="B45" s="14">
        <v>44826</v>
      </c>
      <c r="C45" s="6">
        <v>44826</v>
      </c>
      <c r="D45" s="6">
        <v>44829</v>
      </c>
      <c r="E45" s="6">
        <v>44833</v>
      </c>
      <c r="F45" s="117">
        <v>21778</v>
      </c>
      <c r="G45" s="8" t="s">
        <v>1618</v>
      </c>
      <c r="H45" s="8" t="s">
        <v>1619</v>
      </c>
      <c r="I45" s="8">
        <v>15467.5</v>
      </c>
      <c r="J45" s="8">
        <v>13460</v>
      </c>
      <c r="K45" s="9">
        <f>Tabla156798[[#This Row],[CANTIDAD PUBLICA]]*0.05</f>
        <v>773.375</v>
      </c>
      <c r="L45" s="10">
        <f>Tabla156798[[#This Row],[COMISION AGENCIA]]*0.05</f>
        <v>38.668750000000003</v>
      </c>
      <c r="M45" s="7">
        <v>3481053597</v>
      </c>
      <c r="N45" s="7" t="s">
        <v>1620</v>
      </c>
      <c r="O45" s="7" t="s">
        <v>6</v>
      </c>
      <c r="P45" s="7"/>
    </row>
    <row r="46" spans="1:16" x14ac:dyDescent="0.25">
      <c r="A46" s="14">
        <v>44827</v>
      </c>
      <c r="B46" s="14">
        <v>44827</v>
      </c>
      <c r="C46" s="6">
        <v>44827</v>
      </c>
      <c r="D46" s="6">
        <v>44916</v>
      </c>
      <c r="E46" s="6">
        <v>44941</v>
      </c>
      <c r="F46" s="115">
        <v>21789</v>
      </c>
      <c r="G46" s="8" t="s">
        <v>1621</v>
      </c>
      <c r="H46" s="8" t="s">
        <v>1622</v>
      </c>
      <c r="I46" s="8">
        <v>9230</v>
      </c>
      <c r="J46" s="8">
        <v>10000</v>
      </c>
      <c r="K46" s="9">
        <f>Tabla156798[[#This Row],[PRECIO CLIENTE]]-Tabla156798[[#This Row],[CANTIDAD PUBLICA]]</f>
        <v>770</v>
      </c>
      <c r="L46" s="10">
        <f>Tabla156798[[#This Row],[COMISION AGENCIA]]*0.05</f>
        <v>38.5</v>
      </c>
      <c r="M46" s="7"/>
      <c r="N46" s="7" t="s">
        <v>1623</v>
      </c>
      <c r="O46" s="7" t="s">
        <v>47</v>
      </c>
      <c r="P46" s="7"/>
    </row>
    <row r="47" spans="1:16" x14ac:dyDescent="0.25">
      <c r="A47" s="14">
        <v>44827</v>
      </c>
      <c r="B47" s="14">
        <v>44827</v>
      </c>
      <c r="C47" s="6">
        <v>44827</v>
      </c>
      <c r="D47" s="6">
        <v>44832</v>
      </c>
      <c r="E47" s="7"/>
      <c r="F47" s="115">
        <v>21791</v>
      </c>
      <c r="G47" s="8" t="s">
        <v>1624</v>
      </c>
      <c r="H47" s="8" t="s">
        <v>1625</v>
      </c>
      <c r="I47" s="8">
        <v>4950</v>
      </c>
      <c r="J47" s="8">
        <v>5550</v>
      </c>
      <c r="K47" s="9">
        <f>Tabla156798[[#This Row],[PRECIO CLIENTE]]-Tabla156798[[#This Row],[CANTIDAD PUBLICA]]</f>
        <v>600</v>
      </c>
      <c r="L47" s="10">
        <f>Tabla156798[[#This Row],[COMISION AGENCIA]]*0.05</f>
        <v>30</v>
      </c>
      <c r="M47" s="7"/>
      <c r="N47" s="7" t="s">
        <v>1626</v>
      </c>
      <c r="O47" s="7" t="s">
        <v>47</v>
      </c>
      <c r="P47" s="7"/>
    </row>
    <row r="48" spans="1:16" x14ac:dyDescent="0.25">
      <c r="A48" s="14">
        <v>44830</v>
      </c>
      <c r="B48" s="14">
        <v>44820</v>
      </c>
      <c r="C48" s="6">
        <v>44818</v>
      </c>
      <c r="D48" s="6">
        <v>44845</v>
      </c>
      <c r="E48" s="6">
        <v>44847</v>
      </c>
      <c r="F48" s="115">
        <v>21634</v>
      </c>
      <c r="G48" s="8" t="s">
        <v>1627</v>
      </c>
      <c r="H48" s="8" t="s">
        <v>1628</v>
      </c>
      <c r="I48" s="8">
        <v>14175</v>
      </c>
      <c r="J48" s="8">
        <v>12335</v>
      </c>
      <c r="K48" s="9">
        <f>Tabla156798[[#This Row],[CANTIDAD PUBLICA]]*0.05</f>
        <v>708.75</v>
      </c>
      <c r="L48" s="10">
        <f>Tabla156798[[#This Row],[COMISION AGENCIA]]*0.05</f>
        <v>35.4375</v>
      </c>
      <c r="M48" s="7">
        <v>3481067432</v>
      </c>
      <c r="N48" s="7" t="s">
        <v>1629</v>
      </c>
      <c r="O48" s="7" t="s">
        <v>6</v>
      </c>
      <c r="P48" s="7"/>
    </row>
    <row r="49" spans="1:16" x14ac:dyDescent="0.25">
      <c r="A49" s="14">
        <v>44830</v>
      </c>
      <c r="B49" s="14">
        <v>44830</v>
      </c>
      <c r="C49" s="6">
        <v>44830</v>
      </c>
      <c r="D49" s="6">
        <v>44881</v>
      </c>
      <c r="E49" s="6">
        <v>44894</v>
      </c>
      <c r="F49" s="115">
        <v>21836</v>
      </c>
      <c r="G49" s="8" t="s">
        <v>1630</v>
      </c>
      <c r="H49" s="8" t="s">
        <v>1631</v>
      </c>
      <c r="I49" s="8">
        <v>28608</v>
      </c>
      <c r="J49" s="8">
        <v>31650</v>
      </c>
      <c r="K49" s="9">
        <f>Tabla156798[[#This Row],[PRECIO CLIENTE]]-Tabla156798[[#This Row],[CANTIDAD PUBLICA]]</f>
        <v>3042</v>
      </c>
      <c r="L49" s="10">
        <f>Tabla156798[[#This Row],[COMISION AGENCIA]]*0.05</f>
        <v>152.1</v>
      </c>
      <c r="M49" s="7"/>
      <c r="N49" s="7" t="s">
        <v>1632</v>
      </c>
      <c r="O49" s="7" t="s">
        <v>47</v>
      </c>
      <c r="P49" s="7"/>
    </row>
    <row r="50" spans="1:16" x14ac:dyDescent="0.25">
      <c r="A50" s="14">
        <f>Tabla156798[[#This Row],[FECHA IN]]-15</f>
        <v>44830</v>
      </c>
      <c r="B50" s="14">
        <v>44835</v>
      </c>
      <c r="C50" s="6">
        <v>44834</v>
      </c>
      <c r="D50" s="6">
        <v>44845</v>
      </c>
      <c r="E50" s="6">
        <v>44849</v>
      </c>
      <c r="F50" s="115">
        <v>21921</v>
      </c>
      <c r="G50" s="8" t="s">
        <v>1633</v>
      </c>
      <c r="H50" s="7" t="s">
        <v>888</v>
      </c>
      <c r="I50" s="8">
        <v>21904</v>
      </c>
      <c r="J50" s="8">
        <v>19060</v>
      </c>
      <c r="K50" s="9">
        <f>Tabla156798[[#This Row],[CANTIDAD PUBLICA]]*0.05</f>
        <v>1095.2</v>
      </c>
      <c r="L50" s="10">
        <f>Tabla156798[[#This Row],[COMISION AGENCIA]]*0.05</f>
        <v>54.760000000000005</v>
      </c>
      <c r="M50" s="7">
        <v>3314778089</v>
      </c>
      <c r="N50" s="7" t="s">
        <v>1634</v>
      </c>
      <c r="O50" s="7" t="s">
        <v>6</v>
      </c>
      <c r="P50" s="7"/>
    </row>
    <row r="51" spans="1:16" x14ac:dyDescent="0.25">
      <c r="A51" s="14">
        <v>44831</v>
      </c>
      <c r="B51" s="14">
        <v>44831</v>
      </c>
      <c r="C51" s="6">
        <v>44831</v>
      </c>
      <c r="D51" s="6">
        <v>44920</v>
      </c>
      <c r="E51" s="6">
        <v>44932</v>
      </c>
      <c r="F51" s="115" t="s">
        <v>1635</v>
      </c>
      <c r="G51" s="8" t="s">
        <v>1636</v>
      </c>
      <c r="H51" s="7" t="s">
        <v>1637</v>
      </c>
      <c r="I51" s="8">
        <v>27882</v>
      </c>
      <c r="J51" s="8">
        <v>30120</v>
      </c>
      <c r="K51" s="9">
        <f>Tabla156798[[#This Row],[PRECIO CLIENTE]]-Tabla156798[[#This Row],[CANTIDAD PUBLICA]]</f>
        <v>2238</v>
      </c>
      <c r="L51" s="10">
        <f>Tabla156798[[#This Row],[COMISION AGENCIA]]*0.05</f>
        <v>111.9</v>
      </c>
      <c r="M51" s="7"/>
      <c r="N51" s="7" t="s">
        <v>1638</v>
      </c>
      <c r="O51" s="7" t="s">
        <v>47</v>
      </c>
      <c r="P51" s="7"/>
    </row>
    <row r="52" spans="1:16" x14ac:dyDescent="0.25">
      <c r="A52" s="14">
        <v>44831</v>
      </c>
      <c r="B52" s="14">
        <v>44831</v>
      </c>
      <c r="C52" s="6">
        <v>44831</v>
      </c>
      <c r="D52" s="6">
        <v>44835</v>
      </c>
      <c r="E52" s="7"/>
      <c r="F52" s="115">
        <v>21848</v>
      </c>
      <c r="G52" s="8" t="s">
        <v>1639</v>
      </c>
      <c r="H52" s="7" t="s">
        <v>1640</v>
      </c>
      <c r="I52" s="8">
        <v>3433</v>
      </c>
      <c r="J52" s="8">
        <v>3790</v>
      </c>
      <c r="K52" s="9">
        <f>Tabla156798[[#This Row],[PRECIO CLIENTE]]-Tabla156798[[#This Row],[CANTIDAD PUBLICA]]</f>
        <v>357</v>
      </c>
      <c r="L52" s="10">
        <f>Tabla156798[[#This Row],[COMISION AGENCIA]]*0.05</f>
        <v>17.850000000000001</v>
      </c>
      <c r="M52" s="7"/>
      <c r="N52" s="7" t="s">
        <v>1641</v>
      </c>
      <c r="O52" s="7" t="s">
        <v>47</v>
      </c>
      <c r="P52" s="7"/>
    </row>
    <row r="53" spans="1:16" x14ac:dyDescent="0.25">
      <c r="A53" s="14">
        <f>Tabla156798[[#This Row],[FECHA IN]]-15</f>
        <v>44831</v>
      </c>
      <c r="B53" s="14">
        <v>44839</v>
      </c>
      <c r="C53" s="6">
        <v>44838</v>
      </c>
      <c r="D53" s="6">
        <v>44846</v>
      </c>
      <c r="E53" s="6">
        <v>44850</v>
      </c>
      <c r="F53" s="115">
        <v>22016</v>
      </c>
      <c r="G53" s="8" t="s">
        <v>1642</v>
      </c>
      <c r="H53" s="8" t="s">
        <v>1643</v>
      </c>
      <c r="I53" s="8">
        <v>12766.65</v>
      </c>
      <c r="J53" s="8">
        <v>11110</v>
      </c>
      <c r="K53" s="9">
        <f>Tabla156798[[#This Row],[CANTIDAD PUBLICA]]*0.05</f>
        <v>638.33249999999998</v>
      </c>
      <c r="L53" s="10">
        <f>Tabla156798[[#This Row],[COMISION AGENCIA]]*0.05</f>
        <v>31.916625</v>
      </c>
      <c r="M53" s="7">
        <v>3481094077</v>
      </c>
      <c r="N53" s="7" t="s">
        <v>1644</v>
      </c>
      <c r="O53" s="7" t="s">
        <v>6</v>
      </c>
      <c r="P53" s="7"/>
    </row>
    <row r="54" spans="1:16" x14ac:dyDescent="0.25">
      <c r="A54" s="14">
        <v>44832</v>
      </c>
      <c r="B54" s="14">
        <v>44832</v>
      </c>
      <c r="C54" s="6">
        <v>44832</v>
      </c>
      <c r="D54" s="6">
        <v>44855</v>
      </c>
      <c r="E54" s="6">
        <v>44866</v>
      </c>
      <c r="F54" s="115">
        <v>21884</v>
      </c>
      <c r="G54" s="8" t="s">
        <v>1645</v>
      </c>
      <c r="H54" s="8" t="s">
        <v>1646</v>
      </c>
      <c r="I54" s="8">
        <v>6004</v>
      </c>
      <c r="J54" s="8">
        <v>6430</v>
      </c>
      <c r="K54" s="9">
        <f>Tabla156798[[#This Row],[PRECIO CLIENTE]]-Tabla156798[[#This Row],[CANTIDAD PUBLICA]]</f>
        <v>426</v>
      </c>
      <c r="L54" s="10">
        <f>Tabla156798[[#This Row],[COMISION AGENCIA]]*0.05</f>
        <v>21.3</v>
      </c>
      <c r="M54" s="7"/>
      <c r="N54" s="7" t="s">
        <v>1647</v>
      </c>
      <c r="O54" s="7" t="s">
        <v>47</v>
      </c>
      <c r="P54" s="7"/>
    </row>
    <row r="55" spans="1:16" x14ac:dyDescent="0.25">
      <c r="A55" s="14">
        <v>44832</v>
      </c>
      <c r="B55" s="14">
        <v>44832</v>
      </c>
      <c r="C55" s="6">
        <v>44832</v>
      </c>
      <c r="D55" s="6">
        <v>44838</v>
      </c>
      <c r="E55" s="7"/>
      <c r="F55" s="115">
        <v>21885</v>
      </c>
      <c r="G55" s="8" t="s">
        <v>1648</v>
      </c>
      <c r="H55" s="8" t="s">
        <v>1646</v>
      </c>
      <c r="I55" s="8">
        <v>5988</v>
      </c>
      <c r="J55" s="8">
        <v>6640</v>
      </c>
      <c r="K55" s="9">
        <f>Tabla156798[[#This Row],[PRECIO CLIENTE]]-Tabla156798[[#This Row],[CANTIDAD PUBLICA]]</f>
        <v>652</v>
      </c>
      <c r="L55" s="10">
        <f>Tabla156798[[#This Row],[COMISION AGENCIA]]*0.05</f>
        <v>32.6</v>
      </c>
      <c r="M55" s="7"/>
      <c r="N55" s="7" t="s">
        <v>1649</v>
      </c>
      <c r="O55" s="7" t="s">
        <v>47</v>
      </c>
      <c r="P55" s="7"/>
    </row>
    <row r="56" spans="1:16" x14ac:dyDescent="0.25">
      <c r="A56" s="14">
        <v>44832</v>
      </c>
      <c r="B56" s="14">
        <v>44832</v>
      </c>
      <c r="C56" s="6">
        <v>44832</v>
      </c>
      <c r="D56" s="6">
        <v>44858</v>
      </c>
      <c r="E56" s="6">
        <v>44864</v>
      </c>
      <c r="F56" s="115">
        <v>21886</v>
      </c>
      <c r="G56" s="8" t="s">
        <v>1650</v>
      </c>
      <c r="H56" s="8" t="s">
        <v>1651</v>
      </c>
      <c r="I56" s="8">
        <f>4948+10138</f>
        <v>15086</v>
      </c>
      <c r="J56" s="8">
        <v>16770</v>
      </c>
      <c r="K56" s="9">
        <f>Tabla156798[[#This Row],[PRECIO CLIENTE]]-Tabla156798[[#This Row],[CANTIDAD PUBLICA]]</f>
        <v>1684</v>
      </c>
      <c r="L56" s="10">
        <f>Tabla156798[[#This Row],[COMISION AGENCIA]]*0.05</f>
        <v>84.2</v>
      </c>
      <c r="M56" s="7"/>
      <c r="N56" s="7" t="s">
        <v>1652</v>
      </c>
      <c r="O56" s="7" t="s">
        <v>47</v>
      </c>
      <c r="P56" s="7"/>
    </row>
    <row r="57" spans="1:16" x14ac:dyDescent="0.25">
      <c r="A57" s="14">
        <v>44832</v>
      </c>
      <c r="B57" s="14">
        <v>44832</v>
      </c>
      <c r="C57" s="6">
        <v>44832</v>
      </c>
      <c r="D57" s="6">
        <v>44914</v>
      </c>
      <c r="E57" s="7"/>
      <c r="F57" s="115">
        <v>21882</v>
      </c>
      <c r="G57" s="8" t="s">
        <v>1653</v>
      </c>
      <c r="H57" s="8" t="s">
        <v>1654</v>
      </c>
      <c r="I57" s="8">
        <v>5095</v>
      </c>
      <c r="J57" s="8">
        <v>6700</v>
      </c>
      <c r="K57" s="9">
        <f>Tabla156798[[#This Row],[PRECIO CLIENTE]]-Tabla156798[[#This Row],[CANTIDAD PUBLICA]]</f>
        <v>1605</v>
      </c>
      <c r="L57" s="10">
        <f>Tabla156798[[#This Row],[COMISION AGENCIA]]*0.05</f>
        <v>80.25</v>
      </c>
      <c r="M57" s="7"/>
      <c r="N57" s="7" t="s">
        <v>1655</v>
      </c>
      <c r="O57" s="7" t="s">
        <v>47</v>
      </c>
      <c r="P57" s="7"/>
    </row>
    <row r="58" spans="1:16" x14ac:dyDescent="0.25">
      <c r="A58" s="14">
        <v>44832</v>
      </c>
      <c r="B58" s="14">
        <v>44832</v>
      </c>
      <c r="C58" s="6">
        <v>44832</v>
      </c>
      <c r="D58" s="6">
        <v>44833</v>
      </c>
      <c r="E58" s="7"/>
      <c r="F58" s="115">
        <v>21880</v>
      </c>
      <c r="G58" s="8" t="s">
        <v>874</v>
      </c>
      <c r="H58" s="7" t="s">
        <v>1656</v>
      </c>
      <c r="I58" s="8">
        <v>9195</v>
      </c>
      <c r="J58" s="8">
        <v>9345</v>
      </c>
      <c r="K58" s="9">
        <f>Tabla156798[[#This Row],[PRECIO CLIENTE]]-Tabla156798[[#This Row],[CANTIDAD PUBLICA]]</f>
        <v>150</v>
      </c>
      <c r="L58" s="10">
        <f>Tabla156798[[#This Row],[COMISION AGENCIA]]*0.05</f>
        <v>7.5</v>
      </c>
      <c r="M58" s="7"/>
      <c r="N58" s="7" t="s">
        <v>1657</v>
      </c>
      <c r="O58" s="7" t="s">
        <v>1551</v>
      </c>
      <c r="P58" s="7"/>
    </row>
    <row r="59" spans="1:16" x14ac:dyDescent="0.25">
      <c r="A59" s="14">
        <v>44833</v>
      </c>
      <c r="B59" s="14">
        <v>44833</v>
      </c>
      <c r="C59" s="6">
        <v>44833</v>
      </c>
      <c r="D59" s="6">
        <v>44838</v>
      </c>
      <c r="E59" s="7"/>
      <c r="F59" s="115">
        <v>21900</v>
      </c>
      <c r="G59" s="8" t="s">
        <v>1658</v>
      </c>
      <c r="H59" s="8" t="s">
        <v>1637</v>
      </c>
      <c r="I59" s="8">
        <v>5804</v>
      </c>
      <c r="J59" s="8">
        <v>6405</v>
      </c>
      <c r="K59" s="9">
        <f>Tabla156798[[#This Row],[PRECIO CLIENTE]]-Tabla156798[[#This Row],[CANTIDAD PUBLICA]]</f>
        <v>601</v>
      </c>
      <c r="L59" s="10">
        <f>Tabla156798[[#This Row],[COMISION AGENCIA]]*0.05</f>
        <v>30.05</v>
      </c>
      <c r="M59" s="7"/>
      <c r="N59" s="7" t="s">
        <v>1659</v>
      </c>
      <c r="O59" s="7" t="s">
        <v>47</v>
      </c>
      <c r="P59" s="7"/>
    </row>
    <row r="60" spans="1:16" x14ac:dyDescent="0.25">
      <c r="A60" s="14">
        <v>44833</v>
      </c>
      <c r="B60" s="14">
        <v>44833</v>
      </c>
      <c r="C60" s="6">
        <v>44833</v>
      </c>
      <c r="D60" s="7"/>
      <c r="E60" s="7"/>
      <c r="F60" s="115">
        <v>21912</v>
      </c>
      <c r="G60" s="8" t="s">
        <v>1660</v>
      </c>
      <c r="H60" s="7" t="s">
        <v>1661</v>
      </c>
      <c r="I60" s="8">
        <v>150</v>
      </c>
      <c r="J60" s="8">
        <v>150</v>
      </c>
      <c r="K60" s="9">
        <v>150</v>
      </c>
      <c r="L60" s="10">
        <f>Tabla156798[[#This Row],[COMISION AGENCIA]]*0.05</f>
        <v>7.5</v>
      </c>
      <c r="M60" s="7"/>
      <c r="N60" s="7"/>
      <c r="O60" s="7"/>
      <c r="P60" s="7"/>
    </row>
    <row r="61" spans="1:16" x14ac:dyDescent="0.25">
      <c r="A61" s="14">
        <v>44835</v>
      </c>
      <c r="B61" s="14">
        <v>44835</v>
      </c>
      <c r="C61" s="6">
        <v>44835</v>
      </c>
      <c r="D61" s="6">
        <v>44838</v>
      </c>
      <c r="E61" s="7"/>
      <c r="F61" s="115">
        <v>21954</v>
      </c>
      <c r="G61" s="8" t="s">
        <v>1662</v>
      </c>
      <c r="H61" s="158" t="s">
        <v>1663</v>
      </c>
      <c r="I61" s="8">
        <v>7493</v>
      </c>
      <c r="J61" s="8">
        <v>7950</v>
      </c>
      <c r="K61" s="9">
        <f>Tabla156798[[#This Row],[PRECIO CLIENTE]]-Tabla156798[[#This Row],[CANTIDAD PUBLICA]]</f>
        <v>457</v>
      </c>
      <c r="L61" s="10">
        <f>Tabla156798[[#This Row],[COMISION AGENCIA]]*0.05</f>
        <v>22.85</v>
      </c>
      <c r="M61" s="7"/>
      <c r="N61" s="7" t="s">
        <v>1664</v>
      </c>
      <c r="O61" s="7" t="s">
        <v>86</v>
      </c>
      <c r="P61" s="7"/>
    </row>
    <row r="62" spans="1:16" x14ac:dyDescent="0.25">
      <c r="A62" s="14">
        <v>44835</v>
      </c>
      <c r="B62" s="14">
        <v>44835</v>
      </c>
      <c r="C62" s="6">
        <v>44835</v>
      </c>
      <c r="D62" s="6">
        <v>44871</v>
      </c>
      <c r="E62" s="6">
        <v>44876</v>
      </c>
      <c r="F62" s="115" t="s">
        <v>1552</v>
      </c>
      <c r="G62" s="8" t="s">
        <v>1665</v>
      </c>
      <c r="H62" s="8" t="s">
        <v>1666</v>
      </c>
      <c r="I62" s="8">
        <v>5151</v>
      </c>
      <c r="J62" s="8">
        <v>5500</v>
      </c>
      <c r="K62" s="9">
        <f>Tabla156798[[#This Row],[PRECIO CLIENTE]]-Tabla156798[[#This Row],[CANTIDAD PUBLICA]]</f>
        <v>349</v>
      </c>
      <c r="L62" s="10">
        <f>Tabla156798[[#This Row],[COMISION AGENCIA]]*0.05</f>
        <v>17.45</v>
      </c>
      <c r="M62" s="7">
        <v>3318426892</v>
      </c>
      <c r="N62" s="7" t="s">
        <v>1667</v>
      </c>
      <c r="O62" s="7" t="s">
        <v>47</v>
      </c>
      <c r="P62" s="7"/>
    </row>
    <row r="63" spans="1:16" x14ac:dyDescent="0.25">
      <c r="A63" s="14">
        <v>44835</v>
      </c>
      <c r="B63" s="14">
        <v>44835</v>
      </c>
      <c r="C63" s="6">
        <v>44835</v>
      </c>
      <c r="D63" s="6">
        <v>44878</v>
      </c>
      <c r="E63" s="6">
        <v>44886</v>
      </c>
      <c r="F63" s="115" t="s">
        <v>1552</v>
      </c>
      <c r="G63" s="8" t="s">
        <v>1668</v>
      </c>
      <c r="H63" s="8" t="s">
        <v>1669</v>
      </c>
      <c r="I63" s="8">
        <v>18820</v>
      </c>
      <c r="J63" s="8">
        <v>20020</v>
      </c>
      <c r="K63" s="9">
        <f>Tabla156798[[#This Row],[PRECIO CLIENTE]]-Tabla156798[[#This Row],[CANTIDAD PUBLICA]]</f>
        <v>1200</v>
      </c>
      <c r="L63" s="10">
        <f>Tabla156798[[#This Row],[COMISION AGENCIA]]*0.05</f>
        <v>60</v>
      </c>
      <c r="M63" s="7">
        <v>4621772543</v>
      </c>
      <c r="N63" s="7" t="s">
        <v>1670</v>
      </c>
      <c r="O63" s="7" t="s">
        <v>47</v>
      </c>
      <c r="P63" s="7"/>
    </row>
    <row r="64" spans="1:16" x14ac:dyDescent="0.25">
      <c r="A64" s="14">
        <v>44836</v>
      </c>
      <c r="B64" s="14">
        <v>44836</v>
      </c>
      <c r="C64" s="6">
        <v>44836</v>
      </c>
      <c r="D64" s="6">
        <v>44838</v>
      </c>
      <c r="E64" s="6">
        <v>44839</v>
      </c>
      <c r="F64" s="115">
        <v>21961</v>
      </c>
      <c r="G64" s="8" t="s">
        <v>1543</v>
      </c>
      <c r="H64" s="8" t="s">
        <v>1564</v>
      </c>
      <c r="I64" s="8">
        <v>6175</v>
      </c>
      <c r="J64" s="8">
        <v>6615</v>
      </c>
      <c r="K64" s="9">
        <f>Tabla156798[[#This Row],[PRECIO CLIENTE]]-Tabla156798[[#This Row],[CANTIDAD PUBLICA]]</f>
        <v>440</v>
      </c>
      <c r="L64" s="10">
        <f>Tabla156798[[#This Row],[COMISION AGENCIA]]*0.05</f>
        <v>22</v>
      </c>
      <c r="M64" s="7"/>
      <c r="N64" s="7" t="s">
        <v>1671</v>
      </c>
      <c r="O64" s="7" t="s">
        <v>47</v>
      </c>
      <c r="P64" s="7"/>
    </row>
    <row r="65" spans="1:16" x14ac:dyDescent="0.25">
      <c r="A65" s="14">
        <v>44836</v>
      </c>
      <c r="B65" s="14">
        <v>44836</v>
      </c>
      <c r="C65" s="6">
        <v>44836</v>
      </c>
      <c r="D65" s="6">
        <v>44838</v>
      </c>
      <c r="E65" s="6">
        <v>44839</v>
      </c>
      <c r="F65" s="115">
        <v>21963</v>
      </c>
      <c r="G65" s="8" t="s">
        <v>1672</v>
      </c>
      <c r="H65" s="8" t="s">
        <v>1564</v>
      </c>
      <c r="I65" s="8">
        <v>6175</v>
      </c>
      <c r="J65" s="8">
        <v>6615</v>
      </c>
      <c r="K65" s="9">
        <f>Tabla156798[[#This Row],[PRECIO CLIENTE]]-Tabla156798[[#This Row],[CANTIDAD PUBLICA]]</f>
        <v>440</v>
      </c>
      <c r="L65" s="10">
        <f>Tabla156798[[#This Row],[COMISION AGENCIA]]*0.05</f>
        <v>22</v>
      </c>
      <c r="M65" s="7"/>
      <c r="N65" s="7" t="s">
        <v>1673</v>
      </c>
      <c r="O65" s="7" t="s">
        <v>47</v>
      </c>
      <c r="P65" s="7"/>
    </row>
    <row r="66" spans="1:16" x14ac:dyDescent="0.25">
      <c r="A66" s="14">
        <v>44836</v>
      </c>
      <c r="B66" s="14">
        <v>44836</v>
      </c>
      <c r="C66" s="6">
        <v>44836</v>
      </c>
      <c r="D66" s="6">
        <v>44850</v>
      </c>
      <c r="E66" s="6">
        <v>44864</v>
      </c>
      <c r="F66" s="115">
        <v>21962</v>
      </c>
      <c r="G66" s="8" t="s">
        <v>1674</v>
      </c>
      <c r="H66" s="8" t="s">
        <v>1675</v>
      </c>
      <c r="I66" s="8">
        <v>4960</v>
      </c>
      <c r="J66" s="8">
        <v>5370</v>
      </c>
      <c r="K66" s="9">
        <f>Tabla156798[[#This Row],[PRECIO CLIENTE]]-Tabla156798[[#This Row],[CANTIDAD PUBLICA]]</f>
        <v>410</v>
      </c>
      <c r="L66" s="10">
        <f>Tabla156798[[#This Row],[COMISION AGENCIA]]*0.05</f>
        <v>20.5</v>
      </c>
      <c r="M66" s="7"/>
      <c r="N66" s="7" t="s">
        <v>1676</v>
      </c>
      <c r="O66" s="7" t="s">
        <v>47</v>
      </c>
      <c r="P66" s="7"/>
    </row>
    <row r="67" spans="1:16" s="7" customFormat="1" x14ac:dyDescent="0.25">
      <c r="A67" s="14">
        <v>44837</v>
      </c>
      <c r="B67" s="14">
        <v>44837</v>
      </c>
      <c r="C67" s="6">
        <v>44837</v>
      </c>
      <c r="D67" s="6">
        <v>44851</v>
      </c>
      <c r="F67" s="115">
        <v>21987</v>
      </c>
      <c r="G67" s="8" t="s">
        <v>1677</v>
      </c>
      <c r="H67" s="8" t="s">
        <v>1678</v>
      </c>
      <c r="I67" s="8">
        <v>2613</v>
      </c>
      <c r="J67" s="8">
        <v>3130</v>
      </c>
      <c r="K67" s="9">
        <f>Tabla156798[[#This Row],[PRECIO CLIENTE]]-Tabla156798[[#This Row],[CANTIDAD PUBLICA]]</f>
        <v>517</v>
      </c>
      <c r="L67" s="10">
        <f>Tabla156798[[#This Row],[COMISION AGENCIA]]*0.05</f>
        <v>25.85</v>
      </c>
      <c r="N67" s="7" t="s">
        <v>1679</v>
      </c>
      <c r="O67" s="7" t="s">
        <v>47</v>
      </c>
    </row>
    <row r="68" spans="1:16" x14ac:dyDescent="0.25">
      <c r="A68" s="14">
        <v>44837</v>
      </c>
      <c r="B68" s="14">
        <v>44837</v>
      </c>
      <c r="C68" s="6">
        <v>44837</v>
      </c>
      <c r="D68" s="6">
        <v>44879</v>
      </c>
      <c r="E68" s="6">
        <v>44888</v>
      </c>
      <c r="F68" s="115">
        <v>21992</v>
      </c>
      <c r="G68" s="8" t="s">
        <v>1680</v>
      </c>
      <c r="H68" s="8" t="s">
        <v>1586</v>
      </c>
      <c r="I68" s="8">
        <v>28275</v>
      </c>
      <c r="J68" s="8">
        <v>30750</v>
      </c>
      <c r="K68" s="9">
        <f>Tabla156798[[#This Row],[PRECIO CLIENTE]]-Tabla156798[[#This Row],[CANTIDAD PUBLICA]]</f>
        <v>2475</v>
      </c>
      <c r="L68" s="10">
        <f>Tabla156798[[#This Row],[COMISION AGENCIA]]*0.05</f>
        <v>123.75</v>
      </c>
      <c r="M68" s="7"/>
      <c r="N68" s="7" t="s">
        <v>1681</v>
      </c>
      <c r="O68" s="7" t="s">
        <v>47</v>
      </c>
      <c r="P68" s="7"/>
    </row>
    <row r="69" spans="1:16" x14ac:dyDescent="0.25">
      <c r="A69" s="14">
        <f>Tabla156798[[#This Row],[FECHA IN]]-15</f>
        <v>44837</v>
      </c>
      <c r="B69" s="14">
        <v>44834</v>
      </c>
      <c r="C69" s="18">
        <v>44834</v>
      </c>
      <c r="D69" s="6">
        <v>44852</v>
      </c>
      <c r="E69" s="6">
        <v>44856</v>
      </c>
      <c r="F69" s="115">
        <v>21968</v>
      </c>
      <c r="G69" s="8" t="s">
        <v>1682</v>
      </c>
      <c r="H69" s="8" t="s">
        <v>1683</v>
      </c>
      <c r="I69" s="8">
        <v>26311.34</v>
      </c>
      <c r="J69" s="8">
        <v>23320</v>
      </c>
      <c r="K69" s="9">
        <f>Tabla156798[[#This Row],[CANTIDAD PUBLICA]]*0.05</f>
        <v>1315.567</v>
      </c>
      <c r="L69" s="10">
        <f>Tabla156798[[#This Row],[COMISION AGENCIA]]*0.05</f>
        <v>65.778350000000003</v>
      </c>
      <c r="M69" s="7">
        <v>3311933112</v>
      </c>
      <c r="N69" s="7" t="s">
        <v>1684</v>
      </c>
      <c r="O69" s="7" t="s">
        <v>6</v>
      </c>
      <c r="P69" s="7" t="s">
        <v>1685</v>
      </c>
    </row>
    <row r="70" spans="1:16" x14ac:dyDescent="0.25">
      <c r="A70" s="14">
        <f>Tabla156798[[#This Row],[FECHA IN]]-15</f>
        <v>44837</v>
      </c>
      <c r="B70" s="14">
        <v>44834</v>
      </c>
      <c r="C70" s="18">
        <v>44834</v>
      </c>
      <c r="D70" s="6">
        <v>44852</v>
      </c>
      <c r="E70" s="6">
        <v>44856</v>
      </c>
      <c r="F70" s="115">
        <v>21967</v>
      </c>
      <c r="G70" s="8" t="s">
        <v>1686</v>
      </c>
      <c r="H70" s="158" t="s">
        <v>1683</v>
      </c>
      <c r="I70" s="8">
        <v>26311.34</v>
      </c>
      <c r="J70" s="8">
        <v>23320</v>
      </c>
      <c r="K70" s="9">
        <f>Tabla156798[[#This Row],[CANTIDAD PUBLICA]]*0.05</f>
        <v>1315.567</v>
      </c>
      <c r="L70" s="10">
        <f>Tabla156798[[#This Row],[COMISION AGENCIA]]*0.05</f>
        <v>65.778350000000003</v>
      </c>
      <c r="M70" s="7">
        <v>3311933112</v>
      </c>
      <c r="N70" s="7" t="s">
        <v>1687</v>
      </c>
      <c r="O70" s="7" t="s">
        <v>6</v>
      </c>
      <c r="P70" s="7" t="s">
        <v>1685</v>
      </c>
    </row>
    <row r="71" spans="1:16" x14ac:dyDescent="0.25">
      <c r="A71" s="14">
        <f>Tabla156798[[#This Row],[FECHA IN]]-15</f>
        <v>44837</v>
      </c>
      <c r="B71" s="14">
        <v>44834</v>
      </c>
      <c r="C71" s="6">
        <v>44834</v>
      </c>
      <c r="D71" s="6">
        <v>44852</v>
      </c>
      <c r="E71" s="6">
        <v>44856</v>
      </c>
      <c r="F71" s="115">
        <v>21966</v>
      </c>
      <c r="G71" s="8" t="s">
        <v>1688</v>
      </c>
      <c r="H71" s="158" t="s">
        <v>1683</v>
      </c>
      <c r="I71" s="8">
        <v>20418.16</v>
      </c>
      <c r="J71" s="8">
        <v>17320</v>
      </c>
      <c r="K71" s="9">
        <f>Tabla156798[[#This Row],[CANTIDAD PUBLICA]]*0.05</f>
        <v>1020.908</v>
      </c>
      <c r="L71" s="10">
        <f>Tabla156798[[#This Row],[COMISION AGENCIA]]*0.05</f>
        <v>51.045400000000001</v>
      </c>
      <c r="M71" s="7">
        <v>3311933112</v>
      </c>
      <c r="N71" s="7" t="s">
        <v>1689</v>
      </c>
      <c r="O71" s="7" t="s">
        <v>6</v>
      </c>
      <c r="P71" s="7"/>
    </row>
    <row r="72" spans="1:16" x14ac:dyDescent="0.25">
      <c r="A72" s="14">
        <f>Tabla156798[[#This Row],[FECHA IN]]-15</f>
        <v>44837</v>
      </c>
      <c r="B72" s="14">
        <v>44834</v>
      </c>
      <c r="C72" s="6">
        <v>44834</v>
      </c>
      <c r="D72" s="6">
        <v>44852</v>
      </c>
      <c r="E72" s="6">
        <v>44856</v>
      </c>
      <c r="F72" s="115">
        <v>21964</v>
      </c>
      <c r="G72" s="8" t="s">
        <v>1690</v>
      </c>
      <c r="H72" s="158" t="s">
        <v>1683</v>
      </c>
      <c r="I72" s="8">
        <v>23386</v>
      </c>
      <c r="J72" s="8">
        <v>18840</v>
      </c>
      <c r="K72" s="56">
        <v>142.88999999999999</v>
      </c>
      <c r="L72" s="10">
        <f>Tabla156798[[#This Row],[COMISION AGENCIA]]*0.05</f>
        <v>7.1444999999999999</v>
      </c>
      <c r="M72" s="7">
        <v>3311933112</v>
      </c>
      <c r="N72" s="7" t="s">
        <v>1691</v>
      </c>
      <c r="O72" s="7" t="s">
        <v>6</v>
      </c>
      <c r="P72" s="7" t="s">
        <v>1692</v>
      </c>
    </row>
    <row r="73" spans="1:16" x14ac:dyDescent="0.25">
      <c r="A73" s="14">
        <f>Tabla156798[[#This Row],[FECHA IN]]-15</f>
        <v>44837</v>
      </c>
      <c r="B73" s="14">
        <v>44834</v>
      </c>
      <c r="C73" s="6">
        <v>44834</v>
      </c>
      <c r="D73" s="6">
        <v>44852</v>
      </c>
      <c r="E73" s="6">
        <v>44856</v>
      </c>
      <c r="F73" s="115">
        <v>21965</v>
      </c>
      <c r="G73" s="8" t="s">
        <v>1693</v>
      </c>
      <c r="H73" s="158" t="s">
        <v>1683</v>
      </c>
      <c r="I73" s="8">
        <v>23386</v>
      </c>
      <c r="J73" s="8">
        <v>18840</v>
      </c>
      <c r="K73" s="56">
        <v>142.88999999999999</v>
      </c>
      <c r="L73" s="10">
        <f>Tabla156798[[#This Row],[COMISION AGENCIA]]*0.05</f>
        <v>7.1444999999999999</v>
      </c>
      <c r="M73" s="7">
        <v>3311933112</v>
      </c>
      <c r="N73" s="7" t="s">
        <v>1694</v>
      </c>
      <c r="O73" s="7" t="s">
        <v>6</v>
      </c>
      <c r="P73" s="7" t="s">
        <v>1692</v>
      </c>
    </row>
    <row r="74" spans="1:16" x14ac:dyDescent="0.25">
      <c r="A74" s="14">
        <f>Tabla156798[[#This Row],[FECHA IN]]-15</f>
        <v>44837</v>
      </c>
      <c r="B74" s="14">
        <v>44834</v>
      </c>
      <c r="C74" s="6">
        <v>44834</v>
      </c>
      <c r="D74" s="6">
        <v>44852</v>
      </c>
      <c r="E74" s="6">
        <v>44856</v>
      </c>
      <c r="F74" s="115">
        <v>21924</v>
      </c>
      <c r="G74" s="8" t="s">
        <v>1695</v>
      </c>
      <c r="H74" s="158" t="s">
        <v>1683</v>
      </c>
      <c r="I74" s="8">
        <v>23386</v>
      </c>
      <c r="J74" s="8">
        <v>18840</v>
      </c>
      <c r="K74" s="56">
        <v>142.88999999999999</v>
      </c>
      <c r="L74" s="10">
        <f>Tabla156798[[#This Row],[COMISION AGENCIA]]*0.05</f>
        <v>7.1444999999999999</v>
      </c>
      <c r="M74" s="7">
        <v>3311933112</v>
      </c>
      <c r="N74" s="7" t="s">
        <v>1696</v>
      </c>
      <c r="O74" s="7" t="s">
        <v>6</v>
      </c>
      <c r="P74" s="7" t="s">
        <v>1692</v>
      </c>
    </row>
    <row r="75" spans="1:16" x14ac:dyDescent="0.25">
      <c r="A75" s="14">
        <f>Tabla156798[[#This Row],[FECHA IN]]-15</f>
        <v>44837</v>
      </c>
      <c r="B75" s="14">
        <v>44834</v>
      </c>
      <c r="C75" s="6">
        <v>44834</v>
      </c>
      <c r="D75" s="6">
        <v>44852</v>
      </c>
      <c r="E75" s="6">
        <v>44856</v>
      </c>
      <c r="F75" s="115">
        <v>21924</v>
      </c>
      <c r="G75" s="8" t="s">
        <v>1697</v>
      </c>
      <c r="H75" s="158" t="s">
        <v>1683</v>
      </c>
      <c r="I75" s="8">
        <v>23386</v>
      </c>
      <c r="J75" s="8">
        <v>18840</v>
      </c>
      <c r="K75" s="56">
        <v>142.88999999999999</v>
      </c>
      <c r="L75" s="10">
        <f>Tabla156798[[#This Row],[COMISION AGENCIA]]*0.05</f>
        <v>7.1444999999999999</v>
      </c>
      <c r="M75" s="7">
        <v>3311933112</v>
      </c>
      <c r="N75" s="7" t="s">
        <v>1698</v>
      </c>
      <c r="O75" s="7" t="s">
        <v>6</v>
      </c>
      <c r="P75" s="7" t="s">
        <v>1692</v>
      </c>
    </row>
    <row r="76" spans="1:16" x14ac:dyDescent="0.25">
      <c r="A76" s="14">
        <v>44838</v>
      </c>
      <c r="B76" s="14">
        <v>44838</v>
      </c>
      <c r="C76" s="6">
        <v>44838</v>
      </c>
      <c r="D76" s="6">
        <v>44915</v>
      </c>
      <c r="E76" s="6">
        <v>44939</v>
      </c>
      <c r="F76" s="115" t="s">
        <v>1699</v>
      </c>
      <c r="G76" s="8" t="s">
        <v>1700</v>
      </c>
      <c r="H76" s="8" t="s">
        <v>1583</v>
      </c>
      <c r="I76" s="8">
        <f>18158+12000</f>
        <v>30158</v>
      </c>
      <c r="J76" s="8">
        <v>30760</v>
      </c>
      <c r="K76" s="9">
        <f>Tabla156798[[#This Row],[PRECIO CLIENTE]]-Tabla156798[[#This Row],[CANTIDAD PUBLICA]]</f>
        <v>602</v>
      </c>
      <c r="L76" s="10">
        <f>Tabla156798[[#This Row],[COMISION AGENCIA]]*0.05</f>
        <v>30.1</v>
      </c>
      <c r="M76" s="7"/>
      <c r="N76" s="7" t="s">
        <v>1701</v>
      </c>
      <c r="O76" s="7" t="s">
        <v>47</v>
      </c>
      <c r="P76" s="7"/>
    </row>
    <row r="77" spans="1:16" x14ac:dyDescent="0.25">
      <c r="A77" s="14">
        <v>44839</v>
      </c>
      <c r="B77" s="14">
        <v>44839</v>
      </c>
      <c r="C77" s="6">
        <v>44839</v>
      </c>
      <c r="D77" s="6">
        <v>44851</v>
      </c>
      <c r="E77" s="6">
        <v>44855</v>
      </c>
      <c r="F77" s="115">
        <v>22052</v>
      </c>
      <c r="G77" s="8" t="s">
        <v>1702</v>
      </c>
      <c r="H77" s="8" t="s">
        <v>1703</v>
      </c>
      <c r="I77" s="8">
        <v>32414.58</v>
      </c>
      <c r="J77" s="8">
        <v>28200</v>
      </c>
      <c r="K77" s="9">
        <f>Tabla156798[[#This Row],[CANTIDAD PUBLICA]]*0.05</f>
        <v>1620.7290000000003</v>
      </c>
      <c r="L77" s="10">
        <f>Tabla156798[[#This Row],[COMISION AGENCIA]]*0.05</f>
        <v>81.036450000000016</v>
      </c>
      <c r="M77" s="7">
        <v>4494879427</v>
      </c>
      <c r="N77" s="7" t="s">
        <v>1704</v>
      </c>
      <c r="O77" s="7" t="s">
        <v>6</v>
      </c>
      <c r="P77" s="7"/>
    </row>
    <row r="78" spans="1:16" x14ac:dyDescent="0.25">
      <c r="A78" s="14">
        <v>44839</v>
      </c>
      <c r="B78" s="14">
        <v>44839</v>
      </c>
      <c r="C78" s="6">
        <v>44839</v>
      </c>
      <c r="D78" s="6">
        <v>44871</v>
      </c>
      <c r="E78" s="6">
        <v>44874</v>
      </c>
      <c r="F78" s="115">
        <v>22044</v>
      </c>
      <c r="G78" s="8" t="s">
        <v>1705</v>
      </c>
      <c r="H78" s="8" t="s">
        <v>1706</v>
      </c>
      <c r="I78" s="8">
        <v>8310</v>
      </c>
      <c r="J78" s="8">
        <v>10110</v>
      </c>
      <c r="K78" s="9">
        <f>Tabla156798[[#This Row],[PRECIO CLIENTE]]-Tabla156798[[#This Row],[CANTIDAD PUBLICA]]</f>
        <v>1800</v>
      </c>
      <c r="L78" s="10">
        <f>Tabla156798[[#This Row],[COMISION AGENCIA]]*0.05</f>
        <v>90</v>
      </c>
      <c r="M78" s="7"/>
      <c r="N78" s="7" t="s">
        <v>1707</v>
      </c>
      <c r="O78" s="7" t="s">
        <v>47</v>
      </c>
      <c r="P78" s="7"/>
    </row>
    <row r="79" spans="1:16" x14ac:dyDescent="0.25">
      <c r="A79" s="14">
        <v>44840</v>
      </c>
      <c r="B79" s="14">
        <v>44840</v>
      </c>
      <c r="C79" s="6">
        <v>44840</v>
      </c>
      <c r="D79" s="6">
        <v>44878</v>
      </c>
      <c r="E79" s="6">
        <v>44886</v>
      </c>
      <c r="F79" s="115">
        <v>22058</v>
      </c>
      <c r="G79" s="8" t="s">
        <v>1708</v>
      </c>
      <c r="H79" s="8" t="s">
        <v>1709</v>
      </c>
      <c r="I79" s="8">
        <v>3415</v>
      </c>
      <c r="J79" s="8">
        <v>3900</v>
      </c>
      <c r="K79" s="9">
        <f>Tabla156798[[#This Row],[PRECIO CLIENTE]]-Tabla156798[[#This Row],[CANTIDAD PUBLICA]]</f>
        <v>485</v>
      </c>
      <c r="L79" s="10">
        <f>Tabla156798[[#This Row],[COMISION AGENCIA]]*0.05</f>
        <v>24.25</v>
      </c>
      <c r="M79" s="7"/>
      <c r="N79" s="7" t="s">
        <v>1710</v>
      </c>
      <c r="O79" s="7" t="s">
        <v>47</v>
      </c>
      <c r="P79" s="7"/>
    </row>
    <row r="80" spans="1:16" x14ac:dyDescent="0.25">
      <c r="A80" s="14">
        <v>44840</v>
      </c>
      <c r="B80" s="14">
        <v>44840</v>
      </c>
      <c r="C80" s="6">
        <v>44840</v>
      </c>
      <c r="D80" s="6">
        <v>44908</v>
      </c>
      <c r="E80" s="6">
        <v>44937</v>
      </c>
      <c r="F80" s="115">
        <v>22066</v>
      </c>
      <c r="G80" s="8" t="s">
        <v>1711</v>
      </c>
      <c r="H80" s="8" t="s">
        <v>1712</v>
      </c>
      <c r="I80" s="8">
        <v>21796</v>
      </c>
      <c r="J80" s="8">
        <v>23840</v>
      </c>
      <c r="K80" s="9">
        <f>Tabla156798[[#This Row],[PRECIO CLIENTE]]-Tabla156798[[#This Row],[CANTIDAD PUBLICA]]</f>
        <v>2044</v>
      </c>
      <c r="L80" s="10">
        <f>Tabla156798[[#This Row],[COMISION AGENCIA]]*0.05</f>
        <v>102.2</v>
      </c>
      <c r="M80" s="7"/>
      <c r="N80" s="7" t="s">
        <v>1713</v>
      </c>
      <c r="O80" s="7" t="s">
        <v>47</v>
      </c>
      <c r="P80" s="7"/>
    </row>
    <row r="81" spans="1:16" x14ac:dyDescent="0.25">
      <c r="A81" s="14">
        <v>44840</v>
      </c>
      <c r="B81" s="14">
        <v>44840</v>
      </c>
      <c r="C81" s="6">
        <v>44840</v>
      </c>
      <c r="D81" s="6">
        <v>44909</v>
      </c>
      <c r="E81" s="7"/>
      <c r="F81" s="115">
        <v>22068</v>
      </c>
      <c r="G81" s="8" t="s">
        <v>1714</v>
      </c>
      <c r="H81" s="8" t="s">
        <v>1715</v>
      </c>
      <c r="I81" s="8">
        <v>3930</v>
      </c>
      <c r="J81" s="8">
        <v>4390</v>
      </c>
      <c r="K81" s="9">
        <f>Tabla156798[[#This Row],[PRECIO CLIENTE]]-Tabla156798[[#This Row],[CANTIDAD PUBLICA]]</f>
        <v>460</v>
      </c>
      <c r="L81" s="10">
        <f>Tabla156798[[#This Row],[COMISION AGENCIA]]*0.05</f>
        <v>23</v>
      </c>
      <c r="M81" s="7"/>
      <c r="N81" s="7" t="s">
        <v>1716</v>
      </c>
      <c r="O81" s="7" t="s">
        <v>47</v>
      </c>
      <c r="P81" s="7"/>
    </row>
    <row r="82" spans="1:16" x14ac:dyDescent="0.25">
      <c r="A82" s="14">
        <v>44842</v>
      </c>
      <c r="B82" s="14">
        <v>44842</v>
      </c>
      <c r="C82" s="6">
        <v>44842</v>
      </c>
      <c r="D82" s="6">
        <v>44868</v>
      </c>
      <c r="E82" s="6">
        <v>44872</v>
      </c>
      <c r="F82" s="115">
        <v>22095</v>
      </c>
      <c r="G82" s="8" t="s">
        <v>1717</v>
      </c>
      <c r="H82" s="8" t="s">
        <v>1675</v>
      </c>
      <c r="I82" s="8">
        <v>7142</v>
      </c>
      <c r="J82" s="8">
        <v>7685</v>
      </c>
      <c r="K82" s="9">
        <f>Tabla156798[[#This Row],[PRECIO CLIENTE]]-Tabla156798[[#This Row],[CANTIDAD PUBLICA]]</f>
        <v>543</v>
      </c>
      <c r="L82" s="10">
        <f>Tabla156798[[#This Row],[COMISION AGENCIA]]*0.05</f>
        <v>27.150000000000002</v>
      </c>
      <c r="M82" s="7"/>
      <c r="N82" s="7" t="s">
        <v>1718</v>
      </c>
      <c r="O82" s="7" t="s">
        <v>47</v>
      </c>
      <c r="P82" s="7"/>
    </row>
    <row r="83" spans="1:16" x14ac:dyDescent="0.25">
      <c r="A83" s="14">
        <f>Tabla156798[[#This Row],[FECHA IN]]-15</f>
        <v>44843</v>
      </c>
      <c r="B83" s="14">
        <v>44842</v>
      </c>
      <c r="C83" s="6">
        <v>44812</v>
      </c>
      <c r="D83" s="6">
        <v>44858</v>
      </c>
      <c r="E83" s="6">
        <v>44862</v>
      </c>
      <c r="F83" s="115" t="s">
        <v>1719</v>
      </c>
      <c r="G83" s="8" t="s">
        <v>1720</v>
      </c>
      <c r="H83" s="8" t="s">
        <v>986</v>
      </c>
      <c r="I83" s="8">
        <v>15566.38</v>
      </c>
      <c r="J83" s="8">
        <v>13545</v>
      </c>
      <c r="K83" s="9">
        <f>Tabla156798[[#This Row],[CANTIDAD PUBLICA]]*AGENTES!D3</f>
        <v>809.45175999999981</v>
      </c>
      <c r="L83" s="10">
        <f>Tabla156798[[#This Row],[COMISION AGENCIA]]*0.05</f>
        <v>40.472587999999995</v>
      </c>
      <c r="M83" s="7">
        <v>3481194559</v>
      </c>
      <c r="N83" s="7" t="s">
        <v>1721</v>
      </c>
      <c r="O83" s="7" t="s">
        <v>6</v>
      </c>
      <c r="P83" s="7"/>
    </row>
    <row r="84" spans="1:16" x14ac:dyDescent="0.25">
      <c r="A84" s="14">
        <f>Tabla156798[[#This Row],[FECHA IN]]-15</f>
        <v>44843</v>
      </c>
      <c r="B84" s="14">
        <v>44842</v>
      </c>
      <c r="C84" s="6">
        <v>44812</v>
      </c>
      <c r="D84" s="6">
        <v>44858</v>
      </c>
      <c r="E84" s="6">
        <v>44862</v>
      </c>
      <c r="F84" s="115" t="s">
        <v>1719</v>
      </c>
      <c r="G84" s="8" t="s">
        <v>1720</v>
      </c>
      <c r="H84" s="8" t="s">
        <v>1722</v>
      </c>
      <c r="I84" s="8">
        <v>2400</v>
      </c>
      <c r="J84" s="8">
        <v>2400</v>
      </c>
      <c r="K84" s="9">
        <f>Tabla156798[[#This Row],[CANTIDAD PUBLICA]]*0.05</f>
        <v>120</v>
      </c>
      <c r="L84" s="10">
        <f>Tabla156798[[#This Row],[COMISION AGENCIA]]*0.05</f>
        <v>6</v>
      </c>
      <c r="M84" s="7">
        <v>3481194559</v>
      </c>
      <c r="N84" s="7" t="s">
        <v>1721</v>
      </c>
      <c r="O84" s="7" t="s">
        <v>12</v>
      </c>
      <c r="P84" s="7"/>
    </row>
    <row r="85" spans="1:16" x14ac:dyDescent="0.25">
      <c r="A85" s="14">
        <v>44844</v>
      </c>
      <c r="B85" s="14">
        <v>44848</v>
      </c>
      <c r="C85" s="6">
        <v>44844</v>
      </c>
      <c r="D85" s="6">
        <v>44854</v>
      </c>
      <c r="E85" s="6">
        <v>44857</v>
      </c>
      <c r="F85" s="115">
        <v>22114</v>
      </c>
      <c r="G85" s="8" t="s">
        <v>1723</v>
      </c>
      <c r="H85" s="8" t="s">
        <v>1602</v>
      </c>
      <c r="I85" s="8">
        <v>13085.82</v>
      </c>
      <c r="J85" s="8">
        <v>11160</v>
      </c>
      <c r="K85" s="9">
        <f>Tabla156798[[#This Row],[CANTIDAD PUBLICA]]*0.05</f>
        <v>654.29100000000005</v>
      </c>
      <c r="L85" s="10">
        <f>Tabla156798[[#This Row],[COMISION AGENCIA]]*0.05</f>
        <v>32.714550000000003</v>
      </c>
      <c r="M85" s="7">
        <v>3481053973</v>
      </c>
      <c r="N85" s="7" t="s">
        <v>1724</v>
      </c>
      <c r="O85" s="7" t="s">
        <v>6</v>
      </c>
      <c r="P85" s="7"/>
    </row>
    <row r="86" spans="1:16" x14ac:dyDescent="0.25">
      <c r="A86" s="14">
        <v>44844</v>
      </c>
      <c r="B86" s="14">
        <v>44844</v>
      </c>
      <c r="C86" s="6">
        <v>44844</v>
      </c>
      <c r="D86" s="6">
        <v>44846</v>
      </c>
      <c r="E86" s="7"/>
      <c r="F86" s="115">
        <v>22123</v>
      </c>
      <c r="G86" s="8" t="s">
        <v>1725</v>
      </c>
      <c r="H86" s="8" t="s">
        <v>1726</v>
      </c>
      <c r="I86" s="8">
        <v>6144</v>
      </c>
      <c r="J86" s="8">
        <v>6960</v>
      </c>
      <c r="K86" s="9">
        <f>Tabla156798[[#This Row],[PRECIO CLIENTE]]-Tabla156798[[#This Row],[CANTIDAD PUBLICA]]</f>
        <v>816</v>
      </c>
      <c r="L86" s="10">
        <f>Tabla156798[[#This Row],[COMISION AGENCIA]]*0.05</f>
        <v>40.800000000000004</v>
      </c>
      <c r="M86" s="7"/>
      <c r="N86" s="7" t="s">
        <v>1727</v>
      </c>
      <c r="O86" s="7" t="s">
        <v>47</v>
      </c>
      <c r="P86" s="7"/>
    </row>
    <row r="87" spans="1:16" x14ac:dyDescent="0.25">
      <c r="A87" s="14">
        <v>44845</v>
      </c>
      <c r="B87" s="14">
        <v>44845</v>
      </c>
      <c r="C87" s="6">
        <v>44845</v>
      </c>
      <c r="D87" s="6">
        <v>44886</v>
      </c>
      <c r="E87" s="6">
        <v>44901</v>
      </c>
      <c r="F87" s="115"/>
      <c r="G87" s="8" t="s">
        <v>1728</v>
      </c>
      <c r="H87" s="8" t="s">
        <v>1637</v>
      </c>
      <c r="I87" s="8">
        <v>26410</v>
      </c>
      <c r="J87" s="8">
        <v>27925</v>
      </c>
      <c r="K87" s="9">
        <f>Tabla156798[[#This Row],[PRECIO CLIENTE]]-Tabla156798[[#This Row],[CANTIDAD PUBLICA]]</f>
        <v>1515</v>
      </c>
      <c r="L87" s="10">
        <f>Tabla156798[[#This Row],[COMISION AGENCIA]]*0.05</f>
        <v>75.75</v>
      </c>
      <c r="M87" s="7"/>
      <c r="N87" s="7" t="s">
        <v>1729</v>
      </c>
      <c r="O87" s="7" t="s">
        <v>47</v>
      </c>
      <c r="P87" s="7"/>
    </row>
    <row r="88" spans="1:16" x14ac:dyDescent="0.25">
      <c r="A88" s="14">
        <v>44845</v>
      </c>
      <c r="B88" s="14">
        <v>44845</v>
      </c>
      <c r="C88" s="6">
        <v>44845</v>
      </c>
      <c r="D88" s="6">
        <v>44910</v>
      </c>
      <c r="E88" s="6">
        <v>44914</v>
      </c>
      <c r="F88" s="115">
        <v>22157</v>
      </c>
      <c r="G88" s="8" t="s">
        <v>1730</v>
      </c>
      <c r="H88" s="8" t="s">
        <v>1731</v>
      </c>
      <c r="I88" s="8">
        <v>5904</v>
      </c>
      <c r="J88" s="8">
        <v>7180</v>
      </c>
      <c r="K88" s="9">
        <f>Tabla156798[[#This Row],[PRECIO CLIENTE]]-Tabla156798[[#This Row],[CANTIDAD PUBLICA]]</f>
        <v>1276</v>
      </c>
      <c r="L88" s="10">
        <f>Tabla156798[[#This Row],[COMISION AGENCIA]]*0.05</f>
        <v>63.800000000000004</v>
      </c>
      <c r="M88" s="7"/>
      <c r="N88" s="7" t="s">
        <v>1732</v>
      </c>
      <c r="O88" s="7" t="s">
        <v>47</v>
      </c>
      <c r="P88" s="7"/>
    </row>
    <row r="89" spans="1:16" x14ac:dyDescent="0.25">
      <c r="A89" s="14">
        <f>Tabla156798[[#This Row],[FECHA IN]]-15</f>
        <v>44845</v>
      </c>
      <c r="B89" s="14">
        <v>44848</v>
      </c>
      <c r="C89" s="6">
        <v>44811</v>
      </c>
      <c r="D89" s="6">
        <v>44860</v>
      </c>
      <c r="E89" s="6">
        <v>44864</v>
      </c>
      <c r="F89" s="115" t="s">
        <v>1733</v>
      </c>
      <c r="G89" s="8" t="s">
        <v>1734</v>
      </c>
      <c r="H89" s="8" t="s">
        <v>888</v>
      </c>
      <c r="I89" s="8">
        <v>21480</v>
      </c>
      <c r="J89" s="8">
        <v>18690</v>
      </c>
      <c r="K89" s="9">
        <f>Tabla156798[[#This Row],[CANTIDAD PUBLICA]]*AGENTES!D4</f>
        <v>1073.9999999999998</v>
      </c>
      <c r="L89" s="10">
        <f>Tabla156798[[#This Row],[COMISION AGENCIA]]*0.05</f>
        <v>53.699999999999989</v>
      </c>
      <c r="M89" s="7">
        <v>3481163688</v>
      </c>
      <c r="N89" s="7" t="s">
        <v>1735</v>
      </c>
      <c r="O89" s="7" t="s">
        <v>6</v>
      </c>
      <c r="P89" s="7"/>
    </row>
    <row r="90" spans="1:16" x14ac:dyDescent="0.25">
      <c r="A90" s="14">
        <f>Tabla156798[[#This Row],[FECHA IN]]-15</f>
        <v>44845</v>
      </c>
      <c r="B90" s="14">
        <v>44848</v>
      </c>
      <c r="C90" s="6">
        <v>44811</v>
      </c>
      <c r="D90" s="6">
        <v>44860</v>
      </c>
      <c r="E90" s="6">
        <v>44864</v>
      </c>
      <c r="F90" s="115" t="s">
        <v>1733</v>
      </c>
      <c r="G90" s="8" t="s">
        <v>1736</v>
      </c>
      <c r="H90" s="8" t="s">
        <v>1737</v>
      </c>
      <c r="I90" s="8">
        <v>21480</v>
      </c>
      <c r="J90" s="8">
        <v>18690</v>
      </c>
      <c r="K90" s="9">
        <f>Tabla156798[[#This Row],[CANTIDAD PUBLICA]]*0.05</f>
        <v>1074</v>
      </c>
      <c r="L90" s="10">
        <f>Tabla156798[[#This Row],[COMISION AGENCIA]]*0.05</f>
        <v>53.7</v>
      </c>
      <c r="M90" s="7">
        <v>3481163688</v>
      </c>
      <c r="N90" s="7" t="s">
        <v>1738</v>
      </c>
      <c r="O90" s="7" t="s">
        <v>6</v>
      </c>
      <c r="P90" s="7"/>
    </row>
    <row r="91" spans="1:16" x14ac:dyDescent="0.25">
      <c r="A91" s="14">
        <v>44846</v>
      </c>
      <c r="B91" s="14">
        <v>44846</v>
      </c>
      <c r="C91" s="6">
        <v>44846</v>
      </c>
      <c r="D91" s="6">
        <v>44851</v>
      </c>
      <c r="E91" s="7"/>
      <c r="F91" s="115">
        <v>22178</v>
      </c>
      <c r="G91" s="8" t="s">
        <v>1739</v>
      </c>
      <c r="H91" s="8" t="s">
        <v>1740</v>
      </c>
      <c r="I91" s="8">
        <v>2320</v>
      </c>
      <c r="J91" s="8">
        <v>2960</v>
      </c>
      <c r="K91" s="9">
        <f>Tabla156798[[#This Row],[PRECIO CLIENTE]]-Tabla156798[[#This Row],[CANTIDAD PUBLICA]]</f>
        <v>640</v>
      </c>
      <c r="L91" s="10">
        <f>Tabla156798[[#This Row],[COMISION AGENCIA]]*0.05</f>
        <v>32</v>
      </c>
      <c r="M91" s="7"/>
      <c r="N91" s="7" t="s">
        <v>1741</v>
      </c>
      <c r="O91" s="7" t="s">
        <v>47</v>
      </c>
      <c r="P91" s="7"/>
    </row>
    <row r="92" spans="1:16" x14ac:dyDescent="0.25">
      <c r="A92" s="14">
        <v>44846</v>
      </c>
      <c r="B92" s="14">
        <v>44846</v>
      </c>
      <c r="C92" s="6">
        <v>44846</v>
      </c>
      <c r="D92" s="6">
        <v>44850</v>
      </c>
      <c r="E92" s="6">
        <v>44851</v>
      </c>
      <c r="F92" s="115">
        <v>22181</v>
      </c>
      <c r="G92" s="8" t="s">
        <v>1742</v>
      </c>
      <c r="H92" s="8" t="s">
        <v>1743</v>
      </c>
      <c r="I92" s="8">
        <v>8419</v>
      </c>
      <c r="J92" s="8">
        <v>8965</v>
      </c>
      <c r="K92" s="9">
        <f>Tabla156798[[#This Row],[PRECIO CLIENTE]]-Tabla156798[[#This Row],[CANTIDAD PUBLICA]]</f>
        <v>546</v>
      </c>
      <c r="L92" s="10">
        <f>Tabla156798[[#This Row],[COMISION AGENCIA]]*0.05</f>
        <v>27.3</v>
      </c>
      <c r="M92" s="7"/>
      <c r="N92" s="7" t="s">
        <v>1744</v>
      </c>
      <c r="O92" s="7" t="s">
        <v>47</v>
      </c>
      <c r="P92" s="7"/>
    </row>
    <row r="93" spans="1:16" x14ac:dyDescent="0.25">
      <c r="A93" s="14">
        <v>44846</v>
      </c>
      <c r="B93" s="14">
        <v>44846</v>
      </c>
      <c r="C93" s="6">
        <v>44846</v>
      </c>
      <c r="D93" s="6">
        <v>44905</v>
      </c>
      <c r="E93" s="7"/>
      <c r="F93" s="115">
        <v>22184</v>
      </c>
      <c r="G93" s="8" t="s">
        <v>1742</v>
      </c>
      <c r="H93" s="8" t="s">
        <v>1743</v>
      </c>
      <c r="I93" s="8">
        <v>9196</v>
      </c>
      <c r="J93" s="8">
        <v>10180</v>
      </c>
      <c r="K93" s="9">
        <f>Tabla156798[[#This Row],[PRECIO CLIENTE]]-Tabla156798[[#This Row],[CANTIDAD PUBLICA]]</f>
        <v>984</v>
      </c>
      <c r="L93" s="10">
        <f>Tabla156798[[#This Row],[COMISION AGENCIA]]*0.05</f>
        <v>49.2</v>
      </c>
      <c r="M93" s="7"/>
      <c r="N93" s="7" t="s">
        <v>1745</v>
      </c>
      <c r="O93" s="7" t="s">
        <v>47</v>
      </c>
      <c r="P93" s="7"/>
    </row>
    <row r="94" spans="1:16" x14ac:dyDescent="0.25">
      <c r="A94" s="14">
        <v>44846</v>
      </c>
      <c r="B94" s="14">
        <v>44846</v>
      </c>
      <c r="C94" s="6">
        <v>44846</v>
      </c>
      <c r="D94" s="6">
        <v>44918</v>
      </c>
      <c r="E94" s="7"/>
      <c r="F94" s="115">
        <v>22189</v>
      </c>
      <c r="G94" s="8" t="s">
        <v>1746</v>
      </c>
      <c r="H94" s="8" t="s">
        <v>1726</v>
      </c>
      <c r="I94" s="8">
        <v>4732</v>
      </c>
      <c r="J94" s="8">
        <v>5360</v>
      </c>
      <c r="K94" s="9">
        <f>Tabla156798[[#This Row],[PRECIO CLIENTE]]-Tabla156798[[#This Row],[CANTIDAD PUBLICA]]</f>
        <v>628</v>
      </c>
      <c r="L94" s="10">
        <f>Tabla156798[[#This Row],[COMISION AGENCIA]]*0.05</f>
        <v>31.400000000000002</v>
      </c>
      <c r="M94" s="7"/>
      <c r="N94" s="7" t="s">
        <v>1747</v>
      </c>
      <c r="O94" s="7" t="s">
        <v>47</v>
      </c>
      <c r="P94" s="7"/>
    </row>
    <row r="95" spans="1:16" x14ac:dyDescent="0.25">
      <c r="A95" s="14">
        <v>44846</v>
      </c>
      <c r="B95" s="14">
        <v>44846</v>
      </c>
      <c r="C95" s="6">
        <v>44846</v>
      </c>
      <c r="D95" s="6">
        <v>44878</v>
      </c>
      <c r="E95" s="6">
        <v>44885</v>
      </c>
      <c r="F95" s="115">
        <v>22192</v>
      </c>
      <c r="G95" s="8" t="s">
        <v>1748</v>
      </c>
      <c r="H95" s="8" t="s">
        <v>1625</v>
      </c>
      <c r="I95" s="8">
        <v>3603</v>
      </c>
      <c r="J95" s="8">
        <v>4030</v>
      </c>
      <c r="K95" s="9">
        <f>Tabla156798[[#This Row],[PRECIO CLIENTE]]-Tabla156798[[#This Row],[CANTIDAD PUBLICA]]</f>
        <v>427</v>
      </c>
      <c r="L95" s="10">
        <f>Tabla156798[[#This Row],[COMISION AGENCIA]]*0.05</f>
        <v>21.35</v>
      </c>
      <c r="M95" s="7"/>
      <c r="N95" s="7" t="s">
        <v>1749</v>
      </c>
      <c r="O95" s="7" t="s">
        <v>47</v>
      </c>
      <c r="P95" s="7"/>
    </row>
    <row r="96" spans="1:16" x14ac:dyDescent="0.25">
      <c r="A96" s="14">
        <v>44846</v>
      </c>
      <c r="B96" s="14">
        <v>44846</v>
      </c>
      <c r="C96" s="6">
        <v>44846</v>
      </c>
      <c r="D96" s="6">
        <v>44910</v>
      </c>
      <c r="E96" s="6">
        <v>44913</v>
      </c>
      <c r="F96" s="115">
        <v>22193</v>
      </c>
      <c r="G96" s="8" t="s">
        <v>1750</v>
      </c>
      <c r="H96" s="8" t="s">
        <v>1731</v>
      </c>
      <c r="I96" s="8">
        <v>1804</v>
      </c>
      <c r="J96" s="8">
        <v>2135</v>
      </c>
      <c r="K96" s="9">
        <f>Tabla156798[[#This Row],[PRECIO CLIENTE]]-Tabla156798[[#This Row],[CANTIDAD PUBLICA]]</f>
        <v>331</v>
      </c>
      <c r="L96" s="10">
        <f>Tabla156798[[#This Row],[COMISION AGENCIA]]*0.05</f>
        <v>16.55</v>
      </c>
      <c r="M96" s="7"/>
      <c r="N96" s="7" t="s">
        <v>1751</v>
      </c>
      <c r="O96" s="7" t="s">
        <v>47</v>
      </c>
      <c r="P96" s="7"/>
    </row>
    <row r="97" spans="1:16" x14ac:dyDescent="0.25">
      <c r="A97" s="14">
        <v>44846</v>
      </c>
      <c r="B97" s="14">
        <v>44846</v>
      </c>
      <c r="C97" s="6">
        <v>44846</v>
      </c>
      <c r="D97" s="6">
        <v>44847</v>
      </c>
      <c r="E97" s="6">
        <v>40832</v>
      </c>
      <c r="F97" s="115"/>
      <c r="G97" s="8" t="s">
        <v>1752</v>
      </c>
      <c r="H97" s="8" t="s">
        <v>1753</v>
      </c>
      <c r="I97" s="8">
        <v>69324</v>
      </c>
      <c r="J97" s="8">
        <v>70230</v>
      </c>
      <c r="K97" s="9">
        <f>Tabla156798[[#This Row],[PRECIO CLIENTE]]-Tabla156798[[#This Row],[CANTIDAD PUBLICA]]</f>
        <v>906</v>
      </c>
      <c r="L97" s="10">
        <f>Tabla156798[[#This Row],[COMISION AGENCIA]]*0.05</f>
        <v>45.300000000000004</v>
      </c>
      <c r="M97" s="7"/>
      <c r="N97" s="7" t="s">
        <v>1754</v>
      </c>
      <c r="O97" s="7" t="s">
        <v>1572</v>
      </c>
      <c r="P97" s="7"/>
    </row>
    <row r="98" spans="1:16" x14ac:dyDescent="0.25">
      <c r="A98" s="14">
        <v>44847</v>
      </c>
      <c r="B98" s="14">
        <v>44849</v>
      </c>
      <c r="C98" s="6">
        <v>44847</v>
      </c>
      <c r="D98" s="6">
        <v>44853</v>
      </c>
      <c r="E98" s="6">
        <v>44857</v>
      </c>
      <c r="F98" s="115"/>
      <c r="G98" s="8" t="s">
        <v>1755</v>
      </c>
      <c r="H98" s="8" t="s">
        <v>1602</v>
      </c>
      <c r="I98" s="8">
        <v>16980.41</v>
      </c>
      <c r="J98" s="8">
        <v>14480</v>
      </c>
      <c r="K98" s="9">
        <f>Tabla156798[[#This Row],[CANTIDAD PUBLICA]]*0.05</f>
        <v>849.02050000000008</v>
      </c>
      <c r="L98" s="10">
        <f>Tabla156798[[#This Row],[COMISION AGENCIA]]*0.05</f>
        <v>42.451025000000008</v>
      </c>
      <c r="M98" s="7">
        <v>3481052144</v>
      </c>
      <c r="N98" s="7" t="s">
        <v>1756</v>
      </c>
      <c r="O98" s="7" t="s">
        <v>6</v>
      </c>
      <c r="P98" s="7"/>
    </row>
    <row r="99" spans="1:16" x14ac:dyDescent="0.25">
      <c r="A99" s="14">
        <v>44847</v>
      </c>
      <c r="B99" s="14">
        <v>44847</v>
      </c>
      <c r="C99" s="6">
        <v>44847</v>
      </c>
      <c r="D99" s="6">
        <v>45123</v>
      </c>
      <c r="E99" s="6">
        <v>45127</v>
      </c>
      <c r="F99" s="115"/>
      <c r="G99" s="8" t="s">
        <v>1757</v>
      </c>
      <c r="H99" s="8" t="s">
        <v>1290</v>
      </c>
      <c r="I99" s="8">
        <v>14376</v>
      </c>
      <c r="J99" s="8">
        <v>18000</v>
      </c>
      <c r="K99" s="9">
        <f>Tabla156798[[#This Row],[PRECIO CLIENTE]]-Tabla156798[[#This Row],[CANTIDAD PUBLICA]]</f>
        <v>3624</v>
      </c>
      <c r="L99" s="10">
        <f>Tabla156798[[#This Row],[COMISION AGENCIA]]*0.05</f>
        <v>181.20000000000002</v>
      </c>
      <c r="M99" s="7"/>
      <c r="N99" s="7" t="s">
        <v>1758</v>
      </c>
      <c r="O99" s="7" t="s">
        <v>47</v>
      </c>
      <c r="P99" s="7"/>
    </row>
    <row r="100" spans="1:16" x14ac:dyDescent="0.25">
      <c r="A100" s="14">
        <v>44847</v>
      </c>
      <c r="B100" s="14">
        <v>44847</v>
      </c>
      <c r="C100" s="6">
        <v>44847</v>
      </c>
      <c r="D100" s="6">
        <v>44946</v>
      </c>
      <c r="E100" s="6">
        <v>44951</v>
      </c>
      <c r="F100" s="115">
        <v>22201</v>
      </c>
      <c r="G100" s="8" t="s">
        <v>1759</v>
      </c>
      <c r="H100" s="8" t="s">
        <v>1625</v>
      </c>
      <c r="I100" s="8">
        <v>6020</v>
      </c>
      <c r="J100" s="8">
        <v>7220</v>
      </c>
      <c r="K100" s="9">
        <f>Tabla156798[[#This Row],[PRECIO CLIENTE]]-Tabla156798[[#This Row],[CANTIDAD PUBLICA]]</f>
        <v>1200</v>
      </c>
      <c r="L100" s="10">
        <f>Tabla156798[[#This Row],[COMISION AGENCIA]]*0.05</f>
        <v>60</v>
      </c>
      <c r="M100" s="7"/>
      <c r="N100" s="7" t="s">
        <v>1760</v>
      </c>
      <c r="O100" s="7" t="s">
        <v>47</v>
      </c>
      <c r="P100" s="7"/>
    </row>
    <row r="101" spans="1:16" x14ac:dyDescent="0.25">
      <c r="A101" s="14">
        <v>44847</v>
      </c>
      <c r="B101" s="14">
        <v>44847</v>
      </c>
      <c r="C101" s="6">
        <v>44847</v>
      </c>
      <c r="D101" s="6">
        <v>45123</v>
      </c>
      <c r="E101" s="6">
        <v>45127</v>
      </c>
      <c r="F101" s="115" t="s">
        <v>1761</v>
      </c>
      <c r="G101" s="8" t="s">
        <v>1762</v>
      </c>
      <c r="H101" s="8" t="s">
        <v>1290</v>
      </c>
      <c r="I101" s="8">
        <v>3594</v>
      </c>
      <c r="J101" s="8">
        <v>4500</v>
      </c>
      <c r="K101" s="9">
        <f>Tabla156798[[#This Row],[PRECIO CLIENTE]]-Tabla156798[[#This Row],[CANTIDAD PUBLICA]]</f>
        <v>906</v>
      </c>
      <c r="L101" s="10">
        <f>Tabla156798[[#This Row],[COMISION AGENCIA]]*0.05</f>
        <v>45.300000000000004</v>
      </c>
      <c r="M101" s="7"/>
      <c r="N101" s="7" t="s">
        <v>1763</v>
      </c>
      <c r="O101" s="7" t="s">
        <v>47</v>
      </c>
      <c r="P101" s="7"/>
    </row>
    <row r="102" spans="1:16" x14ac:dyDescent="0.25">
      <c r="A102" s="14">
        <v>44847</v>
      </c>
      <c r="B102" s="14">
        <v>44847</v>
      </c>
      <c r="C102" s="6">
        <v>44847</v>
      </c>
      <c r="D102" s="6">
        <v>44874</v>
      </c>
      <c r="E102" s="6">
        <v>44879</v>
      </c>
      <c r="F102" s="115">
        <v>22205</v>
      </c>
      <c r="G102" s="8" t="s">
        <v>1764</v>
      </c>
      <c r="H102" s="8" t="s">
        <v>1765</v>
      </c>
      <c r="I102" s="8">
        <v>5440</v>
      </c>
      <c r="J102" s="8">
        <v>6090</v>
      </c>
      <c r="K102" s="9">
        <f>Tabla156798[[#This Row],[PRECIO CLIENTE]]-Tabla156798[[#This Row],[CANTIDAD PUBLICA]]</f>
        <v>650</v>
      </c>
      <c r="L102" s="10">
        <f>Tabla156798[[#This Row],[COMISION AGENCIA]]*0.05</f>
        <v>32.5</v>
      </c>
      <c r="M102" s="7"/>
      <c r="N102" s="7" t="s">
        <v>1766</v>
      </c>
      <c r="O102" s="7" t="s">
        <v>47</v>
      </c>
      <c r="P102" s="7"/>
    </row>
    <row r="103" spans="1:16" x14ac:dyDescent="0.25">
      <c r="A103" s="14">
        <f>Tabla156798[[#This Row],[FECHA IN]]-15</f>
        <v>44847</v>
      </c>
      <c r="B103" s="14">
        <v>44842</v>
      </c>
      <c r="C103" s="18">
        <v>44834</v>
      </c>
      <c r="D103" s="6">
        <v>44862</v>
      </c>
      <c r="E103" s="6">
        <v>44864</v>
      </c>
      <c r="F103" s="115">
        <v>22241</v>
      </c>
      <c r="G103" s="8" t="s">
        <v>1767</v>
      </c>
      <c r="H103" s="8" t="s">
        <v>1619</v>
      </c>
      <c r="I103" s="8">
        <v>14218.68</v>
      </c>
      <c r="J103" s="8">
        <v>14540</v>
      </c>
      <c r="K103" s="9">
        <f>Tabla156798[[#This Row],[CANTIDAD PUBLICA]]*0.05</f>
        <v>710.93400000000008</v>
      </c>
      <c r="L103" s="10">
        <f>Tabla156798[[#This Row],[COMISION AGENCIA]]*0.05</f>
        <v>35.546700000000008</v>
      </c>
      <c r="M103" s="7">
        <v>8166471587</v>
      </c>
      <c r="N103" s="7" t="s">
        <v>1768</v>
      </c>
      <c r="O103" s="7" t="s">
        <v>6</v>
      </c>
      <c r="P103" s="62" t="s">
        <v>1769</v>
      </c>
    </row>
    <row r="104" spans="1:16" x14ac:dyDescent="0.25">
      <c r="A104" s="14">
        <f>Tabla156798[[#This Row],[FECHA IN]]-15</f>
        <v>44847</v>
      </c>
      <c r="B104" s="14">
        <v>44842</v>
      </c>
      <c r="C104" s="18">
        <v>44834</v>
      </c>
      <c r="D104" s="6">
        <v>44862</v>
      </c>
      <c r="E104" s="6">
        <v>44864</v>
      </c>
      <c r="F104" s="115">
        <v>22241</v>
      </c>
      <c r="G104" s="8" t="s">
        <v>1770</v>
      </c>
      <c r="H104" s="8" t="s">
        <v>1619</v>
      </c>
      <c r="I104" s="8">
        <v>16198.8</v>
      </c>
      <c r="J104" s="8">
        <v>12860</v>
      </c>
      <c r="K104" s="9">
        <f>Tabla156798[[#This Row],[CANTIDAD PUBLICA]]*0.05</f>
        <v>809.94</v>
      </c>
      <c r="L104" s="10">
        <f>Tabla156798[[#This Row],[COMISION AGENCIA]]*0.05</f>
        <v>40.497000000000007</v>
      </c>
      <c r="M104" s="7">
        <v>8166471587</v>
      </c>
      <c r="N104" s="7" t="s">
        <v>1771</v>
      </c>
      <c r="O104" s="7" t="s">
        <v>6</v>
      </c>
      <c r="P104" s="62"/>
    </row>
    <row r="105" spans="1:16" x14ac:dyDescent="0.25">
      <c r="A105" s="14">
        <v>44848</v>
      </c>
      <c r="B105" s="14">
        <v>44816</v>
      </c>
      <c r="C105" s="6">
        <v>44814</v>
      </c>
      <c r="D105" s="6">
        <v>44833</v>
      </c>
      <c r="E105" s="6">
        <v>44837</v>
      </c>
      <c r="F105" s="115">
        <v>21575</v>
      </c>
      <c r="G105" s="8" t="s">
        <v>1772</v>
      </c>
      <c r="H105" s="158" t="s">
        <v>1773</v>
      </c>
      <c r="I105" s="8">
        <v>31712.400000000001</v>
      </c>
      <c r="J105" s="8">
        <v>27590</v>
      </c>
      <c r="K105" s="9">
        <f>Tabla156798[[#This Row],[CANTIDAD PUBLICA]]*0.05</f>
        <v>1585.6200000000001</v>
      </c>
      <c r="L105" s="10">
        <f>Tabla156798[[#This Row],[COMISION AGENCIA]]*0.05</f>
        <v>79.281000000000006</v>
      </c>
      <c r="M105" s="7">
        <v>3481071134</v>
      </c>
      <c r="N105" s="7" t="s">
        <v>1774</v>
      </c>
      <c r="O105" s="7" t="s">
        <v>6</v>
      </c>
      <c r="P105" s="7"/>
    </row>
    <row r="106" spans="1:16" x14ac:dyDescent="0.25">
      <c r="A106" s="14">
        <v>44848</v>
      </c>
      <c r="B106" s="14">
        <v>44816</v>
      </c>
      <c r="C106" s="6">
        <v>44814</v>
      </c>
      <c r="D106" s="6">
        <v>44833</v>
      </c>
      <c r="E106" s="6">
        <v>44837</v>
      </c>
      <c r="F106" s="115">
        <v>21575</v>
      </c>
      <c r="G106" s="8" t="s">
        <v>1772</v>
      </c>
      <c r="H106" s="8" t="s">
        <v>1775</v>
      </c>
      <c r="I106" s="8">
        <v>3600</v>
      </c>
      <c r="J106" s="8">
        <f>Tabla156798[[#This Row],[CANTIDAD PUBLICA]]*AGENTES!D10</f>
        <v>720</v>
      </c>
      <c r="K106" s="9">
        <f>Tabla156798[[#This Row],[CANTIDAD PUBLICA]]*0.05</f>
        <v>180</v>
      </c>
      <c r="L106" s="10">
        <f>Tabla156798[[#This Row],[COMISION AGENCIA]]*0.05</f>
        <v>9</v>
      </c>
      <c r="M106" s="7">
        <v>3481071134</v>
      </c>
      <c r="N106" s="7"/>
      <c r="O106" s="7" t="s">
        <v>12</v>
      </c>
      <c r="P106" s="7"/>
    </row>
    <row r="107" spans="1:16" x14ac:dyDescent="0.25">
      <c r="A107" s="14">
        <v>44848</v>
      </c>
      <c r="B107" s="14">
        <v>44848</v>
      </c>
      <c r="C107" s="6">
        <v>44848</v>
      </c>
      <c r="D107" s="6">
        <v>44896</v>
      </c>
      <c r="E107" s="7"/>
      <c r="F107" s="115">
        <v>22216</v>
      </c>
      <c r="G107" s="8" t="s">
        <v>1776</v>
      </c>
      <c r="H107" s="8" t="s">
        <v>1777</v>
      </c>
      <c r="I107" s="8">
        <v>2752</v>
      </c>
      <c r="J107" s="8">
        <v>3055</v>
      </c>
      <c r="K107" s="9">
        <f>Tabla156798[[#This Row],[PRECIO CLIENTE]]-Tabla156798[[#This Row],[CANTIDAD PUBLICA]]</f>
        <v>303</v>
      </c>
      <c r="L107" s="10">
        <f>Tabla156798[[#This Row],[COMISION AGENCIA]]*0.05</f>
        <v>15.15</v>
      </c>
      <c r="M107" s="7"/>
      <c r="N107" s="7" t="s">
        <v>1778</v>
      </c>
      <c r="O107" s="7" t="s">
        <v>47</v>
      </c>
      <c r="P107" s="7"/>
    </row>
    <row r="108" spans="1:16" x14ac:dyDescent="0.25">
      <c r="A108" s="14">
        <v>44848</v>
      </c>
      <c r="B108" s="14">
        <v>44848</v>
      </c>
      <c r="C108" s="6">
        <v>44848</v>
      </c>
      <c r="D108" s="6">
        <v>44897</v>
      </c>
      <c r="E108" s="7"/>
      <c r="F108" s="115">
        <v>22216</v>
      </c>
      <c r="G108" s="8" t="s">
        <v>1779</v>
      </c>
      <c r="H108" s="8" t="s">
        <v>1780</v>
      </c>
      <c r="I108" s="8">
        <v>2915</v>
      </c>
      <c r="J108" s="8">
        <v>3215</v>
      </c>
      <c r="K108" s="9">
        <f>Tabla156798[[#This Row],[PRECIO CLIENTE]]-Tabla156798[[#This Row],[CANTIDAD PUBLICA]]</f>
        <v>300</v>
      </c>
      <c r="L108" s="10">
        <f>Tabla156798[[#This Row],[COMISION AGENCIA]]*0.05</f>
        <v>15</v>
      </c>
      <c r="M108" s="7"/>
      <c r="N108" s="7" t="s">
        <v>1781</v>
      </c>
      <c r="O108" s="7" t="s">
        <v>47</v>
      </c>
      <c r="P108" s="7"/>
    </row>
    <row r="109" spans="1:16" x14ac:dyDescent="0.25">
      <c r="A109" s="14">
        <v>44848</v>
      </c>
      <c r="B109" s="14">
        <v>44848</v>
      </c>
      <c r="C109" s="6">
        <v>44848</v>
      </c>
      <c r="D109" s="6">
        <v>44852</v>
      </c>
      <c r="E109" s="6">
        <v>44868</v>
      </c>
      <c r="F109" s="115">
        <v>22223</v>
      </c>
      <c r="G109" s="8" t="s">
        <v>1782</v>
      </c>
      <c r="H109" s="8" t="s">
        <v>1783</v>
      </c>
      <c r="I109" s="8">
        <v>6475</v>
      </c>
      <c r="J109" s="8">
        <v>6775</v>
      </c>
      <c r="K109" s="9">
        <f>Tabla156798[[#This Row],[PRECIO CLIENTE]]-Tabla156798[[#This Row],[CANTIDAD PUBLICA]]</f>
        <v>300</v>
      </c>
      <c r="L109" s="10">
        <f>Tabla156798[[#This Row],[COMISION AGENCIA]]*0.05</f>
        <v>15</v>
      </c>
      <c r="M109" s="7"/>
      <c r="N109" s="7" t="s">
        <v>1784</v>
      </c>
      <c r="O109" s="7" t="s">
        <v>47</v>
      </c>
      <c r="P109" s="7"/>
    </row>
    <row r="110" spans="1:16" x14ac:dyDescent="0.25">
      <c r="A110" s="14">
        <v>44848</v>
      </c>
      <c r="B110" s="14">
        <v>44848</v>
      </c>
      <c r="C110" s="6">
        <v>44848</v>
      </c>
      <c r="D110" s="6">
        <v>44853</v>
      </c>
      <c r="E110" s="6">
        <v>44856</v>
      </c>
      <c r="F110" s="115">
        <v>22229</v>
      </c>
      <c r="G110" s="8" t="s">
        <v>1785</v>
      </c>
      <c r="H110" s="8" t="s">
        <v>1544</v>
      </c>
      <c r="I110" s="8">
        <v>4517</v>
      </c>
      <c r="J110" s="8">
        <v>4920</v>
      </c>
      <c r="K110" s="9">
        <f>Tabla156798[[#This Row],[PRECIO CLIENTE]]-Tabla156798[[#This Row],[CANTIDAD PUBLICA]]</f>
        <v>403</v>
      </c>
      <c r="L110" s="10">
        <f>Tabla156798[[#This Row],[COMISION AGENCIA]]*0.05</f>
        <v>20.150000000000002</v>
      </c>
      <c r="M110" s="7"/>
      <c r="N110" s="7" t="s">
        <v>1786</v>
      </c>
      <c r="O110" s="7" t="s">
        <v>47</v>
      </c>
      <c r="P110" s="7"/>
    </row>
    <row r="111" spans="1:16" x14ac:dyDescent="0.25">
      <c r="A111" s="14">
        <v>44848</v>
      </c>
      <c r="B111" s="14">
        <v>44848</v>
      </c>
      <c r="C111" s="6">
        <v>44848</v>
      </c>
      <c r="D111" s="6">
        <v>44851</v>
      </c>
      <c r="E111" s="7"/>
      <c r="F111" s="115">
        <v>22236</v>
      </c>
      <c r="G111" s="8" t="s">
        <v>1787</v>
      </c>
      <c r="H111" s="8" t="s">
        <v>1788</v>
      </c>
      <c r="I111" s="8">
        <v>4899</v>
      </c>
      <c r="J111" s="8">
        <v>5200</v>
      </c>
      <c r="K111" s="9">
        <f>Tabla156798[[#This Row],[PRECIO CLIENTE]]-Tabla156798[[#This Row],[CANTIDAD PUBLICA]]</f>
        <v>301</v>
      </c>
      <c r="L111" s="10">
        <f>Tabla156798[[#This Row],[COMISION AGENCIA]]*0.05</f>
        <v>15.05</v>
      </c>
      <c r="M111" s="7"/>
      <c r="N111" s="7" t="s">
        <v>1789</v>
      </c>
      <c r="O111" s="7" t="s">
        <v>47</v>
      </c>
      <c r="P111" s="7"/>
    </row>
    <row r="112" spans="1:16" x14ac:dyDescent="0.25">
      <c r="A112" s="14">
        <v>44848</v>
      </c>
      <c r="B112" s="14">
        <v>44848</v>
      </c>
      <c r="C112" s="6">
        <v>44848</v>
      </c>
      <c r="D112" s="6">
        <v>44901</v>
      </c>
      <c r="E112" s="7"/>
      <c r="F112" s="115">
        <v>22210</v>
      </c>
      <c r="G112" s="8" t="s">
        <v>1790</v>
      </c>
      <c r="H112" s="8" t="s">
        <v>1791</v>
      </c>
      <c r="I112" s="8">
        <v>3132</v>
      </c>
      <c r="J112" s="8">
        <v>3740</v>
      </c>
      <c r="K112" s="9">
        <f>Tabla156798[[#This Row],[PRECIO CLIENTE]]-Tabla156798[[#This Row],[CANTIDAD PUBLICA]]</f>
        <v>608</v>
      </c>
      <c r="L112" s="10">
        <f>Tabla156798[[#This Row],[COMISION AGENCIA]]*0.05</f>
        <v>30.400000000000002</v>
      </c>
      <c r="M112" s="7"/>
      <c r="N112" s="7" t="s">
        <v>1792</v>
      </c>
      <c r="O112" s="7" t="s">
        <v>47</v>
      </c>
      <c r="P112" s="7"/>
    </row>
    <row r="113" spans="1:16" x14ac:dyDescent="0.25">
      <c r="A113" s="14">
        <v>44850</v>
      </c>
      <c r="B113" s="14">
        <v>44816</v>
      </c>
      <c r="C113" s="6">
        <v>44810</v>
      </c>
      <c r="D113" s="6">
        <v>44865</v>
      </c>
      <c r="E113" s="6">
        <v>44869</v>
      </c>
      <c r="F113" s="115" t="s">
        <v>1793</v>
      </c>
      <c r="G113" s="8" t="s">
        <v>1794</v>
      </c>
      <c r="H113" s="8" t="s">
        <v>1795</v>
      </c>
      <c r="I113" s="8">
        <f>13427.92+480</f>
        <v>13907.92</v>
      </c>
      <c r="J113" s="8">
        <v>12165</v>
      </c>
      <c r="K113" s="9">
        <f>Tabla156798[[#This Row],[CANTIDAD PUBLICA]]*0.05</f>
        <v>695.39600000000007</v>
      </c>
      <c r="L113" s="10">
        <f>Tabla156798[[#This Row],[COMISION AGENCIA]]*0.05</f>
        <v>34.769800000000004</v>
      </c>
      <c r="M113" s="7">
        <v>3481149353</v>
      </c>
      <c r="N113" s="7" t="s">
        <v>1796</v>
      </c>
      <c r="O113" s="7" t="s">
        <v>6</v>
      </c>
      <c r="P113" s="7"/>
    </row>
    <row r="114" spans="1:16" x14ac:dyDescent="0.25">
      <c r="A114" s="14">
        <v>44850</v>
      </c>
      <c r="B114" s="14">
        <v>44816</v>
      </c>
      <c r="C114" s="6">
        <v>44810</v>
      </c>
      <c r="D114" s="6">
        <v>44865</v>
      </c>
      <c r="E114" s="6">
        <v>44869</v>
      </c>
      <c r="F114" s="115" t="s">
        <v>1793</v>
      </c>
      <c r="G114" s="8" t="s">
        <v>1797</v>
      </c>
      <c r="H114" s="8" t="s">
        <v>1795</v>
      </c>
      <c r="I114" s="8">
        <f>13427.92+480</f>
        <v>13907.92</v>
      </c>
      <c r="J114" s="8">
        <v>12165</v>
      </c>
      <c r="K114" s="9">
        <f>Tabla156798[[#This Row],[CANTIDAD PUBLICA]]*0.05</f>
        <v>695.39600000000007</v>
      </c>
      <c r="L114" s="10">
        <f>Tabla156798[[#This Row],[COMISION AGENCIA]]*0.05</f>
        <v>34.769800000000004</v>
      </c>
      <c r="M114" s="7">
        <v>3481149353</v>
      </c>
      <c r="N114" s="7" t="s">
        <v>1798</v>
      </c>
      <c r="O114" s="7" t="s">
        <v>6</v>
      </c>
      <c r="P114" s="7"/>
    </row>
    <row r="115" spans="1:16" x14ac:dyDescent="0.25">
      <c r="A115" s="14">
        <v>44850</v>
      </c>
      <c r="B115" s="14">
        <v>44850</v>
      </c>
      <c r="C115" s="6">
        <v>44850</v>
      </c>
      <c r="D115" s="6">
        <v>44852</v>
      </c>
      <c r="E115" s="7"/>
      <c r="F115" s="115">
        <v>22255</v>
      </c>
      <c r="G115" s="8" t="s">
        <v>1799</v>
      </c>
      <c r="H115" s="8" t="s">
        <v>1800</v>
      </c>
      <c r="I115" s="8">
        <v>3139</v>
      </c>
      <c r="J115" s="8">
        <v>3440</v>
      </c>
      <c r="K115" s="9">
        <f>Tabla156798[[#This Row],[PRECIO CLIENTE]]-Tabla156798[[#This Row],[CANTIDAD PUBLICA]]</f>
        <v>301</v>
      </c>
      <c r="L115" s="10">
        <f>Tabla156798[[#This Row],[COMISION AGENCIA]]*0.05</f>
        <v>15.05</v>
      </c>
      <c r="M115" s="7"/>
      <c r="N115" s="7" t="s">
        <v>1801</v>
      </c>
      <c r="O115" s="7" t="s">
        <v>47</v>
      </c>
      <c r="P115" s="7"/>
    </row>
    <row r="116" spans="1:16" x14ac:dyDescent="0.25">
      <c r="A116" s="14">
        <v>44851</v>
      </c>
      <c r="B116" s="14">
        <v>44851</v>
      </c>
      <c r="C116" s="6">
        <v>44851</v>
      </c>
      <c r="D116" s="6">
        <v>44859</v>
      </c>
      <c r="E116" s="6">
        <v>44860</v>
      </c>
      <c r="F116" s="115">
        <v>22304</v>
      </c>
      <c r="G116" s="8" t="s">
        <v>1543</v>
      </c>
      <c r="H116" s="8" t="s">
        <v>1544</v>
      </c>
      <c r="I116" s="8">
        <v>7173</v>
      </c>
      <c r="J116" s="8">
        <v>7510</v>
      </c>
      <c r="K116" s="9">
        <f>Tabla156798[[#This Row],[PRECIO CLIENTE]]-Tabla156798[[#This Row],[CANTIDAD PUBLICA]]</f>
        <v>337</v>
      </c>
      <c r="L116" s="10">
        <f>Tabla156798[[#This Row],[COMISION AGENCIA]]*0.05</f>
        <v>16.850000000000001</v>
      </c>
      <c r="M116" s="7"/>
      <c r="N116" s="7" t="s">
        <v>1802</v>
      </c>
      <c r="O116" s="7" t="s">
        <v>47</v>
      </c>
      <c r="P116" s="7"/>
    </row>
    <row r="117" spans="1:16" x14ac:dyDescent="0.25">
      <c r="A117" s="14">
        <v>44851</v>
      </c>
      <c r="B117" s="14">
        <v>44851</v>
      </c>
      <c r="C117" s="6">
        <v>44851</v>
      </c>
      <c r="D117" s="6">
        <v>44856</v>
      </c>
      <c r="E117" s="6">
        <v>44857</v>
      </c>
      <c r="F117" s="115" t="s">
        <v>1803</v>
      </c>
      <c r="G117" s="8" t="s">
        <v>1804</v>
      </c>
      <c r="H117" s="8" t="s">
        <v>1805</v>
      </c>
      <c r="I117" s="8">
        <v>10482</v>
      </c>
      <c r="J117" s="8">
        <v>11100</v>
      </c>
      <c r="K117" s="9">
        <f>Tabla156798[[#This Row],[PRECIO CLIENTE]]-Tabla156798[[#This Row],[CANTIDAD PUBLICA]]</f>
        <v>618</v>
      </c>
      <c r="L117" s="10">
        <f>Tabla156798[[#This Row],[COMISION AGENCIA]]*0.05</f>
        <v>30.900000000000002</v>
      </c>
      <c r="M117" s="7"/>
      <c r="N117" s="7" t="s">
        <v>1806</v>
      </c>
      <c r="O117" s="7" t="s">
        <v>86</v>
      </c>
      <c r="P117" s="7"/>
    </row>
    <row r="118" spans="1:16" x14ac:dyDescent="0.25">
      <c r="A118" s="14">
        <v>44851</v>
      </c>
      <c r="B118" s="14">
        <v>44851</v>
      </c>
      <c r="C118" s="6">
        <v>44851</v>
      </c>
      <c r="D118" s="6">
        <v>44882</v>
      </c>
      <c r="E118" s="6">
        <v>44891</v>
      </c>
      <c r="F118" s="115">
        <v>22277</v>
      </c>
      <c r="G118" s="8" t="s">
        <v>1807</v>
      </c>
      <c r="H118" s="8" t="s">
        <v>1808</v>
      </c>
      <c r="I118" s="8">
        <v>18156</v>
      </c>
      <c r="J118" s="8">
        <v>22100</v>
      </c>
      <c r="K118" s="9">
        <f>Tabla156798[[#This Row],[PRECIO CLIENTE]]-Tabla156798[[#This Row],[CANTIDAD PUBLICA]]</f>
        <v>3944</v>
      </c>
      <c r="L118" s="10">
        <f>Tabla156798[[#This Row],[COMISION AGENCIA]]*0.05</f>
        <v>197.20000000000002</v>
      </c>
      <c r="M118" s="7"/>
      <c r="N118" s="7" t="s">
        <v>1809</v>
      </c>
      <c r="O118" s="7" t="s">
        <v>47</v>
      </c>
      <c r="P118" s="7"/>
    </row>
    <row r="119" spans="1:16" x14ac:dyDescent="0.25">
      <c r="A119" s="14">
        <v>44851</v>
      </c>
      <c r="B119" s="14">
        <v>44851</v>
      </c>
      <c r="C119" s="6">
        <v>44851</v>
      </c>
      <c r="D119" s="6">
        <v>44899</v>
      </c>
      <c r="E119" s="6">
        <v>44566</v>
      </c>
      <c r="F119" s="115">
        <v>22287</v>
      </c>
      <c r="G119" s="8" t="s">
        <v>1810</v>
      </c>
      <c r="H119" s="8" t="s">
        <v>1811</v>
      </c>
      <c r="I119" s="8">
        <v>16836</v>
      </c>
      <c r="J119" s="8">
        <v>17340</v>
      </c>
      <c r="K119" s="9">
        <f>Tabla156798[[#This Row],[PRECIO CLIENTE]]-Tabla156798[[#This Row],[CANTIDAD PUBLICA]]</f>
        <v>504</v>
      </c>
      <c r="L119" s="10">
        <f>Tabla156798[[#This Row],[COMISION AGENCIA]]*0.05</f>
        <v>25.200000000000003</v>
      </c>
      <c r="M119" s="7"/>
      <c r="N119" s="7" t="s">
        <v>1812</v>
      </c>
      <c r="O119" s="7" t="s">
        <v>47</v>
      </c>
      <c r="P119" s="7"/>
    </row>
    <row r="120" spans="1:16" x14ac:dyDescent="0.25">
      <c r="A120" s="14">
        <v>44852</v>
      </c>
      <c r="B120" s="14">
        <v>44852</v>
      </c>
      <c r="C120" s="6">
        <v>44852</v>
      </c>
      <c r="D120" s="6">
        <v>44907</v>
      </c>
      <c r="E120" s="6">
        <v>44911</v>
      </c>
      <c r="F120" s="115">
        <v>22294</v>
      </c>
      <c r="G120" s="8" t="s">
        <v>1813</v>
      </c>
      <c r="H120" s="8" t="s">
        <v>1290</v>
      </c>
      <c r="I120" s="8">
        <v>8208</v>
      </c>
      <c r="J120" s="8">
        <v>9100</v>
      </c>
      <c r="K120" s="9">
        <f>Tabla156798[[#This Row],[PRECIO CLIENTE]]-Tabla156798[[#This Row],[CANTIDAD PUBLICA]]</f>
        <v>892</v>
      </c>
      <c r="L120" s="10">
        <f>Tabla156798[[#This Row],[COMISION AGENCIA]]*0.05</f>
        <v>44.6</v>
      </c>
      <c r="M120" s="7"/>
      <c r="N120" s="7" t="s">
        <v>1814</v>
      </c>
      <c r="O120" s="7" t="s">
        <v>47</v>
      </c>
      <c r="P120" s="7"/>
    </row>
    <row r="121" spans="1:16" x14ac:dyDescent="0.25">
      <c r="A121" s="14">
        <v>44852</v>
      </c>
      <c r="B121" s="14">
        <v>44852</v>
      </c>
      <c r="C121" s="6">
        <v>44852</v>
      </c>
      <c r="D121" s="6">
        <v>44912</v>
      </c>
      <c r="E121" s="6">
        <v>44928</v>
      </c>
      <c r="F121" s="115">
        <v>22303</v>
      </c>
      <c r="G121" s="8" t="s">
        <v>1815</v>
      </c>
      <c r="H121" s="8" t="s">
        <v>1816</v>
      </c>
      <c r="I121" s="8">
        <v>57859</v>
      </c>
      <c r="J121" s="8">
        <v>61240</v>
      </c>
      <c r="K121" s="9">
        <f>Tabla156798[[#This Row],[PRECIO CLIENTE]]-Tabla156798[[#This Row],[CANTIDAD PUBLICA]]</f>
        <v>3381</v>
      </c>
      <c r="L121" s="10">
        <f>Tabla156798[[#This Row],[COMISION AGENCIA]]*0.05</f>
        <v>169.05</v>
      </c>
      <c r="M121" s="7"/>
      <c r="N121" s="7" t="s">
        <v>1817</v>
      </c>
      <c r="O121" s="7" t="s">
        <v>47</v>
      </c>
      <c r="P121" s="7"/>
    </row>
    <row r="122" spans="1:16" x14ac:dyDescent="0.25">
      <c r="A122" s="14">
        <v>44852</v>
      </c>
      <c r="B122" s="14">
        <v>44852</v>
      </c>
      <c r="C122" s="6">
        <v>44852</v>
      </c>
      <c r="D122" s="6">
        <v>44858</v>
      </c>
      <c r="E122" s="7"/>
      <c r="F122" s="115">
        <v>22305</v>
      </c>
      <c r="G122" s="8" t="s">
        <v>1818</v>
      </c>
      <c r="H122" s="8" t="s">
        <v>1532</v>
      </c>
      <c r="I122" s="8">
        <v>9770</v>
      </c>
      <c r="J122" s="8">
        <v>10610</v>
      </c>
      <c r="K122" s="9">
        <f>Tabla156798[[#This Row],[PRECIO CLIENTE]]-Tabla156798[[#This Row],[CANTIDAD PUBLICA]]</f>
        <v>840</v>
      </c>
      <c r="L122" s="10">
        <f>Tabla156798[[#This Row],[COMISION AGENCIA]]*0.05</f>
        <v>42</v>
      </c>
      <c r="M122" s="7"/>
      <c r="N122" s="7" t="s">
        <v>1819</v>
      </c>
      <c r="O122" s="7" t="s">
        <v>47</v>
      </c>
      <c r="P122" s="7"/>
    </row>
    <row r="123" spans="1:16" x14ac:dyDescent="0.25">
      <c r="A123" s="14">
        <v>44852</v>
      </c>
      <c r="B123" s="14">
        <v>44852</v>
      </c>
      <c r="C123" s="6">
        <v>44852</v>
      </c>
      <c r="D123" s="6">
        <v>44890</v>
      </c>
      <c r="E123" s="6">
        <v>44898</v>
      </c>
      <c r="F123" s="115">
        <v>22360</v>
      </c>
      <c r="G123" s="8" t="s">
        <v>1820</v>
      </c>
      <c r="H123" s="8" t="s">
        <v>1821</v>
      </c>
      <c r="I123" s="8">
        <v>13376</v>
      </c>
      <c r="J123" s="8">
        <v>14290</v>
      </c>
      <c r="K123" s="9">
        <f>Tabla156798[[#This Row],[PRECIO CLIENTE]]-Tabla156798[[#This Row],[CANTIDAD PUBLICA]]</f>
        <v>914</v>
      </c>
      <c r="L123" s="10">
        <f>Tabla156798[[#This Row],[COMISION AGENCIA]]*0.05</f>
        <v>45.7</v>
      </c>
      <c r="M123" s="7"/>
      <c r="N123" s="7" t="s">
        <v>1822</v>
      </c>
      <c r="O123" s="7" t="s">
        <v>47</v>
      </c>
      <c r="P123" s="7"/>
    </row>
    <row r="124" spans="1:16" x14ac:dyDescent="0.25">
      <c r="A124" s="14">
        <v>44852</v>
      </c>
      <c r="B124" s="14">
        <v>44852</v>
      </c>
      <c r="C124" s="6">
        <v>44852</v>
      </c>
      <c r="D124" s="6">
        <v>44865</v>
      </c>
      <c r="E124" s="7"/>
      <c r="F124" s="115">
        <v>22316</v>
      </c>
      <c r="G124" s="8" t="s">
        <v>1823</v>
      </c>
      <c r="H124" s="8" t="s">
        <v>1824</v>
      </c>
      <c r="I124" s="8">
        <v>19140</v>
      </c>
      <c r="J124" s="8">
        <v>17820</v>
      </c>
      <c r="K124" s="9">
        <f>Tabla156798[[#This Row],[CANTIDAD PUBLICA]]*AGENTES!D6</f>
        <v>1339.8</v>
      </c>
      <c r="L124" s="10">
        <f>Tabla156798[[#This Row],[COMISION AGENCIA]]*0.05</f>
        <v>66.989999999999995</v>
      </c>
      <c r="M124" s="7"/>
      <c r="N124" s="7" t="s">
        <v>1825</v>
      </c>
      <c r="O124" s="7" t="s">
        <v>1826</v>
      </c>
      <c r="P124" s="7"/>
    </row>
    <row r="125" spans="1:16" x14ac:dyDescent="0.25">
      <c r="A125" s="14">
        <v>44853</v>
      </c>
      <c r="B125" s="14">
        <v>44853</v>
      </c>
      <c r="C125" s="6">
        <v>44853</v>
      </c>
      <c r="D125" s="6">
        <v>44856</v>
      </c>
      <c r="E125" s="6">
        <v>44867</v>
      </c>
      <c r="F125" s="115">
        <v>22324</v>
      </c>
      <c r="G125" s="8" t="s">
        <v>1827</v>
      </c>
      <c r="H125" s="8" t="s">
        <v>1544</v>
      </c>
      <c r="I125" s="8">
        <v>5522</v>
      </c>
      <c r="J125" s="8">
        <v>6325</v>
      </c>
      <c r="K125" s="9">
        <f>Tabla156798[[#This Row],[PRECIO CLIENTE]]-Tabla156798[[#This Row],[CANTIDAD PUBLICA]]</f>
        <v>803</v>
      </c>
      <c r="L125" s="10">
        <f>Tabla156798[[#This Row],[COMISION AGENCIA]]*0.05</f>
        <v>40.150000000000006</v>
      </c>
      <c r="M125" s="7"/>
      <c r="N125" s="7" t="s">
        <v>1828</v>
      </c>
      <c r="O125" s="7" t="s">
        <v>47</v>
      </c>
      <c r="P125" s="7"/>
    </row>
    <row r="126" spans="1:16" x14ac:dyDescent="0.25">
      <c r="A126" s="14">
        <v>44853</v>
      </c>
      <c r="B126" s="14">
        <v>44853</v>
      </c>
      <c r="C126" s="6">
        <v>44853</v>
      </c>
      <c r="D126" s="6">
        <v>44856</v>
      </c>
      <c r="E126" s="7"/>
      <c r="F126" s="115">
        <v>22324</v>
      </c>
      <c r="G126" s="8" t="s">
        <v>1829</v>
      </c>
      <c r="H126" s="8" t="s">
        <v>1544</v>
      </c>
      <c r="I126" s="8">
        <v>3252</v>
      </c>
      <c r="J126" s="8">
        <v>3600</v>
      </c>
      <c r="K126" s="9">
        <f>Tabla156798[[#This Row],[PRECIO CLIENTE]]-Tabla156798[[#This Row],[CANTIDAD PUBLICA]]</f>
        <v>348</v>
      </c>
      <c r="L126" s="10">
        <f>Tabla156798[[#This Row],[COMISION AGENCIA]]*0.05</f>
        <v>17.400000000000002</v>
      </c>
      <c r="M126" s="7"/>
      <c r="N126" s="7" t="s">
        <v>1830</v>
      </c>
      <c r="O126" s="7" t="s">
        <v>47</v>
      </c>
      <c r="P126" s="7"/>
    </row>
    <row r="127" spans="1:16" x14ac:dyDescent="0.25">
      <c r="A127" s="14">
        <v>44853</v>
      </c>
      <c r="B127" s="14">
        <v>44853</v>
      </c>
      <c r="C127" s="6">
        <v>44853</v>
      </c>
      <c r="D127" s="6">
        <v>44857</v>
      </c>
      <c r="E127" s="7"/>
      <c r="F127" s="115" t="s">
        <v>1831</v>
      </c>
      <c r="G127" s="8" t="s">
        <v>1832</v>
      </c>
      <c r="H127" s="8" t="s">
        <v>1833</v>
      </c>
      <c r="I127" s="8">
        <v>3727</v>
      </c>
      <c r="J127" s="8">
        <v>4090</v>
      </c>
      <c r="K127" s="9">
        <f>Tabla156798[[#This Row],[PRECIO CLIENTE]]-Tabla156798[[#This Row],[CANTIDAD PUBLICA]]</f>
        <v>363</v>
      </c>
      <c r="L127" s="10">
        <f>Tabla156798[[#This Row],[COMISION AGENCIA]]*0.05</f>
        <v>18.150000000000002</v>
      </c>
      <c r="M127" s="7"/>
      <c r="N127" s="7" t="s">
        <v>1834</v>
      </c>
      <c r="O127" s="7" t="s">
        <v>47</v>
      </c>
      <c r="P127" s="7"/>
    </row>
    <row r="128" spans="1:16" x14ac:dyDescent="0.25">
      <c r="A128" s="14">
        <v>44854</v>
      </c>
      <c r="B128" s="14">
        <v>44854</v>
      </c>
      <c r="C128" s="6">
        <v>44854</v>
      </c>
      <c r="D128" s="6">
        <v>44872</v>
      </c>
      <c r="E128" s="6">
        <v>44875</v>
      </c>
      <c r="F128" s="115">
        <v>22356</v>
      </c>
      <c r="G128" s="8" t="s">
        <v>1543</v>
      </c>
      <c r="H128" s="8" t="s">
        <v>1805</v>
      </c>
      <c r="I128" s="8">
        <v>4176</v>
      </c>
      <c r="J128" s="8">
        <v>4780</v>
      </c>
      <c r="K128" s="9">
        <f>Tabla156798[[#This Row],[PRECIO CLIENTE]]-Tabla156798[[#This Row],[CANTIDAD PUBLICA]]</f>
        <v>604</v>
      </c>
      <c r="L128" s="10">
        <f>Tabla156798[[#This Row],[COMISION AGENCIA]]*0.05</f>
        <v>30.200000000000003</v>
      </c>
      <c r="M128" s="7"/>
      <c r="N128" s="7" t="s">
        <v>1835</v>
      </c>
      <c r="O128" s="7" t="s">
        <v>47</v>
      </c>
      <c r="P128" s="7"/>
    </row>
    <row r="129" spans="1:16" x14ac:dyDescent="0.25">
      <c r="A129" s="14">
        <v>44854</v>
      </c>
      <c r="B129" s="14">
        <v>44854</v>
      </c>
      <c r="C129" s="6">
        <v>44854</v>
      </c>
      <c r="D129" s="6">
        <v>44906</v>
      </c>
      <c r="E129" s="6">
        <v>44581</v>
      </c>
      <c r="F129" s="115">
        <v>22350</v>
      </c>
      <c r="G129" s="8" t="s">
        <v>1836</v>
      </c>
      <c r="H129" s="8" t="s">
        <v>1837</v>
      </c>
      <c r="I129" s="8">
        <v>50881</v>
      </c>
      <c r="J129" s="8">
        <v>52385</v>
      </c>
      <c r="K129" s="9">
        <f>Tabla156798[[#This Row],[PRECIO CLIENTE]]-Tabla156798[[#This Row],[CANTIDAD PUBLICA]]</f>
        <v>1504</v>
      </c>
      <c r="L129" s="10">
        <f>Tabla156798[[#This Row],[COMISION AGENCIA]]*0.05</f>
        <v>75.2</v>
      </c>
      <c r="M129" s="7"/>
      <c r="N129" s="7" t="s">
        <v>1838</v>
      </c>
      <c r="O129" s="7" t="s">
        <v>47</v>
      </c>
      <c r="P129" s="7"/>
    </row>
    <row r="130" spans="1:16" x14ac:dyDescent="0.25">
      <c r="A130" s="14">
        <v>44854</v>
      </c>
      <c r="B130" s="14">
        <v>44854</v>
      </c>
      <c r="C130" s="6">
        <v>44854</v>
      </c>
      <c r="D130" s="6">
        <v>44915</v>
      </c>
      <c r="E130" s="7"/>
      <c r="F130" s="115">
        <v>22355</v>
      </c>
      <c r="G130" s="8" t="s">
        <v>1839</v>
      </c>
      <c r="H130" s="8" t="s">
        <v>1811</v>
      </c>
      <c r="I130" s="8">
        <v>15977</v>
      </c>
      <c r="J130" s="8">
        <v>16580</v>
      </c>
      <c r="K130" s="9">
        <f>Tabla156798[[#This Row],[PRECIO CLIENTE]]-Tabla156798[[#This Row],[CANTIDAD PUBLICA]]</f>
        <v>603</v>
      </c>
      <c r="L130" s="10">
        <f>Tabla156798[[#This Row],[COMISION AGENCIA]]*0.05</f>
        <v>30.150000000000002</v>
      </c>
      <c r="M130" s="7"/>
      <c r="N130" s="7" t="s">
        <v>1840</v>
      </c>
      <c r="O130" s="7" t="s">
        <v>47</v>
      </c>
      <c r="P130" s="7"/>
    </row>
    <row r="131" spans="1:16" x14ac:dyDescent="0.25">
      <c r="A131" s="14">
        <v>44854</v>
      </c>
      <c r="B131" s="14">
        <v>44854</v>
      </c>
      <c r="C131" s="6">
        <v>44854</v>
      </c>
      <c r="D131" s="6">
        <v>44887</v>
      </c>
      <c r="E131" s="7"/>
      <c r="F131" s="115"/>
      <c r="G131" s="8" t="s">
        <v>1841</v>
      </c>
      <c r="H131" s="8" t="s">
        <v>1541</v>
      </c>
      <c r="I131" s="8">
        <v>3248</v>
      </c>
      <c r="J131" s="8">
        <v>3600</v>
      </c>
      <c r="K131" s="9">
        <f>Tabla156798[[#This Row],[PRECIO CLIENTE]]-Tabla156798[[#This Row],[CANTIDAD PUBLICA]]</f>
        <v>352</v>
      </c>
      <c r="L131" s="10">
        <f>Tabla156798[[#This Row],[COMISION AGENCIA]]*0.05</f>
        <v>17.600000000000001</v>
      </c>
      <c r="M131" s="7"/>
      <c r="N131" s="7" t="s">
        <v>1842</v>
      </c>
      <c r="O131" s="7" t="s">
        <v>47</v>
      </c>
      <c r="P131" s="7"/>
    </row>
    <row r="132" spans="1:16" x14ac:dyDescent="0.25">
      <c r="A132" s="14">
        <v>44854</v>
      </c>
      <c r="B132" s="14">
        <v>44854</v>
      </c>
      <c r="C132" s="6">
        <v>44854</v>
      </c>
      <c r="D132" s="6">
        <v>44871</v>
      </c>
      <c r="E132" s="7"/>
      <c r="F132" s="115"/>
      <c r="G132" s="8" t="s">
        <v>1841</v>
      </c>
      <c r="H132" s="8" t="s">
        <v>1843</v>
      </c>
      <c r="I132" s="8">
        <v>2202</v>
      </c>
      <c r="J132" s="8">
        <v>3885</v>
      </c>
      <c r="K132" s="9">
        <f>Tabla156798[[#This Row],[PRECIO CLIENTE]]-Tabla156798[[#This Row],[CANTIDAD PUBLICA]]</f>
        <v>1683</v>
      </c>
      <c r="L132" s="10">
        <f>Tabla156798[[#This Row],[COMISION AGENCIA]]*0.05</f>
        <v>84.15</v>
      </c>
      <c r="M132" s="7"/>
      <c r="N132" s="7" t="s">
        <v>1844</v>
      </c>
      <c r="O132" s="7" t="s">
        <v>47</v>
      </c>
      <c r="P132" s="7"/>
    </row>
    <row r="133" spans="1:16" x14ac:dyDescent="0.25">
      <c r="A133" s="14">
        <v>44854</v>
      </c>
      <c r="B133" s="14">
        <v>44854</v>
      </c>
      <c r="C133" s="6">
        <v>44854</v>
      </c>
      <c r="D133" s="6">
        <v>44863</v>
      </c>
      <c r="E133" s="7"/>
      <c r="F133" s="115">
        <v>22361</v>
      </c>
      <c r="G133" s="8" t="s">
        <v>1845</v>
      </c>
      <c r="H133" s="8" t="s">
        <v>1846</v>
      </c>
      <c r="I133" s="8">
        <v>16933</v>
      </c>
      <c r="J133" s="8">
        <v>19800</v>
      </c>
      <c r="K133" s="9">
        <f>Tabla156798[[#This Row],[PRECIO CLIENTE]]-Tabla156798[[#This Row],[CANTIDAD PUBLICA]]</f>
        <v>2867</v>
      </c>
      <c r="L133" s="10">
        <f>Tabla156798[[#This Row],[COMISION AGENCIA]]*0.05</f>
        <v>143.35</v>
      </c>
      <c r="M133" s="7"/>
      <c r="N133" s="7" t="s">
        <v>1847</v>
      </c>
      <c r="O133" s="7" t="s">
        <v>47</v>
      </c>
      <c r="P133" s="7"/>
    </row>
    <row r="134" spans="1:16" x14ac:dyDescent="0.25">
      <c r="A134" s="14">
        <v>44854</v>
      </c>
      <c r="B134" s="14">
        <v>44854</v>
      </c>
      <c r="C134" s="6">
        <v>44854</v>
      </c>
      <c r="D134" s="6">
        <v>45123</v>
      </c>
      <c r="E134" s="6">
        <v>45127</v>
      </c>
      <c r="F134" s="115">
        <v>22357</v>
      </c>
      <c r="G134" s="8" t="s">
        <v>1848</v>
      </c>
      <c r="H134" s="8" t="s">
        <v>1290</v>
      </c>
      <c r="I134" s="8">
        <v>4818</v>
      </c>
      <c r="J134" s="8">
        <v>5560</v>
      </c>
      <c r="K134" s="9">
        <f>Tabla156798[[#This Row],[PRECIO CLIENTE]]-Tabla156798[[#This Row],[CANTIDAD PUBLICA]]</f>
        <v>742</v>
      </c>
      <c r="L134" s="10">
        <f>Tabla156798[[#This Row],[COMISION AGENCIA]]*0.05</f>
        <v>37.1</v>
      </c>
      <c r="M134" s="7"/>
      <c r="N134" s="7" t="s">
        <v>1849</v>
      </c>
      <c r="O134" s="7" t="s">
        <v>47</v>
      </c>
      <c r="P134" s="7"/>
    </row>
    <row r="135" spans="1:16" x14ac:dyDescent="0.25">
      <c r="A135" s="14">
        <f>Tabla156798[[#This Row],[FECHA IN]]-15</f>
        <v>44855</v>
      </c>
      <c r="B135" s="14">
        <v>44865</v>
      </c>
      <c r="C135" s="6">
        <v>44861</v>
      </c>
      <c r="D135" s="6">
        <v>44870</v>
      </c>
      <c r="E135" s="6">
        <v>44872</v>
      </c>
      <c r="F135" s="115">
        <v>22456</v>
      </c>
      <c r="G135" s="8" t="s">
        <v>1850</v>
      </c>
      <c r="H135" s="8" t="s">
        <v>1851</v>
      </c>
      <c r="I135" s="8">
        <v>15888.44</v>
      </c>
      <c r="J135" s="8">
        <v>13875</v>
      </c>
      <c r="K135" s="9">
        <f>Tabla156798[[#This Row],[CANTIDAD PUBLICA]]*0.05</f>
        <v>794.42200000000003</v>
      </c>
      <c r="L135" s="10">
        <f>Tabla156798[[#This Row],[COMISION AGENCIA]]*0.05</f>
        <v>39.721100000000007</v>
      </c>
      <c r="M135" s="7">
        <v>3317442494</v>
      </c>
      <c r="N135" s="7" t="s">
        <v>1852</v>
      </c>
      <c r="O135" s="7" t="s">
        <v>6</v>
      </c>
      <c r="P135" s="7"/>
    </row>
    <row r="136" spans="1:16" x14ac:dyDescent="0.25">
      <c r="A136" s="14">
        <f>Tabla156798[[#This Row],[FECHA IN]]-15</f>
        <v>44855</v>
      </c>
      <c r="B136" s="14">
        <v>44865</v>
      </c>
      <c r="C136" s="6">
        <v>44861</v>
      </c>
      <c r="D136" s="6">
        <v>44870</v>
      </c>
      <c r="E136" s="6">
        <v>44872</v>
      </c>
      <c r="F136" s="115">
        <v>22456</v>
      </c>
      <c r="G136" s="8" t="s">
        <v>1853</v>
      </c>
      <c r="H136" s="158" t="s">
        <v>1851</v>
      </c>
      <c r="I136" s="8">
        <v>12977.71</v>
      </c>
      <c r="J136" s="8">
        <v>11290</v>
      </c>
      <c r="K136" s="9">
        <f>Tabla156798[[#This Row],[CANTIDAD PUBLICA]]*0.05</f>
        <v>648.88549999999998</v>
      </c>
      <c r="L136" s="10">
        <f>Tabla156798[[#This Row],[COMISION AGENCIA]]*0.05</f>
        <v>32.444274999999998</v>
      </c>
      <c r="M136" s="7">
        <v>3317442494</v>
      </c>
      <c r="N136" s="7" t="s">
        <v>1854</v>
      </c>
      <c r="O136" s="7" t="s">
        <v>6</v>
      </c>
      <c r="P136" s="7"/>
    </row>
    <row r="137" spans="1:16" x14ac:dyDescent="0.25">
      <c r="A137" s="14">
        <f>Tabla156798[[#This Row],[FECHA IN]]-15</f>
        <v>44855</v>
      </c>
      <c r="B137" s="14">
        <v>44865</v>
      </c>
      <c r="C137" s="6">
        <v>44861</v>
      </c>
      <c r="D137" s="6">
        <v>44870</v>
      </c>
      <c r="E137" s="6">
        <v>44872</v>
      </c>
      <c r="F137" s="115">
        <v>22456</v>
      </c>
      <c r="G137" s="8" t="s">
        <v>1855</v>
      </c>
      <c r="H137" s="158" t="s">
        <v>1851</v>
      </c>
      <c r="I137" s="8">
        <v>30919.73</v>
      </c>
      <c r="J137" s="8">
        <v>26900</v>
      </c>
      <c r="K137" s="9">
        <f>Tabla156798[[#This Row],[CANTIDAD PUBLICA]]*0.05</f>
        <v>1545.9865</v>
      </c>
      <c r="L137" s="10">
        <f>Tabla156798[[#This Row],[COMISION AGENCIA]]*0.05</f>
        <v>77.29932500000001</v>
      </c>
      <c r="M137" s="7">
        <v>3317442494</v>
      </c>
      <c r="N137" s="7" t="s">
        <v>1856</v>
      </c>
      <c r="O137" s="7" t="s">
        <v>6</v>
      </c>
      <c r="P137" s="7"/>
    </row>
    <row r="138" spans="1:16" x14ac:dyDescent="0.25">
      <c r="A138" s="14">
        <v>44856</v>
      </c>
      <c r="B138" s="14">
        <v>44856</v>
      </c>
      <c r="C138" s="6">
        <v>44856</v>
      </c>
      <c r="D138" s="6">
        <v>45239</v>
      </c>
      <c r="E138" s="6">
        <v>45246</v>
      </c>
      <c r="F138" s="115">
        <v>22391</v>
      </c>
      <c r="G138" s="8" t="s">
        <v>1857</v>
      </c>
      <c r="H138" s="8" t="s">
        <v>1858</v>
      </c>
      <c r="I138" s="8">
        <v>16628</v>
      </c>
      <c r="J138" s="8">
        <v>18000</v>
      </c>
      <c r="K138" s="9">
        <f>Tabla156798[[#This Row],[PRECIO CLIENTE]]-Tabla156798[[#This Row],[CANTIDAD PUBLICA]]</f>
        <v>1372</v>
      </c>
      <c r="L138" s="10">
        <f>Tabla156798[[#This Row],[COMISION AGENCIA]]*0.05</f>
        <v>68.600000000000009</v>
      </c>
      <c r="M138" s="7"/>
      <c r="N138" s="7" t="s">
        <v>1859</v>
      </c>
      <c r="O138" s="7" t="s">
        <v>47</v>
      </c>
      <c r="P138" s="7"/>
    </row>
    <row r="139" spans="1:16" x14ac:dyDescent="0.25">
      <c r="A139" s="14">
        <v>44856</v>
      </c>
      <c r="B139" s="14">
        <v>44856</v>
      </c>
      <c r="C139" s="6">
        <v>44856</v>
      </c>
      <c r="D139" s="6">
        <v>44857</v>
      </c>
      <c r="E139" s="6">
        <v>44864</v>
      </c>
      <c r="F139" s="115">
        <v>22392</v>
      </c>
      <c r="G139" s="8" t="s">
        <v>1860</v>
      </c>
      <c r="H139" s="8" t="s">
        <v>1861</v>
      </c>
      <c r="I139" s="8">
        <v>150</v>
      </c>
      <c r="J139" s="8">
        <v>150</v>
      </c>
      <c r="K139" s="9">
        <v>150</v>
      </c>
      <c r="L139" s="10">
        <f>Tabla156798[[#This Row],[COMISION AGENCIA]]*0.05</f>
        <v>7.5</v>
      </c>
      <c r="M139" s="7"/>
      <c r="N139" s="7" t="s">
        <v>1862</v>
      </c>
      <c r="O139" s="7" t="s">
        <v>1863</v>
      </c>
      <c r="P139" s="7"/>
    </row>
    <row r="140" spans="1:16" x14ac:dyDescent="0.25">
      <c r="A140" s="14">
        <v>44856</v>
      </c>
      <c r="B140" s="14">
        <v>44830</v>
      </c>
      <c r="C140" s="6">
        <v>44830</v>
      </c>
      <c r="D140" s="6">
        <v>44871</v>
      </c>
      <c r="E140" s="6">
        <v>44876</v>
      </c>
      <c r="F140" s="115" t="s">
        <v>1864</v>
      </c>
      <c r="G140" s="8" t="s">
        <v>1865</v>
      </c>
      <c r="H140" s="7" t="s">
        <v>1866</v>
      </c>
      <c r="I140" s="8">
        <v>110880</v>
      </c>
      <c r="J140" s="8">
        <v>94320</v>
      </c>
      <c r="K140" s="9">
        <f>Tabla156798[[#This Row],[CANTIDAD PUBLICA]]*0.05</f>
        <v>5544</v>
      </c>
      <c r="L140" s="10">
        <f>Tabla156798[[#This Row],[COMISION AGENCIA]]*0.05</f>
        <v>277.2</v>
      </c>
      <c r="M140" s="7">
        <v>3317387746</v>
      </c>
      <c r="N140" s="7" t="s">
        <v>1867</v>
      </c>
      <c r="O140" s="7" t="s">
        <v>6</v>
      </c>
      <c r="P140" s="7"/>
    </row>
    <row r="141" spans="1:16" x14ac:dyDescent="0.25">
      <c r="A141" s="14">
        <v>44856</v>
      </c>
      <c r="B141" s="14">
        <v>44830</v>
      </c>
      <c r="C141" s="6">
        <v>44830</v>
      </c>
      <c r="D141" s="6">
        <v>44871</v>
      </c>
      <c r="E141" s="6">
        <v>44876</v>
      </c>
      <c r="F141" s="115" t="s">
        <v>1864</v>
      </c>
      <c r="G141" s="8" t="s">
        <v>1868</v>
      </c>
      <c r="H141" s="8" t="s">
        <v>1866</v>
      </c>
      <c r="I141" s="8">
        <v>34166</v>
      </c>
      <c r="J141" s="8">
        <v>29130</v>
      </c>
      <c r="K141" s="9">
        <f>Tabla156798[[#This Row],[CANTIDAD PUBLICA]]*0.05</f>
        <v>1708.3000000000002</v>
      </c>
      <c r="L141" s="10">
        <f>Tabla156798[[#This Row],[COMISION AGENCIA]]*0.05</f>
        <v>85.41500000000002</v>
      </c>
      <c r="M141" s="7">
        <v>3317387746</v>
      </c>
      <c r="N141" s="7" t="s">
        <v>1869</v>
      </c>
      <c r="O141" s="7" t="s">
        <v>6</v>
      </c>
      <c r="P141" s="7"/>
    </row>
    <row r="142" spans="1:16" x14ac:dyDescent="0.25">
      <c r="A142" s="14">
        <v>44856</v>
      </c>
      <c r="B142" s="14">
        <v>44830</v>
      </c>
      <c r="C142" s="6">
        <v>44830</v>
      </c>
      <c r="D142" s="6">
        <v>44871</v>
      </c>
      <c r="E142" s="6">
        <v>44876</v>
      </c>
      <c r="F142" s="115" t="s">
        <v>1864</v>
      </c>
      <c r="G142" s="8" t="s">
        <v>1870</v>
      </c>
      <c r="H142" s="8" t="s">
        <v>1866</v>
      </c>
      <c r="I142" s="8">
        <v>38947.47</v>
      </c>
      <c r="J142" s="8">
        <v>33885</v>
      </c>
      <c r="K142" s="9">
        <f>Tabla156798[[#This Row],[CANTIDAD PUBLICA]]*0.05</f>
        <v>1947.3735000000001</v>
      </c>
      <c r="L142" s="10">
        <f>Tabla156798[[#This Row],[COMISION AGENCIA]]*0.05</f>
        <v>97.36867500000001</v>
      </c>
      <c r="M142" s="7">
        <v>3317387746</v>
      </c>
      <c r="N142" s="7" t="s">
        <v>1871</v>
      </c>
      <c r="O142" s="7" t="s">
        <v>6</v>
      </c>
      <c r="P142" s="7"/>
    </row>
    <row r="143" spans="1:16" x14ac:dyDescent="0.25">
      <c r="A143" s="14">
        <v>44856</v>
      </c>
      <c r="B143" s="14">
        <v>44830</v>
      </c>
      <c r="C143" s="6">
        <v>44830</v>
      </c>
      <c r="D143" s="6">
        <v>44871</v>
      </c>
      <c r="E143" s="6">
        <v>44876</v>
      </c>
      <c r="F143" s="115" t="s">
        <v>1864</v>
      </c>
      <c r="G143" s="8" t="s">
        <v>1872</v>
      </c>
      <c r="H143" s="8" t="s">
        <v>1866</v>
      </c>
      <c r="I143" s="8">
        <v>33025.07</v>
      </c>
      <c r="J143" s="8">
        <v>28735</v>
      </c>
      <c r="K143" s="9">
        <f>Tabla156798[[#This Row],[CANTIDAD PUBLICA]]*0.05</f>
        <v>1651.2535</v>
      </c>
      <c r="L143" s="10">
        <f>Tabla156798[[#This Row],[COMISION AGENCIA]]*0.05</f>
        <v>82.562675000000013</v>
      </c>
      <c r="M143" s="7">
        <v>3317387746</v>
      </c>
      <c r="N143" s="7" t="s">
        <v>1873</v>
      </c>
      <c r="O143" s="7" t="s">
        <v>6</v>
      </c>
      <c r="P143" s="7"/>
    </row>
    <row r="144" spans="1:16" x14ac:dyDescent="0.25">
      <c r="A144" s="14">
        <v>44856</v>
      </c>
      <c r="B144" s="14">
        <v>44830</v>
      </c>
      <c r="C144" s="6">
        <v>44830</v>
      </c>
      <c r="D144" s="6">
        <v>44871</v>
      </c>
      <c r="E144" s="6">
        <v>44876</v>
      </c>
      <c r="F144" s="115" t="s">
        <v>1864</v>
      </c>
      <c r="G144" s="8" t="s">
        <v>1874</v>
      </c>
      <c r="H144" s="8" t="s">
        <v>1866</v>
      </c>
      <c r="I144" s="8">
        <v>45218.59</v>
      </c>
      <c r="J144" s="8">
        <v>39340</v>
      </c>
      <c r="K144" s="9">
        <f>Tabla156798[[#This Row],[CANTIDAD PUBLICA]]*0.05</f>
        <v>2260.9294999999997</v>
      </c>
      <c r="L144" s="10">
        <f>Tabla156798[[#This Row],[COMISION AGENCIA]]*0.05</f>
        <v>113.04647499999999</v>
      </c>
      <c r="M144" s="7">
        <v>3317387746</v>
      </c>
      <c r="N144" s="7" t="s">
        <v>1875</v>
      </c>
      <c r="O144" s="7" t="s">
        <v>6</v>
      </c>
      <c r="P144" s="7"/>
    </row>
    <row r="145" spans="1:16" x14ac:dyDescent="0.25">
      <c r="A145" s="14">
        <f>Tabla156798[[#This Row],[FECHA IN]]-15</f>
        <v>44856</v>
      </c>
      <c r="B145" s="14">
        <v>44838</v>
      </c>
      <c r="C145" s="6">
        <v>44838</v>
      </c>
      <c r="D145" s="6">
        <v>44871</v>
      </c>
      <c r="E145" s="6">
        <v>44876</v>
      </c>
      <c r="F145" s="115" t="s">
        <v>1864</v>
      </c>
      <c r="G145" s="8" t="s">
        <v>1876</v>
      </c>
      <c r="H145" s="8" t="s">
        <v>1866</v>
      </c>
      <c r="I145" s="8">
        <v>34166</v>
      </c>
      <c r="J145" s="8">
        <v>29130</v>
      </c>
      <c r="K145" s="9">
        <f>Tabla156798[[#This Row],[CANTIDAD PUBLICA]]*0.05</f>
        <v>1708.3000000000002</v>
      </c>
      <c r="L145" s="10">
        <f>Tabla156798[[#This Row],[COMISION AGENCIA]]*0.05</f>
        <v>85.41500000000002</v>
      </c>
      <c r="M145" s="7">
        <v>3231083537</v>
      </c>
      <c r="N145" s="7" t="s">
        <v>1877</v>
      </c>
      <c r="O145" s="7" t="s">
        <v>6</v>
      </c>
      <c r="P145" s="7"/>
    </row>
    <row r="146" spans="1:16" x14ac:dyDescent="0.25">
      <c r="A146" s="14">
        <f>Tabla156798[[#This Row],[FECHA IN]]-15</f>
        <v>44856</v>
      </c>
      <c r="B146" s="14">
        <v>44859</v>
      </c>
      <c r="C146" s="6">
        <v>44852</v>
      </c>
      <c r="D146" s="6">
        <v>44871</v>
      </c>
      <c r="E146" s="6">
        <v>44874</v>
      </c>
      <c r="F146" s="115" t="s">
        <v>1878</v>
      </c>
      <c r="G146" s="8" t="s">
        <v>1879</v>
      </c>
      <c r="H146" s="8" t="s">
        <v>1880</v>
      </c>
      <c r="I146" s="8">
        <v>58008.23</v>
      </c>
      <c r="J146" s="8">
        <v>50490</v>
      </c>
      <c r="K146" s="9">
        <f>Tabla156798[[#This Row],[CANTIDAD PUBLICA]]*0.05</f>
        <v>2900.4115000000002</v>
      </c>
      <c r="L146" s="10">
        <f>Tabla156798[[#This Row],[COMISION AGENCIA]]*0.05</f>
        <v>145.02057500000001</v>
      </c>
      <c r="M146" s="7">
        <v>3481134023</v>
      </c>
      <c r="N146" s="7" t="s">
        <v>1881</v>
      </c>
      <c r="O146" s="7" t="s">
        <v>6</v>
      </c>
      <c r="P146" s="7"/>
    </row>
    <row r="147" spans="1:16" x14ac:dyDescent="0.25">
      <c r="A147" s="14">
        <f>Tabla156798[[#This Row],[FECHA IN]]-15</f>
        <v>44856</v>
      </c>
      <c r="B147" s="14">
        <v>44859</v>
      </c>
      <c r="C147" s="6">
        <v>44852</v>
      </c>
      <c r="D147" s="6">
        <v>44871</v>
      </c>
      <c r="E147" s="6">
        <v>44874</v>
      </c>
      <c r="F147" s="115" t="s">
        <v>1878</v>
      </c>
      <c r="G147" s="8" t="s">
        <v>1879</v>
      </c>
      <c r="H147" s="8" t="s">
        <v>1882</v>
      </c>
      <c r="I147" s="66">
        <v>2100</v>
      </c>
      <c r="J147" s="8">
        <v>2700</v>
      </c>
      <c r="K147" s="9">
        <f>Tabla156798[[#This Row],[PRECIO CLIENTE]]-Tabla156798[[#This Row],[CANTIDAD PUBLICA]]</f>
        <v>600</v>
      </c>
      <c r="L147" s="10">
        <f>Tabla156798[[#This Row],[COMISION AGENCIA]]*0.05</f>
        <v>30</v>
      </c>
      <c r="M147" s="7">
        <v>3481134023</v>
      </c>
      <c r="N147" s="7" t="s">
        <v>1881</v>
      </c>
      <c r="O147" s="7" t="s">
        <v>6</v>
      </c>
      <c r="P147" s="7"/>
    </row>
    <row r="148" spans="1:16" x14ac:dyDescent="0.25">
      <c r="A148" s="14">
        <v>44858</v>
      </c>
      <c r="B148" s="14">
        <v>44858</v>
      </c>
      <c r="C148" s="6">
        <v>44858</v>
      </c>
      <c r="D148" s="6">
        <v>44859</v>
      </c>
      <c r="E148" s="6">
        <v>44869</v>
      </c>
      <c r="F148" s="115">
        <v>22406</v>
      </c>
      <c r="G148" s="8" t="s">
        <v>1883</v>
      </c>
      <c r="H148" s="8" t="s">
        <v>1861</v>
      </c>
      <c r="I148" s="8">
        <v>300</v>
      </c>
      <c r="J148" s="8">
        <v>300</v>
      </c>
      <c r="K148" s="9">
        <v>300</v>
      </c>
      <c r="L148" s="10">
        <f>Tabla156798[[#This Row],[COMISION AGENCIA]]*0.05</f>
        <v>15</v>
      </c>
      <c r="M148" s="7"/>
      <c r="N148" s="7" t="s">
        <v>1884</v>
      </c>
      <c r="O148" s="7" t="s">
        <v>1266</v>
      </c>
      <c r="P148" s="7"/>
    </row>
    <row r="149" spans="1:16" x14ac:dyDescent="0.25">
      <c r="A149" s="14">
        <v>44858</v>
      </c>
      <c r="B149" s="14">
        <v>44858</v>
      </c>
      <c r="C149" s="6">
        <v>44858</v>
      </c>
      <c r="D149" s="6">
        <v>44867</v>
      </c>
      <c r="E149" s="7"/>
      <c r="F149" s="115">
        <v>22403</v>
      </c>
      <c r="G149" s="8" t="s">
        <v>1885</v>
      </c>
      <c r="H149" s="8" t="s">
        <v>1631</v>
      </c>
      <c r="I149" s="8">
        <v>2774</v>
      </c>
      <c r="J149" s="8">
        <v>3180</v>
      </c>
      <c r="K149" s="9">
        <f>Tabla156798[[#This Row],[PRECIO CLIENTE]]-Tabla156798[[#This Row],[CANTIDAD PUBLICA]]</f>
        <v>406</v>
      </c>
      <c r="L149" s="10">
        <f>Tabla156798[[#This Row],[COMISION AGENCIA]]*0.05</f>
        <v>20.3</v>
      </c>
      <c r="M149" s="7"/>
      <c r="N149" s="7" t="s">
        <v>1886</v>
      </c>
      <c r="O149" s="7" t="s">
        <v>47</v>
      </c>
      <c r="P149" s="7"/>
    </row>
    <row r="150" spans="1:16" x14ac:dyDescent="0.25">
      <c r="A150" s="14">
        <v>44858</v>
      </c>
      <c r="B150" s="14">
        <v>44858</v>
      </c>
      <c r="C150" s="6">
        <v>44858</v>
      </c>
      <c r="D150" s="6">
        <v>44867</v>
      </c>
      <c r="E150" s="6">
        <v>44870</v>
      </c>
      <c r="F150" s="115"/>
      <c r="G150" s="8" t="s">
        <v>1887</v>
      </c>
      <c r="H150" s="8" t="s">
        <v>1631</v>
      </c>
      <c r="I150" s="8">
        <v>5641</v>
      </c>
      <c r="J150" s="8">
        <v>6075</v>
      </c>
      <c r="K150" s="9">
        <f>Tabla156798[[#This Row],[PRECIO CLIENTE]]-Tabla156798[[#This Row],[CANTIDAD PUBLICA]]</f>
        <v>434</v>
      </c>
      <c r="L150" s="10">
        <f>Tabla156798[[#This Row],[COMISION AGENCIA]]*0.05</f>
        <v>21.700000000000003</v>
      </c>
      <c r="M150" s="7"/>
      <c r="N150" s="7" t="s">
        <v>1888</v>
      </c>
      <c r="O150" s="7" t="s">
        <v>47</v>
      </c>
      <c r="P150" s="7"/>
    </row>
    <row r="151" spans="1:16" x14ac:dyDescent="0.25">
      <c r="A151" s="14">
        <v>44858</v>
      </c>
      <c r="B151" s="14">
        <v>44858</v>
      </c>
      <c r="C151" s="6">
        <v>44858</v>
      </c>
      <c r="D151" s="6">
        <v>44866</v>
      </c>
      <c r="E151" s="7"/>
      <c r="F151" s="115">
        <v>22414</v>
      </c>
      <c r="G151" s="8" t="s">
        <v>1889</v>
      </c>
      <c r="H151" s="8" t="s">
        <v>1833</v>
      </c>
      <c r="I151" s="8">
        <v>5770</v>
      </c>
      <c r="J151" s="8">
        <v>6430</v>
      </c>
      <c r="K151" s="9">
        <f>Tabla156798[[#This Row],[PRECIO CLIENTE]]-Tabla156798[[#This Row],[CANTIDAD PUBLICA]]</f>
        <v>660</v>
      </c>
      <c r="L151" s="10">
        <f>Tabla156798[[#This Row],[COMISION AGENCIA]]*0.05</f>
        <v>33</v>
      </c>
      <c r="M151" s="7"/>
      <c r="N151" s="7" t="s">
        <v>1890</v>
      </c>
      <c r="O151" s="7" t="s">
        <v>47</v>
      </c>
      <c r="P151" s="7"/>
    </row>
    <row r="152" spans="1:16" x14ac:dyDescent="0.25">
      <c r="A152" s="14">
        <v>44860</v>
      </c>
      <c r="B152" s="14">
        <v>44860</v>
      </c>
      <c r="C152" s="6">
        <v>44860</v>
      </c>
      <c r="D152" s="6">
        <v>44910</v>
      </c>
      <c r="E152" s="7"/>
      <c r="F152" s="115">
        <v>22430</v>
      </c>
      <c r="G152" s="8" t="s">
        <v>1891</v>
      </c>
      <c r="H152" s="8" t="s">
        <v>1663</v>
      </c>
      <c r="I152" s="8">
        <v>5805</v>
      </c>
      <c r="J152" s="8">
        <v>7475</v>
      </c>
      <c r="K152" s="9">
        <f>Tabla156798[[#This Row],[PRECIO CLIENTE]]-Tabla156798[[#This Row],[CANTIDAD PUBLICA]]</f>
        <v>1670</v>
      </c>
      <c r="L152" s="10">
        <f>Tabla156798[[#This Row],[COMISION AGENCIA]]*0.05</f>
        <v>83.5</v>
      </c>
      <c r="M152" s="7"/>
      <c r="N152" s="7" t="s">
        <v>1892</v>
      </c>
      <c r="O152" s="7" t="s">
        <v>47</v>
      </c>
      <c r="P152" s="7"/>
    </row>
    <row r="153" spans="1:16" x14ac:dyDescent="0.25">
      <c r="A153" s="14">
        <v>44860</v>
      </c>
      <c r="B153" s="14">
        <v>44860</v>
      </c>
      <c r="C153" s="6">
        <v>44860</v>
      </c>
      <c r="D153" s="6">
        <v>44911</v>
      </c>
      <c r="E153" s="7"/>
      <c r="F153" s="115">
        <v>22434</v>
      </c>
      <c r="G153" s="8" t="s">
        <v>1893</v>
      </c>
      <c r="H153" s="8" t="s">
        <v>1715</v>
      </c>
      <c r="I153" s="8">
        <v>4054</v>
      </c>
      <c r="J153" s="8">
        <v>4515</v>
      </c>
      <c r="K153" s="9">
        <f>Tabla156798[[#This Row],[PRECIO CLIENTE]]-Tabla156798[[#This Row],[CANTIDAD PUBLICA]]</f>
        <v>461</v>
      </c>
      <c r="L153" s="10">
        <f>Tabla156798[[#This Row],[COMISION AGENCIA]]*0.05</f>
        <v>23.05</v>
      </c>
      <c r="M153" s="7"/>
      <c r="N153" s="7" t="s">
        <v>1894</v>
      </c>
      <c r="O153" s="7" t="s">
        <v>47</v>
      </c>
      <c r="P153" s="7"/>
    </row>
    <row r="154" spans="1:16" x14ac:dyDescent="0.25">
      <c r="A154" s="14">
        <v>44860</v>
      </c>
      <c r="B154" s="14">
        <v>44860</v>
      </c>
      <c r="C154" s="6">
        <v>44860</v>
      </c>
      <c r="D154" s="6">
        <v>44861</v>
      </c>
      <c r="E154" s="7"/>
      <c r="F154" s="115">
        <v>22437</v>
      </c>
      <c r="G154" s="63" t="s">
        <v>1895</v>
      </c>
      <c r="H154" s="8" t="s">
        <v>1861</v>
      </c>
      <c r="I154" s="8">
        <v>150</v>
      </c>
      <c r="J154" s="8">
        <v>150</v>
      </c>
      <c r="K154" s="9">
        <v>150</v>
      </c>
      <c r="L154" s="10">
        <f>Tabla156798[[#This Row],[COMISION AGENCIA]]*0.05</f>
        <v>7.5</v>
      </c>
      <c r="M154" s="7"/>
      <c r="N154" s="7" t="s">
        <v>1896</v>
      </c>
      <c r="O154" s="7" t="s">
        <v>86</v>
      </c>
      <c r="P154" s="7"/>
    </row>
    <row r="155" spans="1:16" x14ac:dyDescent="0.25">
      <c r="A155" s="14">
        <f>Tabla156798[[#This Row],[FECHA IN]]-15</f>
        <v>44860</v>
      </c>
      <c r="B155" s="14">
        <v>44873</v>
      </c>
      <c r="C155" s="6">
        <v>44873</v>
      </c>
      <c r="D155" s="6">
        <v>44875</v>
      </c>
      <c r="E155" s="7"/>
      <c r="F155" s="115">
        <v>22562</v>
      </c>
      <c r="G155" s="8" t="s">
        <v>1897</v>
      </c>
      <c r="H155" s="8" t="s">
        <v>1539</v>
      </c>
      <c r="I155" s="8">
        <v>1800</v>
      </c>
      <c r="J155" s="8">
        <v>1800</v>
      </c>
      <c r="K155" s="9">
        <f>Tabla156798[[#This Row],[CANTIDAD PUBLICA]]*0.2</f>
        <v>360</v>
      </c>
      <c r="L155" s="10">
        <f>Tabla156798[[#This Row],[COMISION AGENCIA]]*0.05</f>
        <v>18</v>
      </c>
      <c r="M155" s="7">
        <v>3481069521</v>
      </c>
      <c r="N155" s="7"/>
      <c r="O155" s="7" t="s">
        <v>12</v>
      </c>
      <c r="P155" s="7"/>
    </row>
    <row r="156" spans="1:16" x14ac:dyDescent="0.25">
      <c r="A156" s="14">
        <v>44861</v>
      </c>
      <c r="B156" s="14">
        <v>44861</v>
      </c>
      <c r="C156" s="6">
        <v>44861</v>
      </c>
      <c r="D156" s="6">
        <v>44860</v>
      </c>
      <c r="E156" s="6">
        <v>44861</v>
      </c>
      <c r="F156" s="115"/>
      <c r="G156" s="8" t="s">
        <v>1898</v>
      </c>
      <c r="H156" s="8" t="s">
        <v>1625</v>
      </c>
      <c r="I156" s="8">
        <v>10162</v>
      </c>
      <c r="J156" s="8">
        <v>10450</v>
      </c>
      <c r="K156" s="9">
        <f>Tabla156798[[#This Row],[PRECIO CLIENTE]]-Tabla156798[[#This Row],[CANTIDAD PUBLICA]]</f>
        <v>288</v>
      </c>
      <c r="L156" s="10">
        <f>Tabla156798[[#This Row],[COMISION AGENCIA]]*0.05</f>
        <v>14.4</v>
      </c>
      <c r="M156" s="7"/>
      <c r="N156" s="7" t="s">
        <v>1899</v>
      </c>
      <c r="O156" s="7" t="s">
        <v>47</v>
      </c>
      <c r="P156" s="7"/>
    </row>
    <row r="157" spans="1:16" x14ac:dyDescent="0.25">
      <c r="A157" s="14">
        <v>44861</v>
      </c>
      <c r="B157" s="14">
        <v>44861</v>
      </c>
      <c r="C157" s="6">
        <v>44861</v>
      </c>
      <c r="D157" s="6">
        <v>44864</v>
      </c>
      <c r="E157" s="7"/>
      <c r="F157" s="115">
        <v>22442</v>
      </c>
      <c r="G157" s="8" t="s">
        <v>1900</v>
      </c>
      <c r="H157" s="8" t="s">
        <v>1901</v>
      </c>
      <c r="I157" s="8">
        <v>10687</v>
      </c>
      <c r="J157" s="8">
        <v>11300</v>
      </c>
      <c r="K157" s="9">
        <f>Tabla156798[[#This Row],[PRECIO CLIENTE]]-Tabla156798[[#This Row],[CANTIDAD PUBLICA]]</f>
        <v>613</v>
      </c>
      <c r="L157" s="10">
        <f>Tabla156798[[#This Row],[COMISION AGENCIA]]*0.05</f>
        <v>30.650000000000002</v>
      </c>
      <c r="M157" s="7"/>
      <c r="N157" s="7" t="s">
        <v>1902</v>
      </c>
      <c r="O157" s="7" t="s">
        <v>47</v>
      </c>
      <c r="P157" s="7"/>
    </row>
    <row r="158" spans="1:16" x14ac:dyDescent="0.25">
      <c r="A158" s="14">
        <v>44862</v>
      </c>
      <c r="B158" s="14">
        <v>44862</v>
      </c>
      <c r="C158" s="6">
        <v>44862</v>
      </c>
      <c r="D158" s="6">
        <v>44866</v>
      </c>
      <c r="E158" s="7"/>
      <c r="F158" s="115">
        <v>22452</v>
      </c>
      <c r="G158" s="8" t="s">
        <v>1903</v>
      </c>
      <c r="H158" s="8" t="s">
        <v>1646</v>
      </c>
      <c r="I158" s="8">
        <v>3231</v>
      </c>
      <c r="J158" s="8">
        <v>3670</v>
      </c>
      <c r="K158" s="9">
        <f>Tabla156798[[#This Row],[PRECIO CLIENTE]]-Tabla156798[[#This Row],[CANTIDAD PUBLICA]]</f>
        <v>439</v>
      </c>
      <c r="L158" s="10">
        <f>Tabla156798[[#This Row],[COMISION AGENCIA]]*0.05</f>
        <v>21.950000000000003</v>
      </c>
      <c r="M158" s="7"/>
      <c r="N158" s="7" t="s">
        <v>1904</v>
      </c>
      <c r="O158" s="7" t="s">
        <v>47</v>
      </c>
      <c r="P158" s="7"/>
    </row>
    <row r="159" spans="1:16" x14ac:dyDescent="0.25">
      <c r="A159" s="14">
        <v>44862</v>
      </c>
      <c r="B159" s="14">
        <v>44862</v>
      </c>
      <c r="C159" s="6">
        <v>44862</v>
      </c>
      <c r="D159" s="6">
        <v>44866</v>
      </c>
      <c r="E159" s="7"/>
      <c r="F159" s="115"/>
      <c r="G159" s="8" t="s">
        <v>1905</v>
      </c>
      <c r="H159" s="8" t="s">
        <v>1906</v>
      </c>
      <c r="I159" s="8">
        <v>4002</v>
      </c>
      <c r="J159" s="8">
        <v>4450</v>
      </c>
      <c r="K159" s="9">
        <f>Tabla156798[[#This Row],[PRECIO CLIENTE]]-Tabla156798[[#This Row],[CANTIDAD PUBLICA]]</f>
        <v>448</v>
      </c>
      <c r="L159" s="10">
        <f>Tabla156798[[#This Row],[COMISION AGENCIA]]*0.05</f>
        <v>22.400000000000002</v>
      </c>
      <c r="M159" s="7"/>
      <c r="N159" s="7" t="s">
        <v>1907</v>
      </c>
      <c r="O159" s="7" t="s">
        <v>47</v>
      </c>
      <c r="P159" s="7"/>
    </row>
    <row r="160" spans="1:16" x14ac:dyDescent="0.25">
      <c r="A160" s="14">
        <f>Tabla156798[[#This Row],[FECHA IN]]-15</f>
        <v>44862</v>
      </c>
      <c r="B160" s="14">
        <v>44864</v>
      </c>
      <c r="C160" s="6">
        <v>44812</v>
      </c>
      <c r="D160" s="6">
        <v>44877</v>
      </c>
      <c r="E160" s="6">
        <v>44878</v>
      </c>
      <c r="F160" s="115">
        <v>21551</v>
      </c>
      <c r="G160" s="8" t="s">
        <v>1908</v>
      </c>
      <c r="H160" s="8" t="s">
        <v>1909</v>
      </c>
      <c r="I160" s="8">
        <v>1947.63</v>
      </c>
      <c r="J160" s="8">
        <v>1760</v>
      </c>
      <c r="K160" s="9">
        <f>Tabla156798[[#This Row],[CANTIDAD PUBLICA]]*AGENTES!D3</f>
        <v>101.27675999999998</v>
      </c>
      <c r="L160" s="10">
        <f>Tabla156798[[#This Row],[COMISION AGENCIA]]*0.05</f>
        <v>5.0638379999999996</v>
      </c>
      <c r="M160" s="7">
        <v>3481099547</v>
      </c>
      <c r="N160" s="7" t="s">
        <v>1910</v>
      </c>
      <c r="O160" s="7" t="s">
        <v>5</v>
      </c>
      <c r="P160" s="7"/>
    </row>
    <row r="161" spans="1:16" x14ac:dyDescent="0.25">
      <c r="A161" s="14">
        <f>Tabla156798[[#This Row],[FECHA IN]]-15</f>
        <v>44863</v>
      </c>
      <c r="B161" s="14">
        <v>44851</v>
      </c>
      <c r="C161" s="6">
        <v>44848</v>
      </c>
      <c r="D161" s="6">
        <v>44878</v>
      </c>
      <c r="E161" s="6">
        <v>44882</v>
      </c>
      <c r="F161" s="115" t="s">
        <v>1911</v>
      </c>
      <c r="G161" s="8" t="s">
        <v>1912</v>
      </c>
      <c r="H161" s="8" t="s">
        <v>966</v>
      </c>
      <c r="I161" s="8">
        <v>28280</v>
      </c>
      <c r="J161" s="8">
        <v>24610</v>
      </c>
      <c r="K161" s="9">
        <f>Tabla156798[[#This Row],[CANTIDAD PUBLICA]]*AGENTES!D4</f>
        <v>1413.9999999999998</v>
      </c>
      <c r="L161" s="10">
        <f>Tabla156798[[#This Row],[COMISION AGENCIA]]*0.05</f>
        <v>70.699999999999989</v>
      </c>
      <c r="M161" s="7">
        <v>3481062019</v>
      </c>
      <c r="N161" s="7" t="s">
        <v>1913</v>
      </c>
      <c r="O161" s="7" t="s">
        <v>6</v>
      </c>
      <c r="P161" s="7"/>
    </row>
    <row r="162" spans="1:16" x14ac:dyDescent="0.25">
      <c r="A162" s="14">
        <v>44865</v>
      </c>
      <c r="B162" s="14">
        <v>44814</v>
      </c>
      <c r="C162" s="6">
        <v>44810</v>
      </c>
      <c r="D162" s="6">
        <v>44879</v>
      </c>
      <c r="E162" s="6">
        <v>44879</v>
      </c>
      <c r="F162" s="115">
        <v>21530</v>
      </c>
      <c r="G162" s="8" t="s">
        <v>1914</v>
      </c>
      <c r="H162" s="8" t="s">
        <v>1737</v>
      </c>
      <c r="I162" s="8">
        <v>15309</v>
      </c>
      <c r="J162" s="8">
        <v>13320</v>
      </c>
      <c r="K162" s="9">
        <f>Tabla156798[[#This Row],[CANTIDAD PUBLICA]]*AGENTES!D4</f>
        <v>765.44999999999982</v>
      </c>
      <c r="L162" s="10">
        <f>Tabla156798[[#This Row],[COMISION AGENCIA]]*0.05</f>
        <v>38.272499999999994</v>
      </c>
      <c r="M162" s="7">
        <v>4772557510</v>
      </c>
      <c r="N162" s="7" t="s">
        <v>1915</v>
      </c>
      <c r="O162" s="7" t="s">
        <v>6</v>
      </c>
      <c r="P162" s="7"/>
    </row>
    <row r="163" spans="1:16" x14ac:dyDescent="0.25">
      <c r="A163" s="14">
        <v>44865</v>
      </c>
      <c r="B163" s="14">
        <v>44814</v>
      </c>
      <c r="C163" s="6">
        <v>44810</v>
      </c>
      <c r="D163" s="6">
        <v>44879</v>
      </c>
      <c r="E163" s="6">
        <v>44879</v>
      </c>
      <c r="F163" s="115">
        <v>21530</v>
      </c>
      <c r="G163" s="8" t="s">
        <v>1916</v>
      </c>
      <c r="H163" s="8" t="s">
        <v>1737</v>
      </c>
      <c r="I163" s="8">
        <v>15309</v>
      </c>
      <c r="J163" s="8">
        <v>13320</v>
      </c>
      <c r="K163" s="9">
        <f>Tabla156798[[#This Row],[CANTIDAD PUBLICA]]*0.05</f>
        <v>765.45</v>
      </c>
      <c r="L163" s="10">
        <f>Tabla156798[[#This Row],[COMISION AGENCIA]]*0.05</f>
        <v>38.272500000000001</v>
      </c>
      <c r="M163" s="7">
        <v>4772557510</v>
      </c>
      <c r="N163" s="7" t="s">
        <v>1917</v>
      </c>
      <c r="O163" s="7" t="s">
        <v>6</v>
      </c>
      <c r="P163" s="7"/>
    </row>
    <row r="164" spans="1:16" x14ac:dyDescent="0.25">
      <c r="A164" s="14">
        <v>44865</v>
      </c>
      <c r="B164" s="14">
        <v>44814</v>
      </c>
      <c r="C164" s="6">
        <v>44810</v>
      </c>
      <c r="D164" s="6">
        <v>44879</v>
      </c>
      <c r="E164" s="6">
        <v>44879</v>
      </c>
      <c r="F164" s="115">
        <v>21530</v>
      </c>
      <c r="G164" s="8" t="s">
        <v>1918</v>
      </c>
      <c r="H164" s="8" t="s">
        <v>1737</v>
      </c>
      <c r="I164" s="8">
        <v>11099.03</v>
      </c>
      <c r="J164" s="8">
        <v>9660</v>
      </c>
      <c r="K164" s="9">
        <f>Tabla156798[[#This Row],[CANTIDAD PUBLICA]]*0.05</f>
        <v>554.95150000000001</v>
      </c>
      <c r="L164" s="10">
        <f>Tabla156798[[#This Row],[COMISION AGENCIA]]*0.05</f>
        <v>27.747575000000001</v>
      </c>
      <c r="M164" s="7">
        <v>4772557510</v>
      </c>
      <c r="N164" s="7" t="s">
        <v>1919</v>
      </c>
      <c r="O164" s="7" t="s">
        <v>6</v>
      </c>
      <c r="P164" s="7"/>
    </row>
    <row r="165" spans="1:16" x14ac:dyDescent="0.25">
      <c r="A165" s="14">
        <f>Tabla156798[[#This Row],[FECHA IN]]-15</f>
        <v>44865</v>
      </c>
      <c r="B165" s="14">
        <v>44875</v>
      </c>
      <c r="C165" s="6">
        <v>44840</v>
      </c>
      <c r="D165" s="6">
        <v>44880</v>
      </c>
      <c r="E165" s="6">
        <v>44888</v>
      </c>
      <c r="F165" s="115" t="s">
        <v>1920</v>
      </c>
      <c r="G165" s="66" t="s">
        <v>1921</v>
      </c>
      <c r="H165" s="66" t="s">
        <v>1574</v>
      </c>
      <c r="I165" s="66">
        <v>113991.5</v>
      </c>
      <c r="J165" s="66">
        <v>99175</v>
      </c>
      <c r="K165" s="9">
        <f>Tabla156798[[#This Row],[CANTIDAD PUBLICA]]*0.05</f>
        <v>5699.5750000000007</v>
      </c>
      <c r="L165" s="10">
        <f>Tabla156798[[#This Row],[COMISION AGENCIA]]*0.05</f>
        <v>284.97875000000005</v>
      </c>
      <c r="M165" s="7">
        <v>3318950109</v>
      </c>
      <c r="N165" s="7" t="s">
        <v>1922</v>
      </c>
      <c r="O165" s="7" t="s">
        <v>6</v>
      </c>
      <c r="P165" s="7"/>
    </row>
    <row r="166" spans="1:16" x14ac:dyDescent="0.25">
      <c r="A166" s="14">
        <f>Tabla156798[[#This Row],[FECHA IN]]-15</f>
        <v>44867</v>
      </c>
      <c r="B166" s="14">
        <v>44843</v>
      </c>
      <c r="C166" s="6">
        <v>44843</v>
      </c>
      <c r="D166" s="6">
        <v>44882</v>
      </c>
      <c r="E166" s="6">
        <v>44886</v>
      </c>
      <c r="F166" s="115">
        <v>22104</v>
      </c>
      <c r="G166" s="8" t="s">
        <v>1923</v>
      </c>
      <c r="H166" s="8" t="s">
        <v>1924</v>
      </c>
      <c r="I166" s="8">
        <v>3200</v>
      </c>
      <c r="J166" s="8">
        <v>5455</v>
      </c>
      <c r="K166" s="9">
        <f>Tabla156798[[#This Row],[PRECIO CLIENTE]]-Tabla156798[[#This Row],[CANTIDAD PUBLICA]]</f>
        <v>2255</v>
      </c>
      <c r="L166" s="10">
        <f>Tabla156798[[#This Row],[COMISION AGENCIA]]*0.05</f>
        <v>112.75</v>
      </c>
      <c r="M166" s="7">
        <v>3485939801</v>
      </c>
      <c r="N166" s="7" t="s">
        <v>1925</v>
      </c>
      <c r="O166" s="7" t="s">
        <v>1926</v>
      </c>
      <c r="P166" s="7"/>
    </row>
    <row r="167" spans="1:16" x14ac:dyDescent="0.25">
      <c r="A167" s="14">
        <f>Tabla156798[[#This Row],[FECHA IN]]-15</f>
        <v>44868</v>
      </c>
      <c r="B167" s="14">
        <v>44870</v>
      </c>
      <c r="C167" s="6">
        <v>44861</v>
      </c>
      <c r="D167" s="6">
        <v>44883</v>
      </c>
      <c r="E167" s="6">
        <v>44886</v>
      </c>
      <c r="F167" s="115">
        <v>22439</v>
      </c>
      <c r="G167" s="66" t="s">
        <v>1927</v>
      </c>
      <c r="H167" s="66" t="s">
        <v>1574</v>
      </c>
      <c r="I167" s="66">
        <v>41289.279999999999</v>
      </c>
      <c r="J167" s="66">
        <v>35925</v>
      </c>
      <c r="K167" s="9">
        <f>Tabla156798[[#This Row],[CANTIDAD PUBLICA]]*0.05</f>
        <v>2064.4639999999999</v>
      </c>
      <c r="L167" s="10">
        <f>Tabla156798[[#This Row],[COMISION AGENCIA]]*0.05</f>
        <v>103.22320000000001</v>
      </c>
      <c r="M167" s="7">
        <v>3481030715</v>
      </c>
      <c r="N167" s="7" t="s">
        <v>1928</v>
      </c>
      <c r="O167" s="7" t="s">
        <v>6</v>
      </c>
      <c r="P167" s="7"/>
    </row>
    <row r="168" spans="1:16" x14ac:dyDescent="0.25">
      <c r="A168" s="14">
        <v>44872</v>
      </c>
      <c r="B168" s="14">
        <v>44872</v>
      </c>
      <c r="C168" s="6">
        <v>44872</v>
      </c>
      <c r="D168" s="6">
        <v>44887</v>
      </c>
      <c r="E168" s="7"/>
      <c r="F168" s="115">
        <v>225551</v>
      </c>
      <c r="G168" s="8" t="s">
        <v>1929</v>
      </c>
      <c r="H168" s="8" t="s">
        <v>1930</v>
      </c>
      <c r="I168" s="8">
        <v>3026</v>
      </c>
      <c r="J168" s="8">
        <v>3430</v>
      </c>
      <c r="K168" s="9">
        <f>Tabla156798[[#This Row],[PRECIO CLIENTE]]-Tabla156798[[#This Row],[CANTIDAD PUBLICA]]</f>
        <v>404</v>
      </c>
      <c r="L168" s="10">
        <f>Tabla156798[[#This Row],[COMISION AGENCIA]]*0.05</f>
        <v>20.200000000000003</v>
      </c>
      <c r="M168" s="7"/>
      <c r="N168" s="7" t="s">
        <v>1931</v>
      </c>
      <c r="O168" s="7" t="s">
        <v>47</v>
      </c>
      <c r="P168" s="7"/>
    </row>
    <row r="169" spans="1:16" x14ac:dyDescent="0.25">
      <c r="A169" s="14">
        <v>44872</v>
      </c>
      <c r="B169" s="14">
        <v>44872</v>
      </c>
      <c r="C169" s="6">
        <v>44872</v>
      </c>
      <c r="D169" s="6">
        <v>44874</v>
      </c>
      <c r="E169" s="6">
        <v>44883</v>
      </c>
      <c r="F169" s="115">
        <v>22552</v>
      </c>
      <c r="G169" s="8" t="s">
        <v>1932</v>
      </c>
      <c r="H169" s="8" t="s">
        <v>1743</v>
      </c>
      <c r="I169" s="8">
        <v>6475</v>
      </c>
      <c r="J169" s="8">
        <v>6925</v>
      </c>
      <c r="K169" s="9">
        <f>Tabla156798[[#This Row],[PRECIO CLIENTE]]-Tabla156798[[#This Row],[CANTIDAD PUBLICA]]</f>
        <v>450</v>
      </c>
      <c r="L169" s="10">
        <f>Tabla156798[[#This Row],[COMISION AGENCIA]]*0.05</f>
        <v>22.5</v>
      </c>
      <c r="M169" s="7"/>
      <c r="N169" s="7" t="s">
        <v>1933</v>
      </c>
      <c r="O169" s="7" t="s">
        <v>47</v>
      </c>
      <c r="P169" s="7"/>
    </row>
    <row r="170" spans="1:16" x14ac:dyDescent="0.25">
      <c r="A170" s="14">
        <v>44872</v>
      </c>
      <c r="B170" s="14">
        <v>44872</v>
      </c>
      <c r="C170" s="6">
        <v>44872</v>
      </c>
      <c r="D170" s="6">
        <v>44905</v>
      </c>
      <c r="E170" s="6">
        <v>44908</v>
      </c>
      <c r="F170" s="115">
        <v>22554</v>
      </c>
      <c r="G170" s="8" t="s">
        <v>1934</v>
      </c>
      <c r="H170" s="8" t="s">
        <v>1935</v>
      </c>
      <c r="I170" s="8">
        <v>3768</v>
      </c>
      <c r="J170" s="8">
        <v>4195</v>
      </c>
      <c r="K170" s="9">
        <f>Tabla156798[[#This Row],[PRECIO CLIENTE]]-Tabla156798[[#This Row],[CANTIDAD PUBLICA]]</f>
        <v>427</v>
      </c>
      <c r="L170" s="10">
        <f>Tabla156798[[#This Row],[COMISION AGENCIA]]*0.05</f>
        <v>21.35</v>
      </c>
      <c r="M170" s="7"/>
      <c r="N170" s="7" t="s">
        <v>1936</v>
      </c>
      <c r="O170" s="7" t="s">
        <v>47</v>
      </c>
      <c r="P170" s="7"/>
    </row>
    <row r="171" spans="1:16" x14ac:dyDescent="0.25">
      <c r="A171" s="14">
        <v>44873</v>
      </c>
      <c r="B171" s="14">
        <v>44873</v>
      </c>
      <c r="C171" s="6">
        <v>44873</v>
      </c>
      <c r="D171" s="6">
        <v>44875</v>
      </c>
      <c r="E171" s="7"/>
      <c r="F171" s="115">
        <v>22570</v>
      </c>
      <c r="G171" s="63" t="s">
        <v>1937</v>
      </c>
      <c r="H171" s="8" t="s">
        <v>1938</v>
      </c>
      <c r="I171" s="8">
        <v>1078</v>
      </c>
      <c r="J171" s="8">
        <v>1190</v>
      </c>
      <c r="K171" s="9">
        <f>Tabla156798[[#This Row],[PRECIO CLIENTE]]-Tabla156798[[#This Row],[CANTIDAD PUBLICA]]</f>
        <v>112</v>
      </c>
      <c r="L171" s="10">
        <f>Tabla156798[[#This Row],[COMISION AGENCIA]]*0.05</f>
        <v>5.6000000000000005</v>
      </c>
      <c r="M171" s="7"/>
      <c r="N171" s="7" t="s">
        <v>1939</v>
      </c>
      <c r="O171" s="7" t="s">
        <v>86</v>
      </c>
      <c r="P171" s="7"/>
    </row>
    <row r="172" spans="1:16" x14ac:dyDescent="0.25">
      <c r="A172" s="14">
        <v>44874</v>
      </c>
      <c r="B172" s="14">
        <v>44874</v>
      </c>
      <c r="C172" s="6">
        <v>44874</v>
      </c>
      <c r="D172" s="6">
        <v>44880</v>
      </c>
      <c r="E172" s="6">
        <v>44884</v>
      </c>
      <c r="F172" s="115">
        <v>22580</v>
      </c>
      <c r="G172" s="8" t="s">
        <v>1940</v>
      </c>
      <c r="H172" s="8" t="s">
        <v>1941</v>
      </c>
      <c r="I172" s="8">
        <v>1762</v>
      </c>
      <c r="J172" s="8">
        <v>2205</v>
      </c>
      <c r="K172" s="9">
        <f>Tabla156798[[#This Row],[PRECIO CLIENTE]]-Tabla156798[[#This Row],[CANTIDAD PUBLICA]]</f>
        <v>443</v>
      </c>
      <c r="L172" s="10">
        <f>Tabla156798[[#This Row],[COMISION AGENCIA]]*0.05</f>
        <v>22.150000000000002</v>
      </c>
      <c r="M172" s="7"/>
      <c r="N172" s="7" t="s">
        <v>1942</v>
      </c>
      <c r="O172" s="7" t="s">
        <v>47</v>
      </c>
      <c r="P172" s="7"/>
    </row>
    <row r="173" spans="1:16" x14ac:dyDescent="0.25">
      <c r="A173" s="14">
        <v>44874</v>
      </c>
      <c r="B173" s="14">
        <v>44874</v>
      </c>
      <c r="C173" s="6">
        <v>44874</v>
      </c>
      <c r="D173" s="6">
        <v>44897</v>
      </c>
      <c r="E173" s="6">
        <v>44901</v>
      </c>
      <c r="F173" s="115">
        <v>22581</v>
      </c>
      <c r="G173" s="8" t="s">
        <v>1943</v>
      </c>
      <c r="H173" s="8" t="s">
        <v>1808</v>
      </c>
      <c r="I173" s="8">
        <v>7474</v>
      </c>
      <c r="J173" s="8">
        <v>8180</v>
      </c>
      <c r="K173" s="9">
        <f>Tabla156798[[#This Row],[PRECIO CLIENTE]]-Tabla156798[[#This Row],[CANTIDAD PUBLICA]]</f>
        <v>706</v>
      </c>
      <c r="L173" s="10">
        <f>Tabla156798[[#This Row],[COMISION AGENCIA]]*0.05</f>
        <v>35.300000000000004</v>
      </c>
      <c r="M173" s="7"/>
      <c r="N173" s="7" t="s">
        <v>1944</v>
      </c>
      <c r="O173" s="7" t="s">
        <v>47</v>
      </c>
      <c r="P173" s="7"/>
    </row>
    <row r="174" spans="1:16" x14ac:dyDescent="0.25">
      <c r="A174" s="14">
        <f>Tabla156798[[#This Row],[FECHA IN]]-15</f>
        <v>44874</v>
      </c>
      <c r="B174" s="14">
        <v>44833</v>
      </c>
      <c r="C174" s="67">
        <v>44828</v>
      </c>
      <c r="D174" s="6">
        <v>44889</v>
      </c>
      <c r="E174" s="6">
        <v>44892</v>
      </c>
      <c r="F174" s="115" t="s">
        <v>1945</v>
      </c>
      <c r="G174" s="8" t="s">
        <v>1946</v>
      </c>
      <c r="H174" s="158" t="s">
        <v>1795</v>
      </c>
      <c r="I174" s="8">
        <v>18963.150000000001</v>
      </c>
      <c r="J174" s="8">
        <v>16500</v>
      </c>
      <c r="K174" s="9">
        <f>Tabla156798[[#This Row],[CANTIDAD PUBLICA]]*0.05</f>
        <v>948.15750000000014</v>
      </c>
      <c r="L174" s="9">
        <f>Tabla156798[[#This Row],[COMISION AGENCIA]]*0.05</f>
        <v>47.407875000000011</v>
      </c>
      <c r="M174" s="7">
        <v>3481234744</v>
      </c>
      <c r="N174" s="7" t="s">
        <v>1947</v>
      </c>
      <c r="O174" s="7" t="s">
        <v>6</v>
      </c>
      <c r="P174" s="7"/>
    </row>
    <row r="175" spans="1:16" x14ac:dyDescent="0.25">
      <c r="A175" s="14">
        <f>Tabla156798[[#This Row],[FECHA IN]]-15</f>
        <v>44874</v>
      </c>
      <c r="B175" s="14">
        <v>44865</v>
      </c>
      <c r="C175" s="6">
        <v>44817</v>
      </c>
      <c r="D175" s="6">
        <v>44889</v>
      </c>
      <c r="E175" s="6">
        <v>44893</v>
      </c>
      <c r="F175" s="115"/>
      <c r="G175" s="8" t="s">
        <v>1948</v>
      </c>
      <c r="H175" s="8" t="s">
        <v>1030</v>
      </c>
      <c r="I175" s="8">
        <v>17063.259999999998</v>
      </c>
      <c r="J175" s="8">
        <v>14850</v>
      </c>
      <c r="K175" s="9">
        <f>Tabla156798[[#This Row],[CANTIDAD PUBLICA]]*0.05</f>
        <v>853.16300000000001</v>
      </c>
      <c r="L175" s="10">
        <f>Tabla156798[[#This Row],[COMISION AGENCIA]]*0.05</f>
        <v>42.658150000000006</v>
      </c>
      <c r="M175" s="7">
        <v>3481271140</v>
      </c>
      <c r="N175" s="7" t="s">
        <v>1949</v>
      </c>
      <c r="O175" s="7" t="s">
        <v>6</v>
      </c>
      <c r="P175" s="7"/>
    </row>
    <row r="176" spans="1:16" x14ac:dyDescent="0.25">
      <c r="A176" s="14">
        <f>Tabla156798[[#This Row],[FECHA IN]]-15</f>
        <v>44874</v>
      </c>
      <c r="B176" s="14">
        <v>44865</v>
      </c>
      <c r="C176" s="6">
        <v>44817</v>
      </c>
      <c r="D176" s="6">
        <v>44889</v>
      </c>
      <c r="E176" s="6">
        <v>44893</v>
      </c>
      <c r="F176" s="115"/>
      <c r="G176" s="66" t="s">
        <v>1950</v>
      </c>
      <c r="H176" s="66" t="s">
        <v>1030</v>
      </c>
      <c r="I176" s="66">
        <v>19491.330000000002</v>
      </c>
      <c r="J176" s="66">
        <v>16960</v>
      </c>
      <c r="K176" s="9">
        <f>Tabla156798[[#This Row],[CANTIDAD PUBLICA]]*0.05</f>
        <v>974.56650000000013</v>
      </c>
      <c r="L176" s="10">
        <f>Tabla156798[[#This Row],[COMISION AGENCIA]]*0.05</f>
        <v>48.728325000000012</v>
      </c>
      <c r="M176" s="7">
        <v>3481271140</v>
      </c>
      <c r="N176" s="7" t="s">
        <v>1951</v>
      </c>
      <c r="O176" s="7" t="s">
        <v>6</v>
      </c>
      <c r="P176" s="7"/>
    </row>
    <row r="177" spans="1:16" x14ac:dyDescent="0.25">
      <c r="A177" s="14">
        <f>Tabla156798[[#This Row],[FECHA IN]]-15</f>
        <v>44874</v>
      </c>
      <c r="B177" s="14">
        <v>44865</v>
      </c>
      <c r="C177" s="6">
        <v>44817</v>
      </c>
      <c r="D177" s="6">
        <v>44889</v>
      </c>
      <c r="E177" s="6">
        <v>44893</v>
      </c>
      <c r="F177" s="115"/>
      <c r="G177" s="8" t="s">
        <v>1952</v>
      </c>
      <c r="H177" s="8" t="s">
        <v>1030</v>
      </c>
      <c r="I177" s="8">
        <v>19491.330000000002</v>
      </c>
      <c r="J177" s="8">
        <v>16960</v>
      </c>
      <c r="K177" s="9">
        <f>Tabla156798[[#This Row],[CANTIDAD PUBLICA]]*0.05</f>
        <v>974.56650000000013</v>
      </c>
      <c r="L177" s="10">
        <f>Tabla156798[[#This Row],[COMISION AGENCIA]]*0.05</f>
        <v>48.728325000000012</v>
      </c>
      <c r="M177" s="7">
        <v>3481271140</v>
      </c>
      <c r="N177" s="7" t="s">
        <v>1953</v>
      </c>
      <c r="O177" s="7" t="s">
        <v>6</v>
      </c>
      <c r="P177" s="7"/>
    </row>
    <row r="178" spans="1:16" x14ac:dyDescent="0.25">
      <c r="A178" s="14">
        <v>44875</v>
      </c>
      <c r="B178" s="14">
        <v>44875</v>
      </c>
      <c r="C178" s="6">
        <v>44875</v>
      </c>
      <c r="D178" s="6">
        <v>44877</v>
      </c>
      <c r="E178" s="7"/>
      <c r="F178" s="115">
        <v>22590</v>
      </c>
      <c r="G178" s="8" t="s">
        <v>1954</v>
      </c>
      <c r="H178" s="8" t="s">
        <v>1955</v>
      </c>
      <c r="I178" s="8">
        <v>10670</v>
      </c>
      <c r="J178" s="8">
        <v>11550</v>
      </c>
      <c r="K178" s="9">
        <f>Tabla156798[[#This Row],[PRECIO CLIENTE]]-Tabla156798[[#This Row],[CANTIDAD PUBLICA]]</f>
        <v>880</v>
      </c>
      <c r="L178" s="10">
        <f>Tabla156798[[#This Row],[COMISION AGENCIA]]*0.05</f>
        <v>44</v>
      </c>
      <c r="M178" s="7"/>
      <c r="N178" s="7" t="s">
        <v>1956</v>
      </c>
      <c r="O178" s="7" t="s">
        <v>47</v>
      </c>
      <c r="P178" s="7"/>
    </row>
    <row r="179" spans="1:16" x14ac:dyDescent="0.25">
      <c r="A179" s="14">
        <v>44875</v>
      </c>
      <c r="B179" s="14">
        <v>44875</v>
      </c>
      <c r="C179" s="6">
        <v>44875</v>
      </c>
      <c r="D179" s="6">
        <v>44876</v>
      </c>
      <c r="E179" s="7"/>
      <c r="F179" s="115">
        <v>22595</v>
      </c>
      <c r="G179" s="8" t="s">
        <v>1957</v>
      </c>
      <c r="H179" s="8" t="s">
        <v>1958</v>
      </c>
      <c r="I179" s="8">
        <v>2973</v>
      </c>
      <c r="J179" s="8">
        <v>3305</v>
      </c>
      <c r="K179" s="9">
        <f>Tabla156798[[#This Row],[PRECIO CLIENTE]]-Tabla156798[[#This Row],[CANTIDAD PUBLICA]]</f>
        <v>332</v>
      </c>
      <c r="L179" s="10">
        <f>Tabla156798[[#This Row],[COMISION AGENCIA]]*0.05</f>
        <v>16.600000000000001</v>
      </c>
      <c r="M179" s="7"/>
      <c r="N179" s="7" t="s">
        <v>1959</v>
      </c>
      <c r="O179" s="7" t="s">
        <v>86</v>
      </c>
      <c r="P179" s="7"/>
    </row>
    <row r="180" spans="1:16" x14ac:dyDescent="0.25">
      <c r="A180" s="14">
        <f>Tabla156798[[#This Row],[FECHA IN]]-15</f>
        <v>44875</v>
      </c>
      <c r="B180" s="14">
        <v>44880</v>
      </c>
      <c r="C180" s="6">
        <v>44861</v>
      </c>
      <c r="D180" s="6">
        <v>44890</v>
      </c>
      <c r="E180" s="6">
        <v>44892</v>
      </c>
      <c r="F180" s="115" t="s">
        <v>1960</v>
      </c>
      <c r="G180" s="66" t="s">
        <v>1855</v>
      </c>
      <c r="H180" s="66" t="s">
        <v>1961</v>
      </c>
      <c r="I180" s="66">
        <v>21833.51</v>
      </c>
      <c r="J180" s="66">
        <v>19995</v>
      </c>
      <c r="K180" s="9">
        <f>Tabla156798[[#This Row],[CANTIDAD PUBLICA]]*0.05</f>
        <v>1091.6755000000001</v>
      </c>
      <c r="L180" s="10">
        <f>Tabla156798[[#This Row],[COMISION AGENCIA]]*0.05</f>
        <v>54.583775000000003</v>
      </c>
      <c r="M180" s="7">
        <v>3317442494</v>
      </c>
      <c r="N180" s="7" t="s">
        <v>1962</v>
      </c>
      <c r="O180" s="7" t="s">
        <v>6</v>
      </c>
      <c r="P180" s="7"/>
    </row>
    <row r="181" spans="1:16" x14ac:dyDescent="0.25">
      <c r="A181" s="14">
        <v>44876</v>
      </c>
      <c r="B181" s="14">
        <v>44876</v>
      </c>
      <c r="C181" s="6">
        <v>44876</v>
      </c>
      <c r="D181" s="6">
        <v>44934</v>
      </c>
      <c r="E181" s="6">
        <v>44947</v>
      </c>
      <c r="F181" s="115">
        <v>22605</v>
      </c>
      <c r="G181" s="8" t="s">
        <v>1963</v>
      </c>
      <c r="H181" s="8" t="s">
        <v>1743</v>
      </c>
      <c r="I181" s="8">
        <v>24153</v>
      </c>
      <c r="J181" s="8">
        <v>26000</v>
      </c>
      <c r="K181" s="9">
        <f>Tabla156798[[#This Row],[PRECIO CLIENTE]]-Tabla156798[[#This Row],[CANTIDAD PUBLICA]]</f>
        <v>1847</v>
      </c>
      <c r="L181" s="10">
        <f>Tabla156798[[#This Row],[COMISION AGENCIA]]*0.05</f>
        <v>92.350000000000009</v>
      </c>
      <c r="M181" s="7"/>
      <c r="N181" s="7" t="s">
        <v>1964</v>
      </c>
      <c r="O181" s="7" t="s">
        <v>47</v>
      </c>
      <c r="P181" s="7"/>
    </row>
    <row r="182" spans="1:16" x14ac:dyDescent="0.25">
      <c r="A182" s="14">
        <v>44876</v>
      </c>
      <c r="B182" s="14">
        <v>44876</v>
      </c>
      <c r="C182" s="6">
        <v>44876</v>
      </c>
      <c r="D182" s="6">
        <v>44909</v>
      </c>
      <c r="E182" s="7"/>
      <c r="F182" s="115">
        <v>22607</v>
      </c>
      <c r="G182" s="8" t="s">
        <v>1965</v>
      </c>
      <c r="H182" s="8" t="s">
        <v>1743</v>
      </c>
      <c r="I182" s="8">
        <v>7857</v>
      </c>
      <c r="J182" s="8">
        <v>8510</v>
      </c>
      <c r="K182" s="9">
        <f>Tabla156798[[#This Row],[PRECIO CLIENTE]]-Tabla156798[[#This Row],[CANTIDAD PUBLICA]]</f>
        <v>653</v>
      </c>
      <c r="L182" s="10">
        <f>Tabla156798[[#This Row],[COMISION AGENCIA]]*0.05</f>
        <v>32.65</v>
      </c>
      <c r="M182" s="7"/>
      <c r="N182" s="7" t="s">
        <v>1966</v>
      </c>
      <c r="O182" s="7" t="s">
        <v>47</v>
      </c>
      <c r="P182" s="7"/>
    </row>
    <row r="183" spans="1:16" x14ac:dyDescent="0.25">
      <c r="A183" s="14">
        <v>44876</v>
      </c>
      <c r="B183" s="14">
        <v>44876</v>
      </c>
      <c r="C183" s="6">
        <v>44876</v>
      </c>
      <c r="D183" s="6">
        <v>44884</v>
      </c>
      <c r="E183" s="7"/>
      <c r="F183" s="115"/>
      <c r="G183" s="8" t="s">
        <v>1967</v>
      </c>
      <c r="H183" s="8" t="s">
        <v>1811</v>
      </c>
      <c r="I183" s="8">
        <v>4693</v>
      </c>
      <c r="J183" s="8">
        <v>5180</v>
      </c>
      <c r="K183" s="9">
        <f>Tabla156798[[#This Row],[PRECIO CLIENTE]]-Tabla156798[[#This Row],[CANTIDAD PUBLICA]]</f>
        <v>487</v>
      </c>
      <c r="L183" s="10">
        <f>Tabla156798[[#This Row],[COMISION AGENCIA]]*0.05</f>
        <v>24.35</v>
      </c>
      <c r="M183" s="7"/>
      <c r="N183" s="7" t="s">
        <v>1968</v>
      </c>
      <c r="O183" s="7" t="s">
        <v>47</v>
      </c>
      <c r="P183" s="7"/>
    </row>
    <row r="184" spans="1:16" x14ac:dyDescent="0.25">
      <c r="A184" s="14">
        <v>44877</v>
      </c>
      <c r="B184" s="14">
        <v>44877</v>
      </c>
      <c r="C184" s="6">
        <v>44877</v>
      </c>
      <c r="D184" s="6">
        <v>44981</v>
      </c>
      <c r="E184" s="6">
        <v>44998</v>
      </c>
      <c r="F184" s="115">
        <v>22624</v>
      </c>
      <c r="G184" s="8" t="s">
        <v>1969</v>
      </c>
      <c r="H184" s="8" t="s">
        <v>1622</v>
      </c>
      <c r="I184" s="8">
        <f>5165+15495</f>
        <v>20660</v>
      </c>
      <c r="J184" s="8">
        <v>22200</v>
      </c>
      <c r="K184" s="9">
        <f>Tabla156798[[#This Row],[PRECIO CLIENTE]]-Tabla156798[[#This Row],[CANTIDAD PUBLICA]]</f>
        <v>1540</v>
      </c>
      <c r="L184" s="10">
        <f>Tabla156798[[#This Row],[COMISION AGENCIA]]*0.05</f>
        <v>77</v>
      </c>
      <c r="M184" s="7"/>
      <c r="N184" s="7" t="s">
        <v>1970</v>
      </c>
      <c r="O184" s="7" t="s">
        <v>47</v>
      </c>
      <c r="P184" s="7"/>
    </row>
    <row r="185" spans="1:16" x14ac:dyDescent="0.25">
      <c r="A185" s="14">
        <v>44879</v>
      </c>
      <c r="B185" s="14">
        <v>44879</v>
      </c>
      <c r="C185" s="6">
        <v>44879</v>
      </c>
      <c r="D185" s="6">
        <v>44881</v>
      </c>
      <c r="E185" s="6">
        <v>44888</v>
      </c>
      <c r="F185" s="115">
        <v>22630</v>
      </c>
      <c r="G185" s="8" t="s">
        <v>1971</v>
      </c>
      <c r="H185" s="8" t="s">
        <v>1532</v>
      </c>
      <c r="I185" s="8">
        <v>7215</v>
      </c>
      <c r="J185" s="8">
        <v>7750</v>
      </c>
      <c r="K185" s="9">
        <f>Tabla156798[[#This Row],[PRECIO CLIENTE]]-Tabla156798[[#This Row],[CANTIDAD PUBLICA]]</f>
        <v>535</v>
      </c>
      <c r="L185" s="10">
        <f>Tabla156798[[#This Row],[COMISION AGENCIA]]*0.05</f>
        <v>26.75</v>
      </c>
      <c r="M185" s="7"/>
      <c r="N185" s="7" t="s">
        <v>1972</v>
      </c>
      <c r="O185" s="7" t="s">
        <v>47</v>
      </c>
      <c r="P185" s="7"/>
    </row>
    <row r="186" spans="1:16" x14ac:dyDescent="0.25">
      <c r="A186" s="14">
        <v>44879</v>
      </c>
      <c r="B186" s="14">
        <v>44879</v>
      </c>
      <c r="C186" s="6">
        <v>44879</v>
      </c>
      <c r="D186" s="6">
        <v>44914</v>
      </c>
      <c r="E186" s="6">
        <v>44569</v>
      </c>
      <c r="F186" s="115">
        <v>22632</v>
      </c>
      <c r="G186" s="8" t="s">
        <v>1973</v>
      </c>
      <c r="H186" s="8" t="s">
        <v>1637</v>
      </c>
      <c r="I186" s="8">
        <v>12280</v>
      </c>
      <c r="J186" s="8">
        <v>12960</v>
      </c>
      <c r="K186" s="9">
        <f>Tabla156798[[#This Row],[PRECIO CLIENTE]]-Tabla156798[[#This Row],[CANTIDAD PUBLICA]]</f>
        <v>680</v>
      </c>
      <c r="L186" s="10">
        <f>Tabla156798[[#This Row],[COMISION AGENCIA]]*0.05</f>
        <v>34</v>
      </c>
      <c r="M186" s="7"/>
      <c r="N186" s="7" t="s">
        <v>1974</v>
      </c>
      <c r="O186" s="7" t="s">
        <v>47</v>
      </c>
      <c r="P186" s="7"/>
    </row>
    <row r="187" spans="1:16" x14ac:dyDescent="0.25">
      <c r="A187" s="14">
        <v>44879</v>
      </c>
      <c r="B187" s="14">
        <v>44879</v>
      </c>
      <c r="C187" s="6">
        <v>44879</v>
      </c>
      <c r="D187" s="6">
        <v>44882</v>
      </c>
      <c r="E187" s="7"/>
      <c r="F187" s="115">
        <v>22641</v>
      </c>
      <c r="G187" s="8" t="s">
        <v>1975</v>
      </c>
      <c r="H187" s="8" t="s">
        <v>1976</v>
      </c>
      <c r="I187" s="8">
        <v>14728</v>
      </c>
      <c r="J187" s="8">
        <v>15960</v>
      </c>
      <c r="K187" s="9">
        <f>Tabla156798[[#This Row],[PRECIO CLIENTE]]-Tabla156798[[#This Row],[CANTIDAD PUBLICA]]</f>
        <v>1232</v>
      </c>
      <c r="L187" s="10">
        <f>Tabla156798[[#This Row],[COMISION AGENCIA]]*0.05</f>
        <v>61.6</v>
      </c>
      <c r="M187" s="7"/>
      <c r="N187" s="7" t="s">
        <v>1977</v>
      </c>
      <c r="O187" s="7" t="s">
        <v>47</v>
      </c>
      <c r="P187" s="7"/>
    </row>
    <row r="188" spans="1:16" x14ac:dyDescent="0.25">
      <c r="A188" s="14">
        <v>44880</v>
      </c>
      <c r="B188" s="14">
        <v>44880</v>
      </c>
      <c r="C188" s="6">
        <v>44880</v>
      </c>
      <c r="D188" s="6">
        <v>44881</v>
      </c>
      <c r="E188" s="7"/>
      <c r="F188" s="115">
        <v>22639</v>
      </c>
      <c r="G188" s="8" t="s">
        <v>1978</v>
      </c>
      <c r="H188" s="8" t="s">
        <v>1979</v>
      </c>
      <c r="I188" s="8">
        <v>6600</v>
      </c>
      <c r="J188" s="8">
        <v>7350</v>
      </c>
      <c r="K188" s="9">
        <f>Tabla156798[[#This Row],[PRECIO CLIENTE]]-Tabla156798[[#This Row],[CANTIDAD PUBLICA]]</f>
        <v>750</v>
      </c>
      <c r="L188" s="10">
        <f>Tabla156798[[#This Row],[COMISION AGENCIA]]*0.05</f>
        <v>37.5</v>
      </c>
      <c r="M188" s="7"/>
      <c r="N188" s="7" t="s">
        <v>1980</v>
      </c>
      <c r="O188" s="7" t="s">
        <v>47</v>
      </c>
      <c r="P188" s="7"/>
    </row>
    <row r="189" spans="1:16" x14ac:dyDescent="0.25">
      <c r="A189" s="14">
        <v>44880</v>
      </c>
      <c r="B189" s="14">
        <v>44880</v>
      </c>
      <c r="C189" s="6">
        <v>44880</v>
      </c>
      <c r="D189" s="6">
        <v>44895</v>
      </c>
      <c r="E189" s="7"/>
      <c r="F189" s="115">
        <v>22640</v>
      </c>
      <c r="G189" s="8" t="s">
        <v>1975</v>
      </c>
      <c r="H189" s="8" t="s">
        <v>1981</v>
      </c>
      <c r="I189" s="8">
        <v>4122</v>
      </c>
      <c r="J189" s="8">
        <v>4600</v>
      </c>
      <c r="K189" s="9">
        <f>Tabla156798[[#This Row],[PRECIO CLIENTE]]-Tabla156798[[#This Row],[CANTIDAD PUBLICA]]</f>
        <v>478</v>
      </c>
      <c r="L189" s="10">
        <f>Tabla156798[[#This Row],[COMISION AGENCIA]]*0.05</f>
        <v>23.900000000000002</v>
      </c>
      <c r="M189" s="7"/>
      <c r="N189" s="7" t="s">
        <v>1982</v>
      </c>
      <c r="O189" s="7" t="s">
        <v>47</v>
      </c>
      <c r="P189" s="7"/>
    </row>
    <row r="190" spans="1:16" x14ac:dyDescent="0.25">
      <c r="A190" s="14">
        <v>44881</v>
      </c>
      <c r="B190" s="14">
        <v>44881</v>
      </c>
      <c r="C190" s="6">
        <v>44881</v>
      </c>
      <c r="D190" s="6">
        <v>44891</v>
      </c>
      <c r="E190" s="6">
        <v>44905</v>
      </c>
      <c r="F190" s="115">
        <v>22661</v>
      </c>
      <c r="G190" s="8" t="s">
        <v>1983</v>
      </c>
      <c r="H190" s="8" t="s">
        <v>1955</v>
      </c>
      <c r="I190" s="8">
        <v>8134</v>
      </c>
      <c r="J190" s="8">
        <v>8665</v>
      </c>
      <c r="K190" s="9">
        <f>Tabla156798[[#This Row],[PRECIO CLIENTE]]-Tabla156798[[#This Row],[CANTIDAD PUBLICA]]</f>
        <v>531</v>
      </c>
      <c r="L190" s="10">
        <f>Tabla156798[[#This Row],[COMISION AGENCIA]]*0.05</f>
        <v>26.55</v>
      </c>
      <c r="M190" s="7"/>
      <c r="N190" s="7" t="s">
        <v>1984</v>
      </c>
      <c r="O190" s="7" t="s">
        <v>47</v>
      </c>
      <c r="P190" s="7"/>
    </row>
    <row r="191" spans="1:16" x14ac:dyDescent="0.25">
      <c r="A191" s="14">
        <v>44881</v>
      </c>
      <c r="B191" s="14">
        <v>44881</v>
      </c>
      <c r="C191" s="6">
        <v>44881</v>
      </c>
      <c r="D191" s="6">
        <v>44905</v>
      </c>
      <c r="E191" s="7"/>
      <c r="F191" s="115"/>
      <c r="G191" s="8" t="s">
        <v>1985</v>
      </c>
      <c r="H191" s="8" t="s">
        <v>1811</v>
      </c>
      <c r="I191" s="8">
        <v>3722</v>
      </c>
      <c r="J191" s="8">
        <v>4165</v>
      </c>
      <c r="K191" s="9">
        <f>Tabla156798[[#This Row],[PRECIO CLIENTE]]-Tabla156798[[#This Row],[CANTIDAD PUBLICA]]</f>
        <v>443</v>
      </c>
      <c r="L191" s="10">
        <f>Tabla156798[[#This Row],[COMISION AGENCIA]]*0.05</f>
        <v>22.150000000000002</v>
      </c>
      <c r="M191" s="7"/>
      <c r="N191" s="7" t="s">
        <v>1986</v>
      </c>
      <c r="O191" s="7" t="s">
        <v>47</v>
      </c>
      <c r="P191" s="7"/>
    </row>
    <row r="192" spans="1:16" x14ac:dyDescent="0.25">
      <c r="A192" s="14">
        <v>44881</v>
      </c>
      <c r="B192" s="14">
        <v>44881</v>
      </c>
      <c r="C192" s="6">
        <v>44881</v>
      </c>
      <c r="D192" s="6">
        <v>44928</v>
      </c>
      <c r="E192" s="7"/>
      <c r="F192" s="115">
        <v>22667</v>
      </c>
      <c r="G192" s="8" t="s">
        <v>1987</v>
      </c>
      <c r="H192" s="8" t="s">
        <v>1808</v>
      </c>
      <c r="I192" s="8">
        <v>5085</v>
      </c>
      <c r="J192" s="8">
        <v>6150</v>
      </c>
      <c r="K192" s="9">
        <f>Tabla156798[[#This Row],[PRECIO CLIENTE]]-Tabla156798[[#This Row],[CANTIDAD PUBLICA]]</f>
        <v>1065</v>
      </c>
      <c r="L192" s="10">
        <f>Tabla156798[[#This Row],[COMISION AGENCIA]]*0.05</f>
        <v>53.25</v>
      </c>
      <c r="M192" s="7"/>
      <c r="N192" s="7" t="s">
        <v>1988</v>
      </c>
      <c r="O192" s="7" t="s">
        <v>47</v>
      </c>
      <c r="P192" s="7"/>
    </row>
    <row r="193" spans="1:16" x14ac:dyDescent="0.25">
      <c r="A193" s="14">
        <f>Tabla156798[[#This Row],[FECHA IN]]-15</f>
        <v>44881</v>
      </c>
      <c r="B193" s="14">
        <v>44876</v>
      </c>
      <c r="C193" s="6">
        <v>44855</v>
      </c>
      <c r="D193" s="6">
        <v>44896</v>
      </c>
      <c r="E193" s="6">
        <v>44899</v>
      </c>
      <c r="F193" s="115">
        <v>22555</v>
      </c>
      <c r="G193" s="8" t="s">
        <v>1989</v>
      </c>
      <c r="H193" s="8" t="s">
        <v>1990</v>
      </c>
      <c r="I193" s="8">
        <v>25354.26</v>
      </c>
      <c r="J193" s="8">
        <v>22060</v>
      </c>
      <c r="K193" s="9">
        <f>Tabla156798[[#This Row],[CANTIDAD PUBLICA]]*0.05</f>
        <v>1267.713</v>
      </c>
      <c r="L193" s="10">
        <f>Tabla156798[[#This Row],[COMISION AGENCIA]]*0.05</f>
        <v>63.385649999999998</v>
      </c>
      <c r="M193" s="7">
        <v>3487846182</v>
      </c>
      <c r="N193" s="7" t="s">
        <v>1991</v>
      </c>
      <c r="O193" s="7" t="s">
        <v>6</v>
      </c>
      <c r="P193" s="7"/>
    </row>
    <row r="194" spans="1:16" x14ac:dyDescent="0.25">
      <c r="A194" s="14">
        <v>44882</v>
      </c>
      <c r="B194" s="14">
        <v>44882</v>
      </c>
      <c r="C194" s="6">
        <v>44882</v>
      </c>
      <c r="D194" s="6">
        <v>45239</v>
      </c>
      <c r="E194" s="6">
        <v>45246</v>
      </c>
      <c r="F194" s="115">
        <v>22674</v>
      </c>
      <c r="G194" s="8" t="s">
        <v>1992</v>
      </c>
      <c r="H194" s="8" t="s">
        <v>1858</v>
      </c>
      <c r="I194" s="8">
        <v>8522</v>
      </c>
      <c r="J194" s="8">
        <v>9150</v>
      </c>
      <c r="K194" s="9">
        <f>Tabla156798[[#This Row],[PRECIO CLIENTE]]-Tabla156798[[#This Row],[CANTIDAD PUBLICA]]</f>
        <v>628</v>
      </c>
      <c r="L194" s="10">
        <f>Tabla156798[[#This Row],[COMISION AGENCIA]]*0.05</f>
        <v>31.400000000000002</v>
      </c>
      <c r="M194" s="7"/>
      <c r="N194" s="7" t="s">
        <v>1993</v>
      </c>
      <c r="O194" s="7" t="s">
        <v>47</v>
      </c>
      <c r="P194" s="7"/>
    </row>
    <row r="195" spans="1:16" x14ac:dyDescent="0.25">
      <c r="A195" s="14">
        <v>44882</v>
      </c>
      <c r="B195" s="14">
        <v>44882</v>
      </c>
      <c r="C195" s="6">
        <v>44882</v>
      </c>
      <c r="D195" s="6">
        <v>45239</v>
      </c>
      <c r="E195" s="6">
        <v>45246</v>
      </c>
      <c r="F195" s="115">
        <v>22674</v>
      </c>
      <c r="G195" s="8" t="s">
        <v>1994</v>
      </c>
      <c r="H195" s="8" t="s">
        <v>1858</v>
      </c>
      <c r="I195" s="8">
        <v>18108</v>
      </c>
      <c r="J195" s="8">
        <v>19400</v>
      </c>
      <c r="K195" s="9">
        <f>Tabla156798[[#This Row],[PRECIO CLIENTE]]-Tabla156798[[#This Row],[CANTIDAD PUBLICA]]</f>
        <v>1292</v>
      </c>
      <c r="L195" s="10">
        <f>Tabla156798[[#This Row],[COMISION AGENCIA]]*0.05</f>
        <v>64.600000000000009</v>
      </c>
      <c r="M195" s="7"/>
      <c r="N195" s="7" t="s">
        <v>1995</v>
      </c>
      <c r="O195" s="7" t="s">
        <v>47</v>
      </c>
      <c r="P195" s="7"/>
    </row>
    <row r="196" spans="1:16" x14ac:dyDescent="0.25">
      <c r="A196" s="14">
        <v>44882</v>
      </c>
      <c r="B196" s="14">
        <v>44882</v>
      </c>
      <c r="C196" s="6">
        <v>44882</v>
      </c>
      <c r="D196" s="6">
        <v>45239</v>
      </c>
      <c r="E196" s="6">
        <v>45246</v>
      </c>
      <c r="F196" s="115">
        <v>22674</v>
      </c>
      <c r="G196" s="8" t="s">
        <v>1996</v>
      </c>
      <c r="H196" s="8" t="s">
        <v>1858</v>
      </c>
      <c r="I196" s="8">
        <v>22635</v>
      </c>
      <c r="J196" s="8">
        <v>24250</v>
      </c>
      <c r="K196" s="9">
        <f>Tabla156798[[#This Row],[PRECIO CLIENTE]]-Tabla156798[[#This Row],[CANTIDAD PUBLICA]]</f>
        <v>1615</v>
      </c>
      <c r="L196" s="10">
        <f>Tabla156798[[#This Row],[COMISION AGENCIA]]*0.05</f>
        <v>80.75</v>
      </c>
      <c r="M196" s="7"/>
      <c r="N196" s="7" t="s">
        <v>1997</v>
      </c>
      <c r="O196" s="7" t="s">
        <v>47</v>
      </c>
      <c r="P196" s="7"/>
    </row>
    <row r="197" spans="1:16" x14ac:dyDescent="0.25">
      <c r="A197" s="14">
        <v>44883</v>
      </c>
      <c r="B197" s="14">
        <v>44883</v>
      </c>
      <c r="C197" s="6">
        <v>44883</v>
      </c>
      <c r="D197" s="6">
        <v>45021</v>
      </c>
      <c r="E197" s="6">
        <v>45058</v>
      </c>
      <c r="F197" s="115">
        <v>22681</v>
      </c>
      <c r="G197" s="8" t="s">
        <v>1998</v>
      </c>
      <c r="H197" s="8" t="s">
        <v>1532</v>
      </c>
      <c r="I197" s="8">
        <v>8172</v>
      </c>
      <c r="J197" s="8">
        <v>8780</v>
      </c>
      <c r="K197" s="9">
        <f>Tabla156798[[#This Row],[PRECIO CLIENTE]]-Tabla156798[[#This Row],[CANTIDAD PUBLICA]]</f>
        <v>608</v>
      </c>
      <c r="L197" s="10">
        <f>Tabla156798[[#This Row],[COMISION AGENCIA]]*0.05</f>
        <v>30.400000000000002</v>
      </c>
      <c r="M197" s="7"/>
      <c r="N197" s="7" t="s">
        <v>1999</v>
      </c>
      <c r="O197" s="7" t="s">
        <v>47</v>
      </c>
      <c r="P197" s="7"/>
    </row>
    <row r="198" spans="1:16" x14ac:dyDescent="0.25">
      <c r="A198" s="14">
        <v>44883</v>
      </c>
      <c r="B198" s="14">
        <v>44883</v>
      </c>
      <c r="C198" s="6">
        <v>44883</v>
      </c>
      <c r="D198" s="6">
        <v>45037</v>
      </c>
      <c r="E198" s="6">
        <v>45047</v>
      </c>
      <c r="F198" s="115">
        <v>22689</v>
      </c>
      <c r="G198" s="8" t="s">
        <v>2000</v>
      </c>
      <c r="H198" s="8" t="s">
        <v>1930</v>
      </c>
      <c r="I198" s="8">
        <v>28347</v>
      </c>
      <c r="J198" s="8">
        <v>30450</v>
      </c>
      <c r="K198" s="9">
        <f>Tabla156798[[#This Row],[PRECIO CLIENTE]]-Tabla156798[[#This Row],[CANTIDAD PUBLICA]]</f>
        <v>2103</v>
      </c>
      <c r="L198" s="10">
        <f>Tabla156798[[#This Row],[COMISION AGENCIA]]*0.05</f>
        <v>105.15</v>
      </c>
      <c r="M198" s="7"/>
      <c r="N198" s="7" t="s">
        <v>2001</v>
      </c>
      <c r="O198" s="7" t="s">
        <v>47</v>
      </c>
      <c r="P198" s="7"/>
    </row>
    <row r="199" spans="1:16" x14ac:dyDescent="0.25">
      <c r="A199" s="14">
        <v>44883</v>
      </c>
      <c r="B199" s="14">
        <v>44883</v>
      </c>
      <c r="C199" s="6">
        <v>44883</v>
      </c>
      <c r="D199" s="6">
        <v>44899</v>
      </c>
      <c r="E199" s="7"/>
      <c r="F199" s="115">
        <v>22682</v>
      </c>
      <c r="G199" s="8" t="s">
        <v>1929</v>
      </c>
      <c r="H199" s="8" t="s">
        <v>2002</v>
      </c>
      <c r="I199" s="8">
        <v>3159</v>
      </c>
      <c r="J199" s="8">
        <v>3460</v>
      </c>
      <c r="K199" s="9">
        <f>Tabla156798[[#This Row],[PRECIO CLIENTE]]-Tabla156798[[#This Row],[CANTIDAD PUBLICA]]</f>
        <v>301</v>
      </c>
      <c r="L199" s="10">
        <f>Tabla156798[[#This Row],[COMISION AGENCIA]]*0.05</f>
        <v>15.05</v>
      </c>
      <c r="M199" s="7"/>
      <c r="N199" s="7" t="s">
        <v>2003</v>
      </c>
      <c r="O199" s="7" t="s">
        <v>47</v>
      </c>
      <c r="P199" s="7"/>
    </row>
    <row r="200" spans="1:16" x14ac:dyDescent="0.25">
      <c r="A200" s="14">
        <v>44883</v>
      </c>
      <c r="B200" s="14">
        <v>44883</v>
      </c>
      <c r="C200" s="6">
        <v>44883</v>
      </c>
      <c r="D200" s="6">
        <v>44886</v>
      </c>
      <c r="E200" s="7"/>
      <c r="F200" s="115">
        <v>22690</v>
      </c>
      <c r="G200" s="8" t="s">
        <v>1616</v>
      </c>
      <c r="H200" s="8" t="s">
        <v>1833</v>
      </c>
      <c r="I200" s="8">
        <v>4634</v>
      </c>
      <c r="J200" s="8">
        <v>4935</v>
      </c>
      <c r="K200" s="9">
        <f>Tabla156798[[#This Row],[PRECIO CLIENTE]]-Tabla156798[[#This Row],[CANTIDAD PUBLICA]]</f>
        <v>301</v>
      </c>
      <c r="L200" s="10">
        <f>Tabla156798[[#This Row],[COMISION AGENCIA]]*0.05</f>
        <v>15.05</v>
      </c>
      <c r="M200" s="7"/>
      <c r="N200" s="7" t="s">
        <v>2004</v>
      </c>
      <c r="O200" s="7" t="s">
        <v>47</v>
      </c>
      <c r="P200" s="7"/>
    </row>
    <row r="201" spans="1:16" x14ac:dyDescent="0.25">
      <c r="A201" s="14">
        <v>44883</v>
      </c>
      <c r="B201" s="14">
        <v>44883</v>
      </c>
      <c r="C201" s="6">
        <v>44883</v>
      </c>
      <c r="D201" s="6">
        <v>45052</v>
      </c>
      <c r="E201" s="7"/>
      <c r="F201" s="115">
        <v>22692</v>
      </c>
      <c r="G201" s="8" t="s">
        <v>2005</v>
      </c>
      <c r="H201" s="8" t="s">
        <v>1541</v>
      </c>
      <c r="I201" s="8">
        <v>3840</v>
      </c>
      <c r="J201" s="8">
        <v>4140</v>
      </c>
      <c r="K201" s="9">
        <f>Tabla156798[[#This Row],[PRECIO CLIENTE]]-Tabla156798[[#This Row],[CANTIDAD PUBLICA]]</f>
        <v>300</v>
      </c>
      <c r="L201" s="10">
        <f>Tabla156798[[#This Row],[COMISION AGENCIA]]*0.05</f>
        <v>15</v>
      </c>
      <c r="M201" s="7"/>
      <c r="N201" s="7" t="s">
        <v>2006</v>
      </c>
      <c r="O201" s="7" t="s">
        <v>47</v>
      </c>
      <c r="P201" s="7"/>
    </row>
    <row r="202" spans="1:16" x14ac:dyDescent="0.25">
      <c r="A202" s="14">
        <v>44883</v>
      </c>
      <c r="B202" s="14">
        <v>44883</v>
      </c>
      <c r="C202" s="6">
        <v>44883</v>
      </c>
      <c r="D202" s="6">
        <v>44886</v>
      </c>
      <c r="E202" s="6">
        <v>44892</v>
      </c>
      <c r="F202" s="115">
        <v>22698</v>
      </c>
      <c r="G202" s="8" t="s">
        <v>2007</v>
      </c>
      <c r="H202" s="8" t="s">
        <v>1637</v>
      </c>
      <c r="I202" s="8">
        <v>7439</v>
      </c>
      <c r="J202" s="8">
        <v>7740</v>
      </c>
      <c r="K202" s="9">
        <f>Tabla156798[[#This Row],[PRECIO CLIENTE]]-Tabla156798[[#This Row],[CANTIDAD PUBLICA]]</f>
        <v>301</v>
      </c>
      <c r="L202" s="10">
        <f>Tabla156798[[#This Row],[COMISION AGENCIA]]*0.05</f>
        <v>15.05</v>
      </c>
      <c r="M202" s="7"/>
      <c r="N202" s="7" t="s">
        <v>2008</v>
      </c>
      <c r="O202" s="7" t="s">
        <v>47</v>
      </c>
      <c r="P202" s="7"/>
    </row>
    <row r="203" spans="1:16" x14ac:dyDescent="0.25">
      <c r="A203" s="14">
        <v>44884</v>
      </c>
      <c r="B203" s="14">
        <v>44884</v>
      </c>
      <c r="C203" s="6">
        <v>44884</v>
      </c>
      <c r="D203" s="6">
        <v>44997</v>
      </c>
      <c r="E203" s="6">
        <v>45000</v>
      </c>
      <c r="F203" s="115"/>
      <c r="G203" s="8" t="s">
        <v>2009</v>
      </c>
      <c r="H203" s="8" t="s">
        <v>2010</v>
      </c>
      <c r="I203" s="8">
        <v>11616</v>
      </c>
      <c r="J203" s="8">
        <v>14040</v>
      </c>
      <c r="K203" s="9">
        <f>Tabla156798[[#This Row],[PRECIO CLIENTE]]-Tabla156798[[#This Row],[CANTIDAD PUBLICA]]</f>
        <v>2424</v>
      </c>
      <c r="L203" s="10">
        <f>Tabla156798[[#This Row],[COMISION AGENCIA]]*0.05</f>
        <v>121.2</v>
      </c>
      <c r="M203" s="7"/>
      <c r="N203" s="7" t="s">
        <v>2011</v>
      </c>
      <c r="O203" s="7" t="s">
        <v>47</v>
      </c>
      <c r="P203" s="7"/>
    </row>
    <row r="204" spans="1:16" x14ac:dyDescent="0.25">
      <c r="A204" s="14">
        <f>Tabla156798[[#This Row],[FECHA IN]]-15</f>
        <v>44884</v>
      </c>
      <c r="B204" s="14">
        <v>44839</v>
      </c>
      <c r="C204" s="6">
        <v>44838</v>
      </c>
      <c r="D204" s="6">
        <v>44899</v>
      </c>
      <c r="E204" s="6">
        <v>44903</v>
      </c>
      <c r="F204" s="115" t="s">
        <v>2012</v>
      </c>
      <c r="G204" s="8" t="s">
        <v>2013</v>
      </c>
      <c r="H204" s="8" t="s">
        <v>1795</v>
      </c>
      <c r="I204" s="8">
        <v>19631.88</v>
      </c>
      <c r="J204" s="8">
        <v>17085</v>
      </c>
      <c r="K204" s="9">
        <f>Tabla156798[[#This Row],[CANTIDAD PUBLICA]]*0.05</f>
        <v>981.59400000000005</v>
      </c>
      <c r="L204" s="10">
        <f>Tabla156798[[#This Row],[COMISION AGENCIA]]*0.05</f>
        <v>49.079700000000003</v>
      </c>
      <c r="M204" s="7"/>
      <c r="N204" s="7" t="s">
        <v>2014</v>
      </c>
      <c r="O204" s="7" t="s">
        <v>6</v>
      </c>
      <c r="P204" s="7"/>
    </row>
    <row r="205" spans="1:16" x14ac:dyDescent="0.25">
      <c r="A205" s="14">
        <f>Tabla156798[[#This Row],[FECHA IN]]-15</f>
        <v>44884</v>
      </c>
      <c r="B205" s="14">
        <v>44888</v>
      </c>
      <c r="C205" s="6">
        <v>44845</v>
      </c>
      <c r="D205" s="6">
        <v>44899</v>
      </c>
      <c r="E205" s="6">
        <v>44903</v>
      </c>
      <c r="F205" s="115">
        <v>22172</v>
      </c>
      <c r="G205" s="8" t="s">
        <v>2015</v>
      </c>
      <c r="H205" s="8" t="s">
        <v>1773</v>
      </c>
      <c r="I205" s="8">
        <v>18384</v>
      </c>
      <c r="J205" s="8">
        <v>15995</v>
      </c>
      <c r="K205" s="9">
        <f>Tabla156798[[#This Row],[CANTIDAD PUBLICA]]*0.05</f>
        <v>919.2</v>
      </c>
      <c r="L205" s="10">
        <f>Tabla156798[[#This Row],[COMISION AGENCIA]]*0.05</f>
        <v>45.960000000000008</v>
      </c>
      <c r="M205" s="7">
        <v>3481139385</v>
      </c>
      <c r="N205" s="7" t="s">
        <v>2016</v>
      </c>
      <c r="O205" s="7" t="s">
        <v>6</v>
      </c>
      <c r="P205" s="7"/>
    </row>
    <row r="206" spans="1:16" x14ac:dyDescent="0.25">
      <c r="A206" s="14">
        <f>Tabla156798[[#This Row],[FECHA IN]]-15</f>
        <v>44884</v>
      </c>
      <c r="B206" s="14">
        <v>44888</v>
      </c>
      <c r="C206" s="6">
        <v>44845</v>
      </c>
      <c r="D206" s="6">
        <v>44899</v>
      </c>
      <c r="E206" s="6">
        <v>44903</v>
      </c>
      <c r="F206" s="115">
        <v>22172</v>
      </c>
      <c r="G206" s="8" t="s">
        <v>2017</v>
      </c>
      <c r="H206" s="158" t="s">
        <v>1773</v>
      </c>
      <c r="I206" s="8">
        <v>26323</v>
      </c>
      <c r="J206" s="8">
        <v>22905</v>
      </c>
      <c r="K206" s="9">
        <f>Tabla156798[[#This Row],[CANTIDAD PUBLICA]]*0.05</f>
        <v>1316.15</v>
      </c>
      <c r="L206" s="10">
        <f>Tabla156798[[#This Row],[COMISION AGENCIA]]*0.05</f>
        <v>65.807500000000005</v>
      </c>
      <c r="M206" s="7">
        <v>3481139385</v>
      </c>
      <c r="N206" s="7" t="s">
        <v>2018</v>
      </c>
      <c r="O206" s="7" t="s">
        <v>6</v>
      </c>
      <c r="P206" s="7"/>
    </row>
    <row r="207" spans="1:16" x14ac:dyDescent="0.25">
      <c r="A207" s="14">
        <f>Tabla156798[[#This Row],[FECHA IN]]-15</f>
        <v>44884</v>
      </c>
      <c r="B207" s="14">
        <v>44888</v>
      </c>
      <c r="C207" s="6">
        <v>44845</v>
      </c>
      <c r="D207" s="6">
        <v>44899</v>
      </c>
      <c r="E207" s="6">
        <v>44903</v>
      </c>
      <c r="F207" s="115">
        <v>22172</v>
      </c>
      <c r="G207" s="8" t="s">
        <v>2019</v>
      </c>
      <c r="H207" s="158" t="s">
        <v>1773</v>
      </c>
      <c r="I207" s="8">
        <v>26323</v>
      </c>
      <c r="J207" s="8">
        <v>25500</v>
      </c>
      <c r="K207" s="9">
        <f>Tabla156798[[#This Row],[CANTIDAD PUBLICA]]*0.05</f>
        <v>1316.15</v>
      </c>
      <c r="L207" s="10">
        <f>Tabla156798[[#This Row],[COMISION AGENCIA]]*0.05</f>
        <v>65.807500000000005</v>
      </c>
      <c r="M207" s="7">
        <v>3481139385</v>
      </c>
      <c r="N207" s="7" t="s">
        <v>2020</v>
      </c>
      <c r="O207" s="7" t="s">
        <v>6</v>
      </c>
      <c r="P207" s="7"/>
    </row>
    <row r="208" spans="1:16" x14ac:dyDescent="0.25">
      <c r="A208" s="14">
        <v>44886</v>
      </c>
      <c r="B208" s="14">
        <v>44886</v>
      </c>
      <c r="C208" s="6">
        <v>44886</v>
      </c>
      <c r="D208" s="6">
        <v>44945</v>
      </c>
      <c r="E208" s="6">
        <v>44947</v>
      </c>
      <c r="F208" s="115"/>
      <c r="G208" s="8" t="s">
        <v>2021</v>
      </c>
      <c r="H208" s="8" t="s">
        <v>1808</v>
      </c>
      <c r="I208" s="8">
        <v>17332</v>
      </c>
      <c r="J208" s="8">
        <v>19460</v>
      </c>
      <c r="K208" s="9">
        <f>Tabla156798[[#This Row],[PRECIO CLIENTE]]-Tabla156798[[#This Row],[CANTIDAD PUBLICA]]</f>
        <v>2128</v>
      </c>
      <c r="L208" s="10">
        <f>Tabla156798[[#This Row],[COMISION AGENCIA]]*0.05</f>
        <v>106.4</v>
      </c>
      <c r="M208" s="7"/>
      <c r="N208" s="7" t="s">
        <v>2022</v>
      </c>
      <c r="O208" s="7" t="s">
        <v>47</v>
      </c>
      <c r="P208" s="7"/>
    </row>
    <row r="209" spans="1:16" x14ac:dyDescent="0.25">
      <c r="A209" s="14">
        <v>44886</v>
      </c>
      <c r="B209" s="14">
        <v>44886</v>
      </c>
      <c r="C209" s="6">
        <v>44886</v>
      </c>
      <c r="D209" s="6">
        <v>44955</v>
      </c>
      <c r="E209" s="6">
        <v>44960</v>
      </c>
      <c r="F209" s="115"/>
      <c r="G209" s="8" t="s">
        <v>2023</v>
      </c>
      <c r="H209" s="8" t="s">
        <v>1290</v>
      </c>
      <c r="I209" s="8">
        <v>5522</v>
      </c>
      <c r="J209" s="8">
        <v>6130</v>
      </c>
      <c r="K209" s="9">
        <f>Tabla156798[[#This Row],[PRECIO CLIENTE]]-Tabla156798[[#This Row],[CANTIDAD PUBLICA]]</f>
        <v>608</v>
      </c>
      <c r="L209" s="10">
        <f>Tabla156798[[#This Row],[COMISION AGENCIA]]*0.05</f>
        <v>30.400000000000002</v>
      </c>
      <c r="M209" s="7"/>
      <c r="N209" s="7" t="s">
        <v>2024</v>
      </c>
      <c r="O209" s="7" t="s">
        <v>47</v>
      </c>
      <c r="P209" s="7"/>
    </row>
    <row r="210" spans="1:16" x14ac:dyDescent="0.25">
      <c r="A210" s="14">
        <v>44886</v>
      </c>
      <c r="B210" s="14">
        <v>44886</v>
      </c>
      <c r="C210" s="6">
        <v>44886</v>
      </c>
      <c r="D210" s="6">
        <v>44954</v>
      </c>
      <c r="E210" s="6">
        <v>44962</v>
      </c>
      <c r="F210" s="115">
        <v>22731</v>
      </c>
      <c r="G210" s="8" t="s">
        <v>2025</v>
      </c>
      <c r="H210" s="158" t="s">
        <v>2026</v>
      </c>
      <c r="I210" s="8">
        <v>18450</v>
      </c>
      <c r="J210" s="8">
        <v>18750</v>
      </c>
      <c r="K210" s="9">
        <f>Tabla156798[[#This Row],[PRECIO CLIENTE]]-Tabla156798[[#This Row],[CANTIDAD PUBLICA]]</f>
        <v>300</v>
      </c>
      <c r="L210" s="10">
        <f>Tabla156798[[#This Row],[COMISION AGENCIA]]*0.05</f>
        <v>15</v>
      </c>
      <c r="M210" s="7"/>
      <c r="N210" s="7" t="s">
        <v>2027</v>
      </c>
      <c r="O210" s="7" t="s">
        <v>1572</v>
      </c>
      <c r="P210" s="7"/>
    </row>
    <row r="211" spans="1:16" x14ac:dyDescent="0.25">
      <c r="A211" s="14">
        <v>44886</v>
      </c>
      <c r="B211" s="14">
        <v>44886</v>
      </c>
      <c r="C211" s="6">
        <v>44886</v>
      </c>
      <c r="D211" s="6">
        <v>44889</v>
      </c>
      <c r="E211" s="7"/>
      <c r="F211" s="115">
        <v>22739</v>
      </c>
      <c r="G211" s="8" t="s">
        <v>2028</v>
      </c>
      <c r="H211" s="8" t="s">
        <v>1833</v>
      </c>
      <c r="I211" s="8">
        <v>9040</v>
      </c>
      <c r="J211" s="8">
        <v>9438</v>
      </c>
      <c r="K211" s="9">
        <f>Tabla156798[[#This Row],[PRECIO CLIENTE]]-Tabla156798[[#This Row],[CANTIDAD PUBLICA]]</f>
        <v>398</v>
      </c>
      <c r="L211" s="10">
        <f>Tabla156798[[#This Row],[COMISION AGENCIA]]*0.05</f>
        <v>19.900000000000002</v>
      </c>
      <c r="M211" s="7"/>
      <c r="N211" s="7" t="s">
        <v>2029</v>
      </c>
      <c r="O211" s="7" t="s">
        <v>47</v>
      </c>
      <c r="P211" s="7"/>
    </row>
    <row r="212" spans="1:16" x14ac:dyDescent="0.25">
      <c r="A212" s="14">
        <f>Tabla156798[[#This Row],[FECHA IN]]-15</f>
        <v>44886</v>
      </c>
      <c r="B212" s="14">
        <v>44877</v>
      </c>
      <c r="C212" s="6">
        <v>44807</v>
      </c>
      <c r="D212" s="6">
        <v>44901</v>
      </c>
      <c r="E212" s="6">
        <v>44905</v>
      </c>
      <c r="F212" s="115" t="s">
        <v>2030</v>
      </c>
      <c r="G212" s="8" t="s">
        <v>1513</v>
      </c>
      <c r="H212" s="8" t="s">
        <v>2031</v>
      </c>
      <c r="I212" s="8">
        <v>67169.55</v>
      </c>
      <c r="J212" s="8">
        <v>58440</v>
      </c>
      <c r="K212" s="9">
        <f>Tabla156798[[#This Row],[CANTIDAD PUBLICA]]*0.05</f>
        <v>3358.4775000000004</v>
      </c>
      <c r="L212" s="10">
        <f>Tabla156798[[#This Row],[COMISION AGENCIA]]*0.05</f>
        <v>167.92387500000004</v>
      </c>
      <c r="M212" s="7">
        <v>3322102724</v>
      </c>
      <c r="N212" s="7" t="s">
        <v>2032</v>
      </c>
      <c r="O212" s="7" t="s">
        <v>6</v>
      </c>
      <c r="P212" s="7"/>
    </row>
    <row r="213" spans="1:16" x14ac:dyDescent="0.25">
      <c r="A213" s="14">
        <f>Tabla156798[[#This Row],[FECHA IN]]-15</f>
        <v>44886</v>
      </c>
      <c r="B213" s="14">
        <v>44877</v>
      </c>
      <c r="C213" s="6">
        <v>44807</v>
      </c>
      <c r="D213" s="6">
        <v>44901</v>
      </c>
      <c r="E213" s="6">
        <v>44905</v>
      </c>
      <c r="F213" s="115" t="s">
        <v>2030</v>
      </c>
      <c r="G213" s="8" t="s">
        <v>1513</v>
      </c>
      <c r="H213" s="8" t="s">
        <v>2033</v>
      </c>
      <c r="I213" s="66">
        <v>2608.3200000000002</v>
      </c>
      <c r="J213" s="8">
        <v>4500</v>
      </c>
      <c r="K213" s="9">
        <f>Tabla156798[[#This Row],[PRECIO CLIENTE]]-Tabla156798[[#This Row],[CANTIDAD PUBLICA]]</f>
        <v>1891.6799999999998</v>
      </c>
      <c r="L213" s="10">
        <f>Tabla156798[[#This Row],[COMISION AGENCIA]]*0.05</f>
        <v>94.584000000000003</v>
      </c>
      <c r="M213" s="7">
        <v>3322102724</v>
      </c>
      <c r="N213" s="7"/>
      <c r="O213" s="7"/>
      <c r="P213" s="7"/>
    </row>
    <row r="214" spans="1:16" x14ac:dyDescent="0.25">
      <c r="A214" s="14">
        <v>44887</v>
      </c>
      <c r="B214" s="14">
        <v>44887</v>
      </c>
      <c r="C214" s="6">
        <v>44887</v>
      </c>
      <c r="D214" s="6">
        <v>44888</v>
      </c>
      <c r="E214" s="7"/>
      <c r="F214" s="115">
        <v>22757</v>
      </c>
      <c r="G214" s="63" t="s">
        <v>2034</v>
      </c>
      <c r="H214" s="8" t="s">
        <v>2035</v>
      </c>
      <c r="I214" s="8">
        <v>1300</v>
      </c>
      <c r="J214" s="8">
        <v>1300</v>
      </c>
      <c r="K214" s="9">
        <f>Tabla156798[[#This Row],[PRECIO CLIENTE]]*AGENTES!D11</f>
        <v>65</v>
      </c>
      <c r="L214" s="10">
        <f>Tabla156798[[#This Row],[COMISION AGENCIA]]*0.05</f>
        <v>3.25</v>
      </c>
      <c r="M214" s="7">
        <v>3481096156</v>
      </c>
      <c r="N214" s="7"/>
      <c r="O214" s="7"/>
      <c r="P214" s="7"/>
    </row>
    <row r="215" spans="1:16" x14ac:dyDescent="0.25">
      <c r="A215" s="14">
        <v>44887</v>
      </c>
      <c r="B215" s="14">
        <v>44887</v>
      </c>
      <c r="C215" s="6">
        <v>44887</v>
      </c>
      <c r="D215" s="6">
        <v>45040</v>
      </c>
      <c r="E215" s="6">
        <v>45047</v>
      </c>
      <c r="F215" s="115">
        <v>22761</v>
      </c>
      <c r="G215" s="8" t="s">
        <v>2036</v>
      </c>
      <c r="H215" s="8" t="s">
        <v>2037</v>
      </c>
      <c r="I215" s="8">
        <v>10014</v>
      </c>
      <c r="J215" s="8">
        <v>10780</v>
      </c>
      <c r="K215" s="9">
        <f>Tabla156798[[#This Row],[PRECIO CLIENTE]]-Tabla156798[[#This Row],[CANTIDAD PUBLICA]]</f>
        <v>766</v>
      </c>
      <c r="L215" s="10">
        <f>Tabla156798[[#This Row],[COMISION AGENCIA]]*0.05</f>
        <v>38.300000000000004</v>
      </c>
      <c r="M215" s="7"/>
      <c r="N215" s="7" t="s">
        <v>2038</v>
      </c>
      <c r="O215" s="7" t="s">
        <v>47</v>
      </c>
      <c r="P215" s="7"/>
    </row>
    <row r="216" spans="1:16" x14ac:dyDescent="0.25">
      <c r="A216" s="14">
        <v>44887</v>
      </c>
      <c r="B216" s="14">
        <v>44887</v>
      </c>
      <c r="C216" s="6">
        <v>44887</v>
      </c>
      <c r="D216" s="6">
        <v>44969</v>
      </c>
      <c r="E216" s="6">
        <v>44976</v>
      </c>
      <c r="F216" s="115">
        <v>22760</v>
      </c>
      <c r="G216" s="8" t="s">
        <v>2039</v>
      </c>
      <c r="H216" s="8" t="s">
        <v>2037</v>
      </c>
      <c r="I216" s="8">
        <v>4577</v>
      </c>
      <c r="J216" s="8">
        <v>4985</v>
      </c>
      <c r="K216" s="9">
        <f>Tabla156798[[#This Row],[PRECIO CLIENTE]]-Tabla156798[[#This Row],[CANTIDAD PUBLICA]]</f>
        <v>408</v>
      </c>
      <c r="L216" s="10">
        <f>Tabla156798[[#This Row],[COMISION AGENCIA]]*0.05</f>
        <v>20.400000000000002</v>
      </c>
      <c r="M216" s="7"/>
      <c r="N216" s="7" t="s">
        <v>2040</v>
      </c>
      <c r="O216" s="7" t="s">
        <v>47</v>
      </c>
      <c r="P216" s="7"/>
    </row>
    <row r="217" spans="1:16" x14ac:dyDescent="0.25">
      <c r="A217" s="14">
        <v>44887</v>
      </c>
      <c r="B217" s="14">
        <v>44887</v>
      </c>
      <c r="C217" s="6">
        <v>44887</v>
      </c>
      <c r="D217" s="6">
        <v>44899</v>
      </c>
      <c r="E217" s="7"/>
      <c r="F217" s="115">
        <v>22763</v>
      </c>
      <c r="G217" s="8" t="s">
        <v>2041</v>
      </c>
      <c r="H217" s="8" t="s">
        <v>1625</v>
      </c>
      <c r="I217" s="8">
        <v>1376</v>
      </c>
      <c r="J217" s="8">
        <v>1710</v>
      </c>
      <c r="K217" s="9">
        <f>Tabla156798[[#This Row],[PRECIO CLIENTE]]-Tabla156798[[#This Row],[CANTIDAD PUBLICA]]</f>
        <v>334</v>
      </c>
      <c r="L217" s="10">
        <f>Tabla156798[[#This Row],[COMISION AGENCIA]]*0.05</f>
        <v>16.7</v>
      </c>
      <c r="M217" s="7"/>
      <c r="N217" s="7" t="s">
        <v>2042</v>
      </c>
      <c r="O217" s="7" t="s">
        <v>47</v>
      </c>
      <c r="P217" s="7"/>
    </row>
    <row r="218" spans="1:16" x14ac:dyDescent="0.25">
      <c r="A218" s="14">
        <v>44887</v>
      </c>
      <c r="B218" s="14">
        <v>44887</v>
      </c>
      <c r="C218" s="6">
        <v>44887</v>
      </c>
      <c r="D218" s="6">
        <v>44945</v>
      </c>
      <c r="E218" s="6">
        <v>44947</v>
      </c>
      <c r="F218" s="115">
        <v>22758</v>
      </c>
      <c r="G218" s="8" t="s">
        <v>2043</v>
      </c>
      <c r="H218" s="8" t="s">
        <v>1808</v>
      </c>
      <c r="I218" s="8">
        <v>2570</v>
      </c>
      <c r="J218" s="8">
        <v>2930</v>
      </c>
      <c r="K218" s="9">
        <f>Tabla156798[[#This Row],[PRECIO CLIENTE]]-Tabla156798[[#This Row],[CANTIDAD PUBLICA]]</f>
        <v>360</v>
      </c>
      <c r="L218" s="10">
        <f>Tabla156798[[#This Row],[COMISION AGENCIA]]*0.05</f>
        <v>18</v>
      </c>
      <c r="M218" s="7"/>
      <c r="N218" s="7" t="s">
        <v>2044</v>
      </c>
      <c r="O218" s="7" t="s">
        <v>47</v>
      </c>
      <c r="P218" s="7"/>
    </row>
    <row r="219" spans="1:16" x14ac:dyDescent="0.25">
      <c r="A219" s="14">
        <v>44888</v>
      </c>
      <c r="B219" s="14">
        <v>44893</v>
      </c>
      <c r="C219" s="18">
        <v>44888</v>
      </c>
      <c r="D219" s="6">
        <v>44901</v>
      </c>
      <c r="E219" s="6">
        <v>44906</v>
      </c>
      <c r="F219" s="115">
        <v>22776</v>
      </c>
      <c r="G219" s="8" t="s">
        <v>2045</v>
      </c>
      <c r="H219" s="8" t="s">
        <v>2046</v>
      </c>
      <c r="I219" s="8">
        <v>19329.11</v>
      </c>
      <c r="J219" s="8">
        <v>16820</v>
      </c>
      <c r="K219" s="9">
        <f>(Tabla156798[[#This Row],[CANTIDAD PUBLICA]]*0.05)+1455</f>
        <v>2421.4555</v>
      </c>
      <c r="L219" s="10">
        <f>Tabla156798[[#This Row],[COMISION AGENCIA]]*0.05</f>
        <v>121.07277500000001</v>
      </c>
      <c r="M219" s="7">
        <v>3481470160</v>
      </c>
      <c r="N219" s="7" t="s">
        <v>2047</v>
      </c>
      <c r="O219" s="7" t="s">
        <v>6</v>
      </c>
      <c r="P219" s="7" t="s">
        <v>2048</v>
      </c>
    </row>
    <row r="220" spans="1:16" x14ac:dyDescent="0.25">
      <c r="A220" s="14">
        <v>44888</v>
      </c>
      <c r="B220" s="14">
        <v>44888</v>
      </c>
      <c r="C220" s="6">
        <v>44888</v>
      </c>
      <c r="D220" s="6">
        <v>44903</v>
      </c>
      <c r="E220" s="7"/>
      <c r="F220" s="115">
        <v>22776</v>
      </c>
      <c r="G220" s="8" t="s">
        <v>2045</v>
      </c>
      <c r="H220" s="8" t="s">
        <v>1824</v>
      </c>
      <c r="I220" s="8">
        <v>6102</v>
      </c>
      <c r="J220" s="8">
        <v>5620</v>
      </c>
      <c r="K220" s="9">
        <f>Tabla156798[[#This Row],[CANTIDAD PUBLICA]]*AGENTES!D6</f>
        <v>427.13999999999993</v>
      </c>
      <c r="L220" s="10">
        <f>Tabla156798[[#This Row],[COMISION AGENCIA]]*0.05</f>
        <v>21.356999999999999</v>
      </c>
      <c r="M220" s="7">
        <v>3481470160</v>
      </c>
      <c r="N220" s="7" t="s">
        <v>2049</v>
      </c>
      <c r="O220" s="7" t="s">
        <v>1826</v>
      </c>
      <c r="P220" s="7"/>
    </row>
    <row r="221" spans="1:16" x14ac:dyDescent="0.25">
      <c r="A221" s="14">
        <v>44888</v>
      </c>
      <c r="B221" s="14">
        <v>44888</v>
      </c>
      <c r="C221" s="6">
        <v>44888</v>
      </c>
      <c r="D221" s="6">
        <v>44901</v>
      </c>
      <c r="E221" s="6">
        <v>44906</v>
      </c>
      <c r="F221" s="115">
        <v>22776</v>
      </c>
      <c r="G221" s="8" t="s">
        <v>2050</v>
      </c>
      <c r="H221" s="8" t="s">
        <v>1290</v>
      </c>
      <c r="I221" s="8">
        <v>6342</v>
      </c>
      <c r="J221" s="8">
        <v>7400</v>
      </c>
      <c r="K221" s="9">
        <f>Tabla156798[[#This Row],[PRECIO CLIENTE]]-Tabla156798[[#This Row],[CANTIDAD PUBLICA]]</f>
        <v>1058</v>
      </c>
      <c r="L221" s="10">
        <f>Tabla156798[[#This Row],[COMISION AGENCIA]]*0.05</f>
        <v>52.900000000000006</v>
      </c>
      <c r="M221" s="7">
        <v>3481470160</v>
      </c>
      <c r="N221" s="7" t="s">
        <v>2051</v>
      </c>
      <c r="O221" s="7" t="s">
        <v>47</v>
      </c>
      <c r="P221" s="7"/>
    </row>
    <row r="222" spans="1:16" x14ac:dyDescent="0.25">
      <c r="A222" s="14">
        <f>Tabla156798[[#This Row],[FECHA IN]]-15</f>
        <v>44889</v>
      </c>
      <c r="B222" s="14">
        <v>44881</v>
      </c>
      <c r="C222" s="6">
        <v>44873</v>
      </c>
      <c r="D222" s="6">
        <v>44904</v>
      </c>
      <c r="E222" s="6">
        <v>44908</v>
      </c>
      <c r="F222" s="115" t="s">
        <v>2052</v>
      </c>
      <c r="G222" s="8" t="s">
        <v>2053</v>
      </c>
      <c r="H222" s="8" t="s">
        <v>2054</v>
      </c>
      <c r="I222" s="8">
        <v>33057.550000000003</v>
      </c>
      <c r="J222" s="8">
        <v>28760</v>
      </c>
      <c r="K222" s="9">
        <f>Tabla156798[[#This Row],[CANTIDAD PUBLICA]]*0.05</f>
        <v>1652.8775000000003</v>
      </c>
      <c r="L222" s="10">
        <f>Tabla156798[[#This Row],[COMISION AGENCIA]]*0.05</f>
        <v>82.643875000000023</v>
      </c>
      <c r="M222" s="7">
        <v>3481047366</v>
      </c>
      <c r="N222" s="7" t="s">
        <v>2055</v>
      </c>
      <c r="O222" s="7" t="s">
        <v>6</v>
      </c>
      <c r="P222" s="7"/>
    </row>
    <row r="223" spans="1:16" x14ac:dyDescent="0.25">
      <c r="A223" s="14">
        <v>44889</v>
      </c>
      <c r="B223" s="14">
        <v>44889</v>
      </c>
      <c r="C223" s="6">
        <v>44889</v>
      </c>
      <c r="D223" s="6">
        <v>44893</v>
      </c>
      <c r="E223" s="6">
        <v>44896</v>
      </c>
      <c r="F223" s="115">
        <v>22783</v>
      </c>
      <c r="G223" s="8" t="s">
        <v>2056</v>
      </c>
      <c r="H223" s="8" t="s">
        <v>1544</v>
      </c>
      <c r="I223" s="8">
        <v>54376</v>
      </c>
      <c r="J223" s="8">
        <v>61200</v>
      </c>
      <c r="K223" s="9">
        <f>Tabla156798[[#This Row],[PRECIO CLIENTE]]-Tabla156798[[#This Row],[CANTIDAD PUBLICA]]</f>
        <v>6824</v>
      </c>
      <c r="L223" s="10">
        <f>Tabla156798[[#This Row],[COMISION AGENCIA]]*0.05</f>
        <v>341.20000000000005</v>
      </c>
      <c r="M223" s="7"/>
      <c r="N223" s="7" t="s">
        <v>2057</v>
      </c>
      <c r="O223" s="7" t="s">
        <v>2058</v>
      </c>
      <c r="P223" s="7"/>
    </row>
    <row r="224" spans="1:16" x14ac:dyDescent="0.25">
      <c r="A224" s="14">
        <f>Tabla156798[[#This Row],[FECHA IN]]-15</f>
        <v>44889</v>
      </c>
      <c r="B224" s="14">
        <v>44890</v>
      </c>
      <c r="C224" s="6">
        <v>44838</v>
      </c>
      <c r="D224" s="6">
        <v>44904</v>
      </c>
      <c r="E224" s="6">
        <v>44906</v>
      </c>
      <c r="F224" s="115" t="s">
        <v>2059</v>
      </c>
      <c r="G224" s="8" t="s">
        <v>1642</v>
      </c>
      <c r="H224" s="8" t="s">
        <v>2060</v>
      </c>
      <c r="I224" s="8">
        <v>3002.52</v>
      </c>
      <c r="J224" s="8">
        <v>2705</v>
      </c>
      <c r="K224" s="9">
        <f>Tabla156798[[#This Row],[CANTIDAD PUBLICA]]*AGENTES!D3</f>
        <v>156.13103999999998</v>
      </c>
      <c r="L224" s="10">
        <f>Tabla156798[[#This Row],[COMISION AGENCIA]]*0.05</f>
        <v>7.8065519999999999</v>
      </c>
      <c r="M224" s="7">
        <v>3481094077</v>
      </c>
      <c r="N224" s="7">
        <v>9887690</v>
      </c>
      <c r="O224" s="7" t="s">
        <v>5</v>
      </c>
      <c r="P224" s="7"/>
    </row>
    <row r="225" spans="1:16" x14ac:dyDescent="0.25">
      <c r="A225" s="14">
        <v>44890</v>
      </c>
      <c r="B225" s="14">
        <v>44890</v>
      </c>
      <c r="C225" s="6">
        <v>44890</v>
      </c>
      <c r="D225" s="6">
        <v>44894</v>
      </c>
      <c r="E225" s="7"/>
      <c r="F225" s="115"/>
      <c r="G225" s="8" t="s">
        <v>2061</v>
      </c>
      <c r="H225" s="8" t="s">
        <v>1532</v>
      </c>
      <c r="I225" s="8">
        <v>17244</v>
      </c>
      <c r="J225" s="8">
        <v>17850</v>
      </c>
      <c r="K225" s="9">
        <f>Tabla156798[[#This Row],[PRECIO CLIENTE]]-Tabla156798[[#This Row],[CANTIDAD PUBLICA]]</f>
        <v>606</v>
      </c>
      <c r="L225" s="10">
        <f>Tabla156798[[#This Row],[COMISION AGENCIA]]*0.05</f>
        <v>30.3</v>
      </c>
      <c r="M225" s="7"/>
      <c r="N225" s="7" t="s">
        <v>2062</v>
      </c>
      <c r="O225" s="7" t="s">
        <v>1572</v>
      </c>
      <c r="P225" s="7"/>
    </row>
    <row r="226" spans="1:16" x14ac:dyDescent="0.25">
      <c r="A226" s="14">
        <v>44890</v>
      </c>
      <c r="B226" s="14">
        <v>44890</v>
      </c>
      <c r="C226" s="6">
        <v>44890</v>
      </c>
      <c r="D226" s="6">
        <v>44900</v>
      </c>
      <c r="E226" s="7"/>
      <c r="F226" s="115"/>
      <c r="G226" s="8" t="s">
        <v>2061</v>
      </c>
      <c r="H226" s="8" t="s">
        <v>2063</v>
      </c>
      <c r="I226" s="8">
        <v>8064</v>
      </c>
      <c r="J226" s="8">
        <v>8520</v>
      </c>
      <c r="K226" s="9">
        <f>Tabla156798[[#This Row],[PRECIO CLIENTE]]-Tabla156798[[#This Row],[CANTIDAD PUBLICA]]</f>
        <v>456</v>
      </c>
      <c r="L226" s="10">
        <f>Tabla156798[[#This Row],[COMISION AGENCIA]]*0.05</f>
        <v>22.8</v>
      </c>
      <c r="M226" s="7"/>
      <c r="N226" s="7" t="s">
        <v>2064</v>
      </c>
      <c r="O226" s="7" t="s">
        <v>2065</v>
      </c>
      <c r="P226" s="7"/>
    </row>
    <row r="227" spans="1:16" x14ac:dyDescent="0.25">
      <c r="A227" s="14">
        <v>44890</v>
      </c>
      <c r="B227" s="14">
        <v>44890</v>
      </c>
      <c r="C227" s="6">
        <v>44890</v>
      </c>
      <c r="D227" s="6">
        <v>44905</v>
      </c>
      <c r="E227" s="7"/>
      <c r="F227" s="115"/>
      <c r="G227" s="8" t="s">
        <v>2061</v>
      </c>
      <c r="H227" s="8" t="s">
        <v>2066</v>
      </c>
      <c r="I227" s="8">
        <v>49344</v>
      </c>
      <c r="J227" s="8">
        <v>54669</v>
      </c>
      <c r="K227" s="9">
        <f>Tabla156798[[#This Row],[PRECIO CLIENTE]]-Tabla156798[[#This Row],[CANTIDAD PUBLICA]]</f>
        <v>5325</v>
      </c>
      <c r="L227" s="10">
        <f>Tabla156798[[#This Row],[COMISION AGENCIA]]*0.05</f>
        <v>266.25</v>
      </c>
      <c r="M227" s="7"/>
      <c r="N227" s="7" t="s">
        <v>2067</v>
      </c>
      <c r="O227" s="7" t="s">
        <v>2068</v>
      </c>
      <c r="P227" s="7"/>
    </row>
    <row r="228" spans="1:16" x14ac:dyDescent="0.25">
      <c r="A228" s="14">
        <v>44890</v>
      </c>
      <c r="B228" s="14">
        <v>44890</v>
      </c>
      <c r="C228" s="6">
        <v>44890</v>
      </c>
      <c r="D228" s="6">
        <v>44977</v>
      </c>
      <c r="E228" s="6">
        <v>45119</v>
      </c>
      <c r="F228" s="115">
        <v>22800</v>
      </c>
      <c r="G228" s="8" t="s">
        <v>2069</v>
      </c>
      <c r="H228" s="8" t="s">
        <v>1541</v>
      </c>
      <c r="I228" s="8">
        <v>3872</v>
      </c>
      <c r="J228" s="8">
        <v>4215</v>
      </c>
      <c r="K228" s="9">
        <f>Tabla156798[[#This Row],[PRECIO CLIENTE]]-Tabla156798[[#This Row],[CANTIDAD PUBLICA]]</f>
        <v>343</v>
      </c>
      <c r="L228" s="10">
        <f>Tabla156798[[#This Row],[COMISION AGENCIA]]*0.05</f>
        <v>17.150000000000002</v>
      </c>
      <c r="M228" s="7"/>
      <c r="N228" s="7" t="s">
        <v>2070</v>
      </c>
      <c r="O228" s="7" t="s">
        <v>47</v>
      </c>
      <c r="P228" s="7"/>
    </row>
    <row r="229" spans="1:16" x14ac:dyDescent="0.25">
      <c r="A229" s="14">
        <v>44893</v>
      </c>
      <c r="B229" s="14">
        <v>44893</v>
      </c>
      <c r="C229" s="6">
        <v>44893</v>
      </c>
      <c r="D229" s="6">
        <v>45012</v>
      </c>
      <c r="E229" s="6">
        <v>45016</v>
      </c>
      <c r="F229" s="115"/>
      <c r="G229" s="8" t="s">
        <v>2071</v>
      </c>
      <c r="H229" s="7" t="s">
        <v>1290</v>
      </c>
      <c r="I229" s="8">
        <v>9884</v>
      </c>
      <c r="J229" s="8">
        <v>11400</v>
      </c>
      <c r="K229" s="9">
        <f>Tabla156798[[#This Row],[PRECIO CLIENTE]]-Tabla156798[[#This Row],[CANTIDAD PUBLICA]]</f>
        <v>1516</v>
      </c>
      <c r="L229" s="10">
        <f>Tabla156798[[#This Row],[COMISION AGENCIA]]*0.05</f>
        <v>75.8</v>
      </c>
      <c r="M229" s="7"/>
      <c r="N229" s="7" t="s">
        <v>2072</v>
      </c>
      <c r="O229" s="7" t="s">
        <v>47</v>
      </c>
      <c r="P229" s="7"/>
    </row>
    <row r="230" spans="1:16" x14ac:dyDescent="0.25">
      <c r="A230" s="14">
        <v>44894</v>
      </c>
      <c r="B230" s="14">
        <v>44894</v>
      </c>
      <c r="C230" s="6">
        <v>44884</v>
      </c>
      <c r="D230" s="6">
        <v>44910</v>
      </c>
      <c r="E230" s="6">
        <v>44934</v>
      </c>
      <c r="F230" s="115">
        <v>22817</v>
      </c>
      <c r="G230" s="8" t="s">
        <v>2073</v>
      </c>
      <c r="H230" s="7" t="s">
        <v>2074</v>
      </c>
      <c r="I230" s="8">
        <v>62530</v>
      </c>
      <c r="J230" s="8">
        <v>66150</v>
      </c>
      <c r="K230" s="9">
        <f>Tabla156798[[#This Row],[PRECIO CLIENTE]]-Tabla156798[[#This Row],[CANTIDAD PUBLICA]]</f>
        <v>3620</v>
      </c>
      <c r="L230" s="10">
        <f>Tabla156798[[#This Row],[COMISION AGENCIA]]*0.05</f>
        <v>181</v>
      </c>
      <c r="M230" s="7"/>
      <c r="N230" s="7" t="s">
        <v>2075</v>
      </c>
      <c r="O230" s="7" t="s">
        <v>47</v>
      </c>
      <c r="P230" s="7"/>
    </row>
    <row r="231" spans="1:16" x14ac:dyDescent="0.25">
      <c r="A231" s="14">
        <v>44894</v>
      </c>
      <c r="B231" s="14">
        <v>44894</v>
      </c>
      <c r="C231" s="6">
        <v>44894</v>
      </c>
      <c r="D231" s="6">
        <v>44900</v>
      </c>
      <c r="E231" s="6">
        <v>44909</v>
      </c>
      <c r="F231" s="115">
        <v>22821</v>
      </c>
      <c r="G231" s="8" t="s">
        <v>2076</v>
      </c>
      <c r="H231" s="7" t="s">
        <v>1544</v>
      </c>
      <c r="I231" s="8">
        <v>29490</v>
      </c>
      <c r="J231" s="8">
        <v>32325</v>
      </c>
      <c r="K231" s="9">
        <f>Tabla156798[[#This Row],[PRECIO CLIENTE]]-Tabla156798[[#This Row],[CANTIDAD PUBLICA]]</f>
        <v>2835</v>
      </c>
      <c r="L231" s="10">
        <f>Tabla156798[[#This Row],[COMISION AGENCIA]]*0.05</f>
        <v>141.75</v>
      </c>
      <c r="M231" s="7"/>
      <c r="N231" s="7" t="s">
        <v>2077</v>
      </c>
      <c r="O231" s="7" t="s">
        <v>47</v>
      </c>
      <c r="P231" s="7"/>
    </row>
    <row r="232" spans="1:16" x14ac:dyDescent="0.25">
      <c r="A232" s="14">
        <v>44896</v>
      </c>
      <c r="B232" s="14">
        <v>44896</v>
      </c>
      <c r="C232" s="6">
        <v>44896</v>
      </c>
      <c r="D232" s="6">
        <v>44905</v>
      </c>
      <c r="E232" s="6">
        <v>44907</v>
      </c>
      <c r="F232" s="115">
        <v>22837</v>
      </c>
      <c r="G232" s="8" t="s">
        <v>2078</v>
      </c>
      <c r="H232" s="7" t="s">
        <v>1544</v>
      </c>
      <c r="I232" s="8">
        <v>8513</v>
      </c>
      <c r="J232" s="8">
        <v>9280</v>
      </c>
      <c r="K232" s="9">
        <f>Tabla156798[[#This Row],[PRECIO CLIENTE]]-Tabla156798[[#This Row],[CANTIDAD PUBLICA]]</f>
        <v>767</v>
      </c>
      <c r="L232" s="10">
        <f>Tabla156798[[#This Row],[COMISION AGENCIA]]*0.05</f>
        <v>38.35</v>
      </c>
      <c r="M232" s="7"/>
      <c r="N232" s="7" t="s">
        <v>2079</v>
      </c>
      <c r="O232" s="7" t="s">
        <v>47</v>
      </c>
      <c r="P232" s="7"/>
    </row>
    <row r="233" spans="1:16" x14ac:dyDescent="0.25">
      <c r="A233" s="14">
        <v>44897</v>
      </c>
      <c r="B233" s="14">
        <v>44897</v>
      </c>
      <c r="C233" s="6">
        <v>44897</v>
      </c>
      <c r="D233" s="6">
        <v>44914</v>
      </c>
      <c r="E233" s="7"/>
      <c r="F233" s="115">
        <v>22850</v>
      </c>
      <c r="G233" s="8" t="s">
        <v>2080</v>
      </c>
      <c r="H233" s="8" t="s">
        <v>1743</v>
      </c>
      <c r="I233" s="8">
        <v>34997</v>
      </c>
      <c r="J233" s="8">
        <v>41625</v>
      </c>
      <c r="K233" s="9">
        <f>Tabla156798[[#This Row],[PRECIO CLIENTE]]-Tabla156798[[#This Row],[CANTIDAD PUBLICA]]</f>
        <v>6628</v>
      </c>
      <c r="L233" s="10">
        <f>Tabla156798[[#This Row],[COMISION AGENCIA]]*0.05</f>
        <v>331.40000000000003</v>
      </c>
      <c r="M233" s="7"/>
      <c r="N233" s="7" t="s">
        <v>2081</v>
      </c>
      <c r="O233" s="7" t="s">
        <v>47</v>
      </c>
      <c r="P233" s="7"/>
    </row>
    <row r="234" spans="1:16" x14ac:dyDescent="0.25">
      <c r="A234" s="14">
        <v>44897</v>
      </c>
      <c r="B234" s="14">
        <v>44897</v>
      </c>
      <c r="C234" s="6">
        <v>44897</v>
      </c>
      <c r="D234" s="6">
        <v>44914</v>
      </c>
      <c r="E234" s="7"/>
      <c r="F234" s="115">
        <v>22850</v>
      </c>
      <c r="G234" s="8" t="s">
        <v>2080</v>
      </c>
      <c r="H234" s="8" t="s">
        <v>1861</v>
      </c>
      <c r="I234" s="8">
        <v>450</v>
      </c>
      <c r="J234" s="8">
        <v>450</v>
      </c>
      <c r="K234" s="9">
        <v>450</v>
      </c>
      <c r="L234" s="10">
        <f>Tabla156798[[#This Row],[COMISION AGENCIA]]*0.05</f>
        <v>22.5</v>
      </c>
      <c r="M234" s="7"/>
      <c r="N234" s="7" t="s">
        <v>2082</v>
      </c>
      <c r="O234" s="7" t="s">
        <v>2068</v>
      </c>
      <c r="P234" s="7"/>
    </row>
    <row r="235" spans="1:16" x14ac:dyDescent="0.25">
      <c r="A235" s="14">
        <v>44900</v>
      </c>
      <c r="B235" s="14">
        <v>44900</v>
      </c>
      <c r="C235" s="6">
        <v>44900</v>
      </c>
      <c r="D235" s="6">
        <v>45066</v>
      </c>
      <c r="E235" s="6">
        <v>45071</v>
      </c>
      <c r="F235" s="115" t="s">
        <v>2083</v>
      </c>
      <c r="G235" s="8" t="s">
        <v>2084</v>
      </c>
      <c r="H235" s="8" t="s">
        <v>2085</v>
      </c>
      <c r="I235" s="8">
        <v>6048</v>
      </c>
      <c r="J235" s="8">
        <v>7725</v>
      </c>
      <c r="K235" s="9">
        <f>Tabla156798[[#This Row],[PRECIO CLIENTE]]-Tabla156798[[#This Row],[CANTIDAD PUBLICA]]</f>
        <v>1677</v>
      </c>
      <c r="L235" s="10">
        <f>Tabla156798[[#This Row],[COMISION AGENCIA]]*0.05</f>
        <v>83.850000000000009</v>
      </c>
      <c r="M235" s="7"/>
      <c r="N235" s="7" t="s">
        <v>2086</v>
      </c>
      <c r="O235" s="7" t="s">
        <v>47</v>
      </c>
      <c r="P235" s="7"/>
    </row>
    <row r="236" spans="1:16" x14ac:dyDescent="0.25">
      <c r="A236" s="14">
        <v>44900</v>
      </c>
      <c r="B236" s="14">
        <v>44900</v>
      </c>
      <c r="C236" s="6">
        <v>44900</v>
      </c>
      <c r="D236" s="6">
        <v>45066</v>
      </c>
      <c r="E236" s="6">
        <v>45071</v>
      </c>
      <c r="F236" s="115" t="s">
        <v>2083</v>
      </c>
      <c r="G236" s="8" t="s">
        <v>2087</v>
      </c>
      <c r="H236" s="8" t="s">
        <v>2085</v>
      </c>
      <c r="I236" s="8">
        <v>8824</v>
      </c>
      <c r="J236" s="8">
        <v>9700</v>
      </c>
      <c r="K236" s="9">
        <f>Tabla156798[[#This Row],[PRECIO CLIENTE]]-Tabla156798[[#This Row],[CANTIDAD PUBLICA]]</f>
        <v>876</v>
      </c>
      <c r="L236" s="10">
        <f>Tabla156798[[#This Row],[COMISION AGENCIA]]*0.05</f>
        <v>43.800000000000004</v>
      </c>
      <c r="M236" s="7"/>
      <c r="N236" s="7" t="s">
        <v>2088</v>
      </c>
      <c r="O236" s="7" t="s">
        <v>47</v>
      </c>
      <c r="P236" s="7"/>
    </row>
    <row r="237" spans="1:16" x14ac:dyDescent="0.25">
      <c r="A237" s="14">
        <v>44900</v>
      </c>
      <c r="B237" s="14">
        <v>44900</v>
      </c>
      <c r="C237" s="6">
        <v>44900</v>
      </c>
      <c r="D237" s="6">
        <v>45066</v>
      </c>
      <c r="E237" s="6">
        <v>45071</v>
      </c>
      <c r="F237" s="115" t="s">
        <v>2083</v>
      </c>
      <c r="G237" s="8" t="s">
        <v>2089</v>
      </c>
      <c r="H237" s="8" t="s">
        <v>2085</v>
      </c>
      <c r="I237" s="8">
        <v>8824</v>
      </c>
      <c r="J237" s="8">
        <v>10300</v>
      </c>
      <c r="K237" s="9">
        <f>Tabla156798[[#This Row],[PRECIO CLIENTE]]-Tabla156798[[#This Row],[CANTIDAD PUBLICA]]</f>
        <v>1476</v>
      </c>
      <c r="L237" s="10">
        <f>Tabla156798[[#This Row],[COMISION AGENCIA]]*0.05</f>
        <v>73.8</v>
      </c>
      <c r="M237" s="7"/>
      <c r="N237" s="7" t="s">
        <v>2090</v>
      </c>
      <c r="O237" s="7" t="s">
        <v>47</v>
      </c>
      <c r="P237" s="7"/>
    </row>
    <row r="238" spans="1:16" x14ac:dyDescent="0.25">
      <c r="A238" s="14">
        <v>44900</v>
      </c>
      <c r="B238" s="14">
        <v>44900</v>
      </c>
      <c r="C238" s="6">
        <v>44900</v>
      </c>
      <c r="D238" s="6">
        <v>45066</v>
      </c>
      <c r="E238" s="6">
        <v>45071</v>
      </c>
      <c r="F238" s="115" t="s">
        <v>2083</v>
      </c>
      <c r="G238" s="8" t="s">
        <v>2091</v>
      </c>
      <c r="H238" s="8" t="s">
        <v>2085</v>
      </c>
      <c r="I238" s="8">
        <v>13536</v>
      </c>
      <c r="J238" s="8">
        <v>15450</v>
      </c>
      <c r="K238" s="9">
        <f>Tabla156798[[#This Row],[PRECIO CLIENTE]]-Tabla156798[[#This Row],[CANTIDAD PUBLICA]]</f>
        <v>1914</v>
      </c>
      <c r="L238" s="10">
        <f>Tabla156798[[#This Row],[COMISION AGENCIA]]*0.05</f>
        <v>95.7</v>
      </c>
      <c r="M238" s="7"/>
      <c r="N238" s="7" t="s">
        <v>2092</v>
      </c>
      <c r="O238" s="7" t="s">
        <v>47</v>
      </c>
      <c r="P238" s="7"/>
    </row>
    <row r="239" spans="1:16" x14ac:dyDescent="0.25">
      <c r="A239" s="14">
        <v>44900</v>
      </c>
      <c r="B239" s="14">
        <v>44900</v>
      </c>
      <c r="C239" s="6">
        <v>44900</v>
      </c>
      <c r="D239" s="6">
        <v>45066</v>
      </c>
      <c r="E239" s="6">
        <v>45071</v>
      </c>
      <c r="F239" s="115" t="s">
        <v>2083</v>
      </c>
      <c r="G239" s="8" t="s">
        <v>2093</v>
      </c>
      <c r="H239" s="8" t="s">
        <v>2085</v>
      </c>
      <c r="I239" s="8">
        <v>4512</v>
      </c>
      <c r="J239" s="8">
        <v>4850</v>
      </c>
      <c r="K239" s="9">
        <f>Tabla156798[[#This Row],[PRECIO CLIENTE]]-Tabla156798[[#This Row],[CANTIDAD PUBLICA]]</f>
        <v>338</v>
      </c>
      <c r="L239" s="10">
        <f>Tabla156798[[#This Row],[COMISION AGENCIA]]*0.05</f>
        <v>16.900000000000002</v>
      </c>
      <c r="M239" s="7"/>
      <c r="N239" s="7" t="s">
        <v>2094</v>
      </c>
      <c r="O239" s="7" t="s">
        <v>47</v>
      </c>
      <c r="P239" s="7"/>
    </row>
    <row r="240" spans="1:16" x14ac:dyDescent="0.25">
      <c r="A240" s="14">
        <v>44900</v>
      </c>
      <c r="B240" s="14">
        <v>44900</v>
      </c>
      <c r="C240" s="6">
        <v>44900</v>
      </c>
      <c r="D240" s="6">
        <v>45066</v>
      </c>
      <c r="E240" s="6">
        <v>45071</v>
      </c>
      <c r="F240" s="115" t="s">
        <v>2083</v>
      </c>
      <c r="G240" s="8" t="s">
        <v>2095</v>
      </c>
      <c r="H240" s="8" t="s">
        <v>2085</v>
      </c>
      <c r="I240" s="8">
        <v>20160</v>
      </c>
      <c r="J240" s="8">
        <v>22560</v>
      </c>
      <c r="K240" s="9">
        <f>Tabla156798[[#This Row],[PRECIO CLIENTE]]-Tabla156798[[#This Row],[CANTIDAD PUBLICA]]</f>
        <v>2400</v>
      </c>
      <c r="L240" s="10">
        <f>Tabla156798[[#This Row],[COMISION AGENCIA]]*0.05</f>
        <v>120</v>
      </c>
      <c r="M240" s="7"/>
      <c r="N240" s="7" t="s">
        <v>2096</v>
      </c>
      <c r="O240" s="7" t="s">
        <v>47</v>
      </c>
      <c r="P240" s="7"/>
    </row>
    <row r="241" spans="1:16" x14ac:dyDescent="0.25">
      <c r="A241" s="14">
        <v>44900</v>
      </c>
      <c r="B241" s="14">
        <v>44900</v>
      </c>
      <c r="C241" s="6">
        <v>44900</v>
      </c>
      <c r="D241" s="6">
        <v>44905</v>
      </c>
      <c r="E241" s="6">
        <v>44907</v>
      </c>
      <c r="F241" s="115" t="s">
        <v>2083</v>
      </c>
      <c r="G241" s="8" t="s">
        <v>2078</v>
      </c>
      <c r="H241" s="8" t="s">
        <v>2097</v>
      </c>
      <c r="I241" s="8">
        <v>8694.0840000000007</v>
      </c>
      <c r="J241" s="8">
        <v>7823</v>
      </c>
      <c r="K241" s="9">
        <f>Tabla156798[[#This Row],[CANTIDAD PUBLICA]]*AGENTES!D3</f>
        <v>452.09236799999996</v>
      </c>
      <c r="L241" s="10">
        <f>Tabla156798[[#This Row],[COMISION AGENCIA]]*0.05</f>
        <v>22.6046184</v>
      </c>
      <c r="M241" s="7">
        <v>3310030986</v>
      </c>
      <c r="N241" s="7"/>
      <c r="O241" s="7" t="s">
        <v>2098</v>
      </c>
      <c r="P241" s="7"/>
    </row>
    <row r="242" spans="1:16" x14ac:dyDescent="0.25">
      <c r="A242" s="14">
        <f>Tabla156798[[#This Row],[FECHA IN]]-15</f>
        <v>44901</v>
      </c>
      <c r="B242" s="14">
        <v>44883</v>
      </c>
      <c r="C242" s="6">
        <v>44853</v>
      </c>
      <c r="D242" s="6">
        <v>44916</v>
      </c>
      <c r="E242" s="6">
        <v>44920</v>
      </c>
      <c r="F242" s="115" t="s">
        <v>2099</v>
      </c>
      <c r="G242" s="8" t="s">
        <v>2100</v>
      </c>
      <c r="H242" s="8" t="s">
        <v>2101</v>
      </c>
      <c r="I242" s="8">
        <v>52185.55</v>
      </c>
      <c r="J242" s="8">
        <v>44950</v>
      </c>
      <c r="K242" s="9">
        <f>Tabla156798[[#This Row],[CANTIDAD PUBLICA]]*0.05</f>
        <v>2609.2775000000001</v>
      </c>
      <c r="L242" s="10">
        <f>Tabla156798[[#This Row],[COMISION AGENCIA]]*0.05</f>
        <v>130.463875</v>
      </c>
      <c r="M242" s="7">
        <v>18062015412</v>
      </c>
      <c r="N242" s="7" t="s">
        <v>2102</v>
      </c>
      <c r="O242" s="7" t="s">
        <v>6</v>
      </c>
      <c r="P242" s="7"/>
    </row>
    <row r="243" spans="1:16" x14ac:dyDescent="0.25">
      <c r="A243" s="14">
        <v>44901</v>
      </c>
      <c r="B243" s="14">
        <v>44901</v>
      </c>
      <c r="C243" s="6">
        <v>44901</v>
      </c>
      <c r="D243" s="6">
        <v>44946</v>
      </c>
      <c r="E243" s="6">
        <v>44931</v>
      </c>
      <c r="F243" s="115">
        <v>22878</v>
      </c>
      <c r="G243" s="8" t="s">
        <v>2103</v>
      </c>
      <c r="H243" s="8" t="s">
        <v>1788</v>
      </c>
      <c r="I243" s="8">
        <v>13594</v>
      </c>
      <c r="J243" s="8">
        <v>14590</v>
      </c>
      <c r="K243" s="9">
        <f>Tabla156798[[#This Row],[PRECIO CLIENTE]]-Tabla156798[[#This Row],[CANTIDAD PUBLICA]]</f>
        <v>996</v>
      </c>
      <c r="L243" s="10">
        <f>Tabla156798[[#This Row],[COMISION AGENCIA]]*0.05</f>
        <v>49.800000000000004</v>
      </c>
      <c r="M243" s="7"/>
      <c r="N243" s="7" t="s">
        <v>2104</v>
      </c>
      <c r="O243" s="7" t="s">
        <v>47</v>
      </c>
      <c r="P243" s="7"/>
    </row>
    <row r="244" spans="1:16" x14ac:dyDescent="0.25">
      <c r="A244" s="14">
        <v>44901</v>
      </c>
      <c r="B244" s="14">
        <v>44901</v>
      </c>
      <c r="C244" s="6">
        <v>44901</v>
      </c>
      <c r="D244" s="6">
        <v>45039</v>
      </c>
      <c r="E244" s="6">
        <v>45047</v>
      </c>
      <c r="F244" s="115">
        <v>22880</v>
      </c>
      <c r="G244" s="8" t="s">
        <v>2105</v>
      </c>
      <c r="H244" s="8" t="s">
        <v>1858</v>
      </c>
      <c r="I244" s="8">
        <v>42920</v>
      </c>
      <c r="J244" s="8">
        <v>47520</v>
      </c>
      <c r="K244" s="9">
        <f>Tabla156798[[#This Row],[PRECIO CLIENTE]]-Tabla156798[[#This Row],[CANTIDAD PUBLICA]]</f>
        <v>4600</v>
      </c>
      <c r="L244" s="10">
        <f>Tabla156798[[#This Row],[COMISION AGENCIA]]*0.05</f>
        <v>230</v>
      </c>
      <c r="M244" s="7"/>
      <c r="N244" s="7" t="s">
        <v>2106</v>
      </c>
      <c r="O244" s="7" t="s">
        <v>47</v>
      </c>
      <c r="P244" s="7"/>
    </row>
    <row r="245" spans="1:16" x14ac:dyDescent="0.25">
      <c r="A245" s="14">
        <v>44901</v>
      </c>
      <c r="B245" s="14">
        <v>44901</v>
      </c>
      <c r="C245" s="6">
        <v>44901</v>
      </c>
      <c r="D245" s="6">
        <v>44925</v>
      </c>
      <c r="E245" s="7"/>
      <c r="F245" s="115">
        <v>22895</v>
      </c>
      <c r="G245" s="8" t="s">
        <v>2107</v>
      </c>
      <c r="H245" s="8" t="s">
        <v>2108</v>
      </c>
      <c r="I245" s="8">
        <v>5584</v>
      </c>
      <c r="J245" s="8">
        <v>6570</v>
      </c>
      <c r="K245" s="9">
        <f>Tabla156798[[#This Row],[PRECIO CLIENTE]]-Tabla156798[[#This Row],[CANTIDAD PUBLICA]]</f>
        <v>986</v>
      </c>
      <c r="L245" s="10">
        <f>Tabla156798[[#This Row],[COMISION AGENCIA]]*0.05</f>
        <v>49.300000000000004</v>
      </c>
      <c r="M245" s="7"/>
      <c r="N245" s="7" t="s">
        <v>2109</v>
      </c>
      <c r="O245" s="7" t="s">
        <v>47</v>
      </c>
      <c r="P245" s="7"/>
    </row>
    <row r="246" spans="1:16" x14ac:dyDescent="0.25">
      <c r="A246" s="14">
        <v>44902</v>
      </c>
      <c r="B246" s="14">
        <v>44902</v>
      </c>
      <c r="C246" s="6">
        <v>44902</v>
      </c>
      <c r="D246" s="6">
        <v>44904</v>
      </c>
      <c r="E246" s="7"/>
      <c r="F246" s="115">
        <v>22900</v>
      </c>
      <c r="G246" s="8" t="s">
        <v>2110</v>
      </c>
      <c r="H246" s="8" t="s">
        <v>1535</v>
      </c>
      <c r="I246" s="8">
        <v>4526</v>
      </c>
      <c r="J246" s="8">
        <v>5130</v>
      </c>
      <c r="K246" s="9">
        <f>Tabla156798[[#This Row],[PRECIO CLIENTE]]-Tabla156798[[#This Row],[CANTIDAD PUBLICA]]</f>
        <v>604</v>
      </c>
      <c r="L246" s="10">
        <f>Tabla156798[[#This Row],[COMISION AGENCIA]]*0.05</f>
        <v>30.200000000000003</v>
      </c>
      <c r="M246" s="7"/>
      <c r="N246" s="7" t="s">
        <v>2111</v>
      </c>
      <c r="O246" s="7" t="s">
        <v>47</v>
      </c>
      <c r="P246" s="7"/>
    </row>
    <row r="247" spans="1:16" x14ac:dyDescent="0.25">
      <c r="A247" s="14">
        <v>44902</v>
      </c>
      <c r="B247" s="14">
        <v>44902</v>
      </c>
      <c r="C247" s="6">
        <v>44902</v>
      </c>
      <c r="D247" s="6">
        <v>44911</v>
      </c>
      <c r="E247" s="6">
        <v>44932</v>
      </c>
      <c r="F247" s="115">
        <v>22903</v>
      </c>
      <c r="G247" s="8" t="s">
        <v>2112</v>
      </c>
      <c r="H247" s="8" t="s">
        <v>2108</v>
      </c>
      <c r="I247" s="8">
        <v>15925</v>
      </c>
      <c r="J247" s="8">
        <v>17645</v>
      </c>
      <c r="K247" s="9">
        <f>Tabla156798[[#This Row],[PRECIO CLIENTE]]-Tabla156798[[#This Row],[CANTIDAD PUBLICA]]</f>
        <v>1720</v>
      </c>
      <c r="L247" s="10">
        <f>Tabla156798[[#This Row],[COMISION AGENCIA]]*0.05</f>
        <v>86</v>
      </c>
      <c r="M247" s="7"/>
      <c r="N247" s="7"/>
      <c r="O247" s="7"/>
      <c r="P247" s="7"/>
    </row>
    <row r="248" spans="1:16" x14ac:dyDescent="0.25">
      <c r="A248" s="14">
        <v>44902</v>
      </c>
      <c r="B248" s="14">
        <v>44902</v>
      </c>
      <c r="C248" s="6">
        <v>44902</v>
      </c>
      <c r="D248" s="6">
        <v>44904</v>
      </c>
      <c r="E248" s="7"/>
      <c r="F248" s="115">
        <v>22899</v>
      </c>
      <c r="G248" s="8" t="s">
        <v>2110</v>
      </c>
      <c r="H248" s="8" t="s">
        <v>2035</v>
      </c>
      <c r="I248" s="8">
        <v>1300</v>
      </c>
      <c r="J248" s="8">
        <v>1300</v>
      </c>
      <c r="K248" s="9">
        <f>Tabla156798[[#This Row],[CANTIDAD PUBLICA]]*AGENTES!D11</f>
        <v>65</v>
      </c>
      <c r="L248" s="10">
        <f>Tabla156798[[#This Row],[COMISION AGENCIA]]*0.05</f>
        <v>3.25</v>
      </c>
      <c r="M248" s="7">
        <v>3481291105</v>
      </c>
      <c r="N248" s="7" t="s">
        <v>2111</v>
      </c>
      <c r="O248" s="7"/>
      <c r="P248" s="7"/>
    </row>
    <row r="249" spans="1:16" x14ac:dyDescent="0.25">
      <c r="A249" s="14">
        <v>44907</v>
      </c>
      <c r="B249" s="14">
        <v>44907</v>
      </c>
      <c r="C249" s="6">
        <v>44907</v>
      </c>
      <c r="D249" s="6">
        <v>44985</v>
      </c>
      <c r="E249" s="6">
        <v>44992</v>
      </c>
      <c r="F249" s="115">
        <v>22921</v>
      </c>
      <c r="G249" s="8" t="s">
        <v>2113</v>
      </c>
      <c r="H249" s="8" t="s">
        <v>1861</v>
      </c>
      <c r="I249" s="8">
        <v>150</v>
      </c>
      <c r="J249" s="8">
        <v>150</v>
      </c>
      <c r="K249" s="9">
        <v>150</v>
      </c>
      <c r="L249" s="10">
        <f>Tabla156798[[#This Row],[COMISION AGENCIA]]*0.05</f>
        <v>7.5</v>
      </c>
      <c r="M249" s="7"/>
      <c r="N249" s="7" t="s">
        <v>2114</v>
      </c>
      <c r="O249" s="7" t="s">
        <v>2115</v>
      </c>
      <c r="P249" s="7"/>
    </row>
    <row r="250" spans="1:16" x14ac:dyDescent="0.25">
      <c r="A250" s="14">
        <v>44908</v>
      </c>
      <c r="B250" s="14">
        <v>44908</v>
      </c>
      <c r="C250" s="6">
        <v>44908</v>
      </c>
      <c r="D250" s="6">
        <v>44915</v>
      </c>
      <c r="E250" s="7"/>
      <c r="F250" s="115">
        <v>22939</v>
      </c>
      <c r="G250" s="8" t="s">
        <v>2116</v>
      </c>
      <c r="H250" s="8" t="s">
        <v>2117</v>
      </c>
      <c r="I250" s="8">
        <v>2664</v>
      </c>
      <c r="J250" s="8">
        <v>3080</v>
      </c>
      <c r="K250" s="9">
        <f>Tabla156798[[#This Row],[PRECIO CLIENTE]]-Tabla156798[[#This Row],[CANTIDAD PUBLICA]]</f>
        <v>416</v>
      </c>
      <c r="L250" s="10">
        <f>Tabla156798[[#This Row],[COMISION AGENCIA]]*0.05</f>
        <v>20.8</v>
      </c>
      <c r="M250" s="7"/>
      <c r="N250" s="7" t="s">
        <v>2118</v>
      </c>
      <c r="O250" s="7" t="s">
        <v>47</v>
      </c>
      <c r="P250" s="7"/>
    </row>
    <row r="251" spans="1:16" x14ac:dyDescent="0.25">
      <c r="A251" s="14">
        <v>44909</v>
      </c>
      <c r="B251" s="14">
        <v>44909</v>
      </c>
      <c r="C251" s="6">
        <v>44909</v>
      </c>
      <c r="D251" s="6">
        <v>45021</v>
      </c>
      <c r="E251" s="6">
        <v>45041</v>
      </c>
      <c r="F251" s="115" t="s">
        <v>2119</v>
      </c>
      <c r="G251" s="8" t="s">
        <v>2120</v>
      </c>
      <c r="H251" s="8" t="s">
        <v>2121</v>
      </c>
      <c r="I251" s="8">
        <f>10992+6773+2870</f>
        <v>20635</v>
      </c>
      <c r="J251" s="8">
        <v>23365</v>
      </c>
      <c r="K251" s="9">
        <f>Tabla156798[[#This Row],[PRECIO CLIENTE]]-Tabla156798[[#This Row],[CANTIDAD PUBLICA]]</f>
        <v>2730</v>
      </c>
      <c r="L251" s="10">
        <f>Tabla156798[[#This Row],[COMISION AGENCIA]]*0.05</f>
        <v>136.5</v>
      </c>
      <c r="M251" s="7"/>
      <c r="N251" s="7" t="s">
        <v>2122</v>
      </c>
      <c r="O251" s="7" t="s">
        <v>47</v>
      </c>
      <c r="P251" s="7"/>
    </row>
    <row r="252" spans="1:16" x14ac:dyDescent="0.25">
      <c r="A252" s="14">
        <v>44909</v>
      </c>
      <c r="B252" s="14">
        <v>44909</v>
      </c>
      <c r="C252" s="6">
        <v>44909</v>
      </c>
      <c r="D252" s="6">
        <v>44911</v>
      </c>
      <c r="E252" s="7"/>
      <c r="F252" s="115">
        <v>22943</v>
      </c>
      <c r="G252" s="8" t="s">
        <v>2123</v>
      </c>
      <c r="H252" s="8" t="s">
        <v>1663</v>
      </c>
      <c r="I252" s="8">
        <v>1347</v>
      </c>
      <c r="J252" s="8">
        <v>1500</v>
      </c>
      <c r="K252" s="9">
        <f>Tabla156798[[#This Row],[PRECIO CLIENTE]]-Tabla156798[[#This Row],[CANTIDAD PUBLICA]]</f>
        <v>153</v>
      </c>
      <c r="L252" s="10">
        <f>Tabla156798[[#This Row],[COMISION AGENCIA]]*0.05</f>
        <v>7.65</v>
      </c>
      <c r="M252" s="7"/>
      <c r="N252" s="7" t="s">
        <v>2124</v>
      </c>
      <c r="O252" s="7" t="s">
        <v>86</v>
      </c>
      <c r="P252" s="7"/>
    </row>
    <row r="253" spans="1:16" x14ac:dyDescent="0.25">
      <c r="A253" s="14">
        <v>44909</v>
      </c>
      <c r="B253" s="14">
        <v>44909</v>
      </c>
      <c r="C253" s="6">
        <v>44909</v>
      </c>
      <c r="D253" s="6">
        <v>44927</v>
      </c>
      <c r="E253" s="7"/>
      <c r="F253" s="115">
        <v>22944</v>
      </c>
      <c r="G253" s="63" t="s">
        <v>2125</v>
      </c>
      <c r="H253" s="8" t="s">
        <v>1558</v>
      </c>
      <c r="I253" s="8">
        <v>6197</v>
      </c>
      <c r="J253" s="8">
        <v>7300</v>
      </c>
      <c r="K253" s="9">
        <f>Tabla156798[[#This Row],[PRECIO CLIENTE]]-Tabla156798[[#This Row],[CANTIDAD PUBLICA]]</f>
        <v>1103</v>
      </c>
      <c r="L253" s="10">
        <f>Tabla156798[[#This Row],[COMISION AGENCIA]]*0.05</f>
        <v>55.150000000000006</v>
      </c>
      <c r="M253" s="7"/>
      <c r="N253" s="7" t="s">
        <v>2126</v>
      </c>
      <c r="O253" s="7" t="s">
        <v>86</v>
      </c>
      <c r="P253" s="7"/>
    </row>
    <row r="254" spans="1:16" x14ac:dyDescent="0.25">
      <c r="A254" s="14">
        <f>Tabla156798[[#This Row],[FECHA IN]]-15</f>
        <v>44910</v>
      </c>
      <c r="B254" s="14">
        <v>44902</v>
      </c>
      <c r="C254" s="6">
        <v>44900</v>
      </c>
      <c r="D254" s="6">
        <v>44925</v>
      </c>
      <c r="E254" s="6">
        <v>44928</v>
      </c>
      <c r="F254" s="115" t="s">
        <v>2127</v>
      </c>
      <c r="G254" s="8" t="s">
        <v>2128</v>
      </c>
      <c r="H254" s="8" t="s">
        <v>2129</v>
      </c>
      <c r="I254" s="8">
        <v>34110.39</v>
      </c>
      <c r="J254" s="8">
        <v>29680</v>
      </c>
      <c r="K254" s="9">
        <f>Tabla156798[[#This Row],[CANTIDAD PUBLICA]]*0.05</f>
        <v>1705.5195000000001</v>
      </c>
      <c r="L254" s="10">
        <f>Tabla156798[[#This Row],[COMISION AGENCIA]]*0.05</f>
        <v>85.275975000000017</v>
      </c>
      <c r="M254" s="7">
        <v>3481294092</v>
      </c>
      <c r="N254" s="7" t="s">
        <v>2130</v>
      </c>
      <c r="O254" s="7" t="s">
        <v>6</v>
      </c>
      <c r="P254" s="7"/>
    </row>
    <row r="255" spans="1:16" x14ac:dyDescent="0.25">
      <c r="A255" s="14">
        <v>44910</v>
      </c>
      <c r="B255" s="14">
        <v>44910</v>
      </c>
      <c r="C255" s="6">
        <v>44910</v>
      </c>
      <c r="D255" s="6">
        <v>44911</v>
      </c>
      <c r="E255" s="7"/>
      <c r="F255" s="115">
        <v>22948</v>
      </c>
      <c r="G255" s="8" t="s">
        <v>2131</v>
      </c>
      <c r="H255" s="8" t="s">
        <v>1979</v>
      </c>
      <c r="I255" s="8">
        <v>14090</v>
      </c>
      <c r="J255" s="8">
        <v>15170</v>
      </c>
      <c r="K255" s="9">
        <f>Tabla156798[[#This Row],[PRECIO CLIENTE]]-Tabla156798[[#This Row],[CANTIDAD PUBLICA]]</f>
        <v>1080</v>
      </c>
      <c r="L255" s="10">
        <f>Tabla156798[[#This Row],[COMISION AGENCIA]]*0.05</f>
        <v>54</v>
      </c>
      <c r="M255" s="7"/>
      <c r="N255" s="7" t="s">
        <v>2132</v>
      </c>
      <c r="O255" s="7" t="s">
        <v>47</v>
      </c>
      <c r="P255" s="7"/>
    </row>
    <row r="256" spans="1:16" x14ac:dyDescent="0.25">
      <c r="A256" s="14">
        <v>44912</v>
      </c>
      <c r="B256" s="14">
        <v>44912</v>
      </c>
      <c r="C256" s="6">
        <v>44912</v>
      </c>
      <c r="D256" s="6">
        <v>44923</v>
      </c>
      <c r="E256" s="6">
        <v>44932</v>
      </c>
      <c r="F256" s="115" t="s">
        <v>2133</v>
      </c>
      <c r="G256" s="8" t="s">
        <v>2134</v>
      </c>
      <c r="H256" s="8" t="s">
        <v>1833</v>
      </c>
      <c r="I256" s="8">
        <v>22888</v>
      </c>
      <c r="J256" s="8">
        <v>25820</v>
      </c>
      <c r="K256" s="9">
        <f>Tabla156798[[#This Row],[PRECIO CLIENTE]]-Tabla156798[[#This Row],[CANTIDAD PUBLICA]]</f>
        <v>2932</v>
      </c>
      <c r="L256" s="10">
        <f>Tabla156798[[#This Row],[COMISION AGENCIA]]*0.05</f>
        <v>146.6</v>
      </c>
      <c r="M256" s="7"/>
      <c r="N256" s="7" t="s">
        <v>2135</v>
      </c>
      <c r="O256" s="7" t="s">
        <v>47</v>
      </c>
      <c r="P256" s="7"/>
    </row>
    <row r="257" spans="1:16" x14ac:dyDescent="0.25">
      <c r="A257" s="14">
        <v>44912</v>
      </c>
      <c r="B257" s="14">
        <v>44912</v>
      </c>
      <c r="C257" s="6">
        <v>44912</v>
      </c>
      <c r="D257" s="6">
        <v>44916</v>
      </c>
      <c r="E257" s="7"/>
      <c r="F257" s="115" t="s">
        <v>2136</v>
      </c>
      <c r="G257" s="8" t="s">
        <v>2137</v>
      </c>
      <c r="H257" s="8" t="s">
        <v>1955</v>
      </c>
      <c r="I257" s="8">
        <v>4716</v>
      </c>
      <c r="J257" s="8">
        <v>5150</v>
      </c>
      <c r="K257" s="9">
        <f>Tabla156798[[#This Row],[PRECIO CLIENTE]]-Tabla156798[[#This Row],[CANTIDAD PUBLICA]]</f>
        <v>434</v>
      </c>
      <c r="L257" s="10">
        <f>Tabla156798[[#This Row],[COMISION AGENCIA]]*0.05</f>
        <v>21.700000000000003</v>
      </c>
      <c r="M257" s="7"/>
      <c r="N257" s="7" t="s">
        <v>2138</v>
      </c>
      <c r="O257" s="7" t="s">
        <v>47</v>
      </c>
      <c r="P257" s="7"/>
    </row>
    <row r="258" spans="1:16" x14ac:dyDescent="0.25">
      <c r="A258" s="14">
        <v>44912</v>
      </c>
      <c r="B258" s="14">
        <v>44912</v>
      </c>
      <c r="C258" s="6">
        <v>44912</v>
      </c>
      <c r="D258" s="6">
        <v>44913</v>
      </c>
      <c r="E258" s="7"/>
      <c r="F258" s="115">
        <v>22984</v>
      </c>
      <c r="G258" s="8" t="s">
        <v>2139</v>
      </c>
      <c r="H258" s="8" t="s">
        <v>1906</v>
      </c>
      <c r="I258" s="8">
        <v>18980</v>
      </c>
      <c r="J258" s="8">
        <v>19580</v>
      </c>
      <c r="K258" s="9">
        <f>Tabla156798[[#This Row],[PRECIO CLIENTE]]-Tabla156798[[#This Row],[CANTIDAD PUBLICA]]</f>
        <v>600</v>
      </c>
      <c r="L258" s="10">
        <f>Tabla156798[[#This Row],[COMISION AGENCIA]]*0.05</f>
        <v>30</v>
      </c>
      <c r="M258" s="7"/>
      <c r="N258" s="7" t="s">
        <v>2140</v>
      </c>
      <c r="O258" s="7" t="s">
        <v>47</v>
      </c>
      <c r="P258" s="7"/>
    </row>
    <row r="259" spans="1:16" x14ac:dyDescent="0.25">
      <c r="A259" s="14">
        <v>44914</v>
      </c>
      <c r="B259" s="14">
        <v>44914</v>
      </c>
      <c r="C259" s="6">
        <v>44914</v>
      </c>
      <c r="D259" s="6">
        <v>44935</v>
      </c>
      <c r="E259" s="7"/>
      <c r="F259" s="115">
        <v>22967</v>
      </c>
      <c r="G259" s="8" t="s">
        <v>2141</v>
      </c>
      <c r="H259" s="8" t="s">
        <v>1544</v>
      </c>
      <c r="I259" s="8">
        <v>4685</v>
      </c>
      <c r="J259" s="8">
        <v>5480</v>
      </c>
      <c r="K259" s="9">
        <f>Tabla156798[[#This Row],[PRECIO CLIENTE]]-Tabla156798[[#This Row],[CANTIDAD PUBLICA]]</f>
        <v>795</v>
      </c>
      <c r="L259" s="10">
        <f>Tabla156798[[#This Row],[COMISION AGENCIA]]*0.05</f>
        <v>39.75</v>
      </c>
      <c r="M259" s="7"/>
      <c r="N259" s="7" t="s">
        <v>2142</v>
      </c>
      <c r="O259" s="7" t="s">
        <v>47</v>
      </c>
      <c r="P259" s="7"/>
    </row>
    <row r="260" spans="1:16" x14ac:dyDescent="0.25">
      <c r="A260" s="14">
        <v>44914</v>
      </c>
      <c r="B260" s="14">
        <v>44914</v>
      </c>
      <c r="C260" s="6">
        <v>44914</v>
      </c>
      <c r="D260" s="6">
        <v>45008</v>
      </c>
      <c r="E260" s="7"/>
      <c r="F260" s="115">
        <v>22973</v>
      </c>
      <c r="G260" s="8" t="s">
        <v>2143</v>
      </c>
      <c r="H260" s="8" t="s">
        <v>2144</v>
      </c>
      <c r="I260" s="8">
        <v>15015</v>
      </c>
      <c r="J260" s="8">
        <v>16700</v>
      </c>
      <c r="K260" s="9">
        <f>Tabla156798[[#This Row],[PRECIO CLIENTE]]-Tabla156798[[#This Row],[CANTIDAD PUBLICA]]</f>
        <v>1685</v>
      </c>
      <c r="L260" s="10">
        <f>Tabla156798[[#This Row],[COMISION AGENCIA]]*0.05</f>
        <v>84.25</v>
      </c>
      <c r="M260" s="7"/>
      <c r="N260" s="7" t="s">
        <v>2145</v>
      </c>
      <c r="O260" s="7" t="s">
        <v>47</v>
      </c>
      <c r="P260" s="7"/>
    </row>
    <row r="261" spans="1:16" x14ac:dyDescent="0.25">
      <c r="A261" s="14">
        <v>44914</v>
      </c>
      <c r="B261" s="14">
        <v>44914</v>
      </c>
      <c r="C261" s="6">
        <v>44914</v>
      </c>
      <c r="D261" s="6">
        <v>44925</v>
      </c>
      <c r="E261" s="7"/>
      <c r="F261" s="115">
        <v>22968</v>
      </c>
      <c r="G261" s="8" t="s">
        <v>1591</v>
      </c>
      <c r="H261" s="8" t="s">
        <v>2037</v>
      </c>
      <c r="I261" s="8">
        <v>5616</v>
      </c>
      <c r="J261" s="8">
        <v>6220</v>
      </c>
      <c r="K261" s="9">
        <f>Tabla156798[[#This Row],[PRECIO CLIENTE]]-Tabla156798[[#This Row],[CANTIDAD PUBLICA]]</f>
        <v>604</v>
      </c>
      <c r="L261" s="10">
        <f>Tabla156798[[#This Row],[COMISION AGENCIA]]*0.05</f>
        <v>30.200000000000003</v>
      </c>
      <c r="M261" s="7"/>
      <c r="N261" s="7" t="s">
        <v>2146</v>
      </c>
      <c r="O261" s="7" t="s">
        <v>47</v>
      </c>
      <c r="P261" s="7"/>
    </row>
    <row r="262" spans="1:16" x14ac:dyDescent="0.25">
      <c r="A262" s="14">
        <v>44914</v>
      </c>
      <c r="B262" s="14">
        <v>44914</v>
      </c>
      <c r="C262" s="6">
        <v>44914</v>
      </c>
      <c r="D262" s="6">
        <v>45018</v>
      </c>
      <c r="E262" s="6">
        <v>45022</v>
      </c>
      <c r="F262" s="115">
        <v>22970</v>
      </c>
      <c r="G262" s="8" t="s">
        <v>2147</v>
      </c>
      <c r="H262" s="8" t="s">
        <v>2074</v>
      </c>
      <c r="I262" s="8">
        <v>6330</v>
      </c>
      <c r="J262" s="8">
        <v>6775</v>
      </c>
      <c r="K262" s="9">
        <f>Tabla156798[[#This Row],[PRECIO CLIENTE]]-Tabla156798[[#This Row],[CANTIDAD PUBLICA]]</f>
        <v>445</v>
      </c>
      <c r="L262" s="10">
        <f>Tabla156798[[#This Row],[COMISION AGENCIA]]*0.05</f>
        <v>22.25</v>
      </c>
      <c r="M262" s="7"/>
      <c r="N262" s="7" t="s">
        <v>2148</v>
      </c>
      <c r="O262" s="7" t="s">
        <v>47</v>
      </c>
      <c r="P262" s="7"/>
    </row>
    <row r="263" spans="1:16" x14ac:dyDescent="0.25">
      <c r="A263" s="14">
        <v>44915</v>
      </c>
      <c r="B263" s="14">
        <v>44915</v>
      </c>
      <c r="C263" s="6">
        <v>44915</v>
      </c>
      <c r="D263" s="6">
        <v>44925</v>
      </c>
      <c r="E263" s="7"/>
      <c r="F263" s="115">
        <v>22977</v>
      </c>
      <c r="G263" s="8" t="s">
        <v>2149</v>
      </c>
      <c r="H263" s="8" t="s">
        <v>1833</v>
      </c>
      <c r="I263" s="8">
        <v>15984</v>
      </c>
      <c r="J263" s="8">
        <v>17150</v>
      </c>
      <c r="K263" s="9">
        <f>Tabla156798[[#This Row],[PRECIO CLIENTE]]-Tabla156798[[#This Row],[CANTIDAD PUBLICA]]</f>
        <v>1166</v>
      </c>
      <c r="L263" s="10">
        <f>Tabla156798[[#This Row],[COMISION AGENCIA]]*0.05</f>
        <v>58.300000000000004</v>
      </c>
      <c r="M263" s="7"/>
      <c r="N263" s="7" t="s">
        <v>2150</v>
      </c>
      <c r="O263" s="7" t="s">
        <v>47</v>
      </c>
      <c r="P263" s="7"/>
    </row>
    <row r="264" spans="1:16" x14ac:dyDescent="0.25">
      <c r="A264" s="14">
        <v>44915</v>
      </c>
      <c r="B264" s="14">
        <v>44915</v>
      </c>
      <c r="C264" s="6">
        <v>44915</v>
      </c>
      <c r="D264" s="6">
        <v>44927</v>
      </c>
      <c r="E264" s="7"/>
      <c r="F264" s="115" t="s">
        <v>2151</v>
      </c>
      <c r="G264" s="8" t="s">
        <v>2152</v>
      </c>
      <c r="H264" s="8" t="s">
        <v>1558</v>
      </c>
      <c r="I264" s="8">
        <v>9756</v>
      </c>
      <c r="J264" s="8">
        <v>11115</v>
      </c>
      <c r="K264" s="9">
        <f>Tabla156798[[#This Row],[PRECIO CLIENTE]]-Tabla156798[[#This Row],[CANTIDAD PUBLICA]]</f>
        <v>1359</v>
      </c>
      <c r="L264" s="10">
        <f>Tabla156798[[#This Row],[COMISION AGENCIA]]*0.05</f>
        <v>67.95</v>
      </c>
      <c r="M264" s="7"/>
      <c r="N264" s="7" t="s">
        <v>2153</v>
      </c>
      <c r="O264" s="7" t="s">
        <v>47</v>
      </c>
      <c r="P264" s="7"/>
    </row>
    <row r="265" spans="1:16" x14ac:dyDescent="0.25">
      <c r="A265" s="14">
        <v>44915</v>
      </c>
      <c r="B265" s="14">
        <v>44915</v>
      </c>
      <c r="C265" s="6">
        <v>44915</v>
      </c>
      <c r="D265" s="6">
        <v>44921</v>
      </c>
      <c r="E265" s="6">
        <v>44924</v>
      </c>
      <c r="F265" s="115">
        <v>22986</v>
      </c>
      <c r="G265" s="8" t="s">
        <v>2154</v>
      </c>
      <c r="H265" s="8" t="s">
        <v>2155</v>
      </c>
      <c r="I265" s="8">
        <v>86674</v>
      </c>
      <c r="J265" s="8">
        <v>75420</v>
      </c>
      <c r="K265" s="9">
        <f>Tabla156798[[#This Row],[CANTIDAD PUBLICA]]*0.05</f>
        <v>4333.7</v>
      </c>
      <c r="L265" s="10">
        <f>Tabla156798[[#This Row],[COMISION AGENCIA]]*0.05</f>
        <v>216.685</v>
      </c>
      <c r="M265" s="7">
        <v>3481004803</v>
      </c>
      <c r="N265" s="7" t="s">
        <v>2156</v>
      </c>
      <c r="O265" s="7" t="s">
        <v>2157</v>
      </c>
      <c r="P265" s="7"/>
    </row>
    <row r="266" spans="1:16" x14ac:dyDescent="0.25">
      <c r="A266" s="14">
        <v>44916</v>
      </c>
      <c r="B266" s="14">
        <v>44916</v>
      </c>
      <c r="C266" s="6">
        <v>44916</v>
      </c>
      <c r="D266" s="6">
        <v>44923</v>
      </c>
      <c r="E266" s="6">
        <v>44930</v>
      </c>
      <c r="F266" s="115">
        <v>22990</v>
      </c>
      <c r="G266" s="8" t="s">
        <v>2158</v>
      </c>
      <c r="H266" s="8" t="s">
        <v>2159</v>
      </c>
      <c r="I266" s="8">
        <v>29814</v>
      </c>
      <c r="J266" s="8">
        <v>31800</v>
      </c>
      <c r="K266" s="9">
        <f>Tabla156798[[#This Row],[PRECIO CLIENTE]]-Tabla156798[[#This Row],[CANTIDAD PUBLICA]]</f>
        <v>1986</v>
      </c>
      <c r="L266" s="10">
        <f>Tabla156798[[#This Row],[COMISION AGENCIA]]*0.05</f>
        <v>99.300000000000011</v>
      </c>
      <c r="M266" s="7"/>
      <c r="N266" s="7" t="s">
        <v>2160</v>
      </c>
      <c r="O266" s="7" t="s">
        <v>47</v>
      </c>
      <c r="P266" s="7"/>
    </row>
    <row r="267" spans="1:16" x14ac:dyDescent="0.25">
      <c r="A267" s="14">
        <v>44916</v>
      </c>
      <c r="B267" s="14">
        <v>44916</v>
      </c>
      <c r="C267" s="6">
        <v>44916</v>
      </c>
      <c r="D267" s="6">
        <v>44923</v>
      </c>
      <c r="E267" s="6">
        <v>44930</v>
      </c>
      <c r="F267" s="115">
        <v>22993</v>
      </c>
      <c r="G267" s="8" t="s">
        <v>2158</v>
      </c>
      <c r="H267" s="8" t="s">
        <v>2161</v>
      </c>
      <c r="I267" s="8">
        <v>1562</v>
      </c>
      <c r="J267" s="8">
        <v>1935</v>
      </c>
      <c r="K267" s="9">
        <f>Tabla156798[[#This Row],[PRECIO CLIENTE]]-Tabla156798[[#This Row],[CANTIDAD PUBLICA]]</f>
        <v>373</v>
      </c>
      <c r="L267" s="10">
        <f>Tabla156798[[#This Row],[COMISION AGENCIA]]*0.05</f>
        <v>18.650000000000002</v>
      </c>
      <c r="M267" s="7"/>
      <c r="N267" s="7" t="s">
        <v>2160</v>
      </c>
      <c r="O267" s="7" t="s">
        <v>47</v>
      </c>
      <c r="P267" s="7"/>
    </row>
    <row r="268" spans="1:16" x14ac:dyDescent="0.25">
      <c r="A268" s="14">
        <v>44916</v>
      </c>
      <c r="B268" s="14">
        <v>44916</v>
      </c>
      <c r="C268" s="6">
        <v>44916</v>
      </c>
      <c r="D268" s="6">
        <v>44938</v>
      </c>
      <c r="E268" s="6">
        <v>44942</v>
      </c>
      <c r="F268" s="115">
        <v>22992</v>
      </c>
      <c r="G268" s="8" t="s">
        <v>2162</v>
      </c>
      <c r="H268" s="8" t="s">
        <v>2163</v>
      </c>
      <c r="I268" s="8">
        <f>3285+2820</f>
        <v>6105</v>
      </c>
      <c r="J268" s="8">
        <f>4275+3855</f>
        <v>8130</v>
      </c>
      <c r="K268" s="9">
        <f>Tabla156798[[#This Row],[PRECIO CLIENTE]]-Tabla156798[[#This Row],[CANTIDAD PUBLICA]]</f>
        <v>2025</v>
      </c>
      <c r="L268" s="10">
        <f>Tabla156798[[#This Row],[COMISION AGENCIA]]*0.05</f>
        <v>101.25</v>
      </c>
      <c r="M268" s="7"/>
      <c r="N268" s="7" t="s">
        <v>2164</v>
      </c>
      <c r="O268" s="7" t="s">
        <v>47</v>
      </c>
      <c r="P268" s="7"/>
    </row>
    <row r="269" spans="1:16" x14ac:dyDescent="0.25">
      <c r="A269" s="14">
        <f>Tabla156798[[#This Row],[FECHA IN]]-15</f>
        <v>44919</v>
      </c>
      <c r="B269" s="14">
        <v>44912</v>
      </c>
      <c r="C269" s="6">
        <v>44844</v>
      </c>
      <c r="D269" s="6">
        <v>44934</v>
      </c>
      <c r="E269" s="6">
        <v>44938</v>
      </c>
      <c r="F269" s="115" t="s">
        <v>2165</v>
      </c>
      <c r="G269" s="8" t="s">
        <v>2166</v>
      </c>
      <c r="H269" s="8" t="s">
        <v>2167</v>
      </c>
      <c r="I269" s="8">
        <v>25520</v>
      </c>
      <c r="J269" s="8">
        <v>22205</v>
      </c>
      <c r="K269" s="9">
        <f>Tabla156798[[#This Row],[CANTIDAD PUBLICA]]*0.05</f>
        <v>1276</v>
      </c>
      <c r="L269" s="10">
        <f>Tabla156798[[#This Row],[COMISION AGENCIA]]*0.05</f>
        <v>63.800000000000004</v>
      </c>
      <c r="M269" s="7">
        <v>3481114781</v>
      </c>
      <c r="N269" s="7" t="s">
        <v>2168</v>
      </c>
      <c r="O269" s="7" t="s">
        <v>6</v>
      </c>
      <c r="P269" s="7"/>
    </row>
    <row r="270" spans="1:16" x14ac:dyDescent="0.25">
      <c r="A270" s="14">
        <f>Tabla156798[[#This Row],[FECHA IN]]-15</f>
        <v>44919</v>
      </c>
      <c r="B270" s="14">
        <v>44922</v>
      </c>
      <c r="C270" s="6">
        <v>44841</v>
      </c>
      <c r="D270" s="6">
        <v>44934</v>
      </c>
      <c r="E270" s="6">
        <v>44573</v>
      </c>
      <c r="F270" s="115" t="s">
        <v>2169</v>
      </c>
      <c r="G270" s="8" t="s">
        <v>2170</v>
      </c>
      <c r="H270" s="8" t="s">
        <v>2167</v>
      </c>
      <c r="I270" s="8">
        <v>18560</v>
      </c>
      <c r="J270" s="8">
        <v>16150</v>
      </c>
      <c r="K270" s="9">
        <f>Tabla156798[[#This Row],[CANTIDAD PUBLICA]]*0.05</f>
        <v>928</v>
      </c>
      <c r="L270" s="10">
        <f>Tabla156798[[#This Row],[COMISION AGENCIA]]*0.05</f>
        <v>46.400000000000006</v>
      </c>
      <c r="M270" s="7">
        <v>3481114781</v>
      </c>
      <c r="N270" s="7" t="s">
        <v>2171</v>
      </c>
      <c r="O270" s="7" t="s">
        <v>6</v>
      </c>
      <c r="P270" s="7"/>
    </row>
    <row r="271" spans="1:16" x14ac:dyDescent="0.25">
      <c r="A271" s="14">
        <f>Tabla156798[[#This Row],[FECHA IN]]-15</f>
        <v>44919</v>
      </c>
      <c r="B271" s="14">
        <v>44914</v>
      </c>
      <c r="C271" s="6">
        <v>44908</v>
      </c>
      <c r="D271" s="6">
        <v>44934</v>
      </c>
      <c r="E271" s="6">
        <v>44938</v>
      </c>
      <c r="F271" s="115" t="s">
        <v>2172</v>
      </c>
      <c r="G271" s="8" t="s">
        <v>2173</v>
      </c>
      <c r="H271" s="8" t="s">
        <v>949</v>
      </c>
      <c r="I271" s="8">
        <v>23994.959999999999</v>
      </c>
      <c r="J271" s="8">
        <v>20880</v>
      </c>
      <c r="K271" s="9">
        <f>Tabla156798[[#This Row],[CANTIDAD PUBLICA]]*0.05</f>
        <v>1199.748</v>
      </c>
      <c r="L271" s="10">
        <f>Tabla156798[[#This Row],[COMISION AGENCIA]]*0.05</f>
        <v>59.987400000000008</v>
      </c>
      <c r="M271" s="7">
        <v>3481089633</v>
      </c>
      <c r="N271" s="7" t="s">
        <v>2174</v>
      </c>
      <c r="O271" s="7" t="s">
        <v>6</v>
      </c>
      <c r="P271" s="7"/>
    </row>
    <row r="272" spans="1:16" x14ac:dyDescent="0.25">
      <c r="A272" s="14">
        <f>Tabla156798[[#This Row],[FECHA IN]]-15</f>
        <v>44919</v>
      </c>
      <c r="B272" s="14">
        <v>44914</v>
      </c>
      <c r="C272" s="6">
        <v>44908</v>
      </c>
      <c r="D272" s="6">
        <v>44934</v>
      </c>
      <c r="E272" s="6">
        <v>44938</v>
      </c>
      <c r="F272" s="115" t="s">
        <v>2172</v>
      </c>
      <c r="G272" s="8" t="s">
        <v>2175</v>
      </c>
      <c r="H272" s="8" t="s">
        <v>949</v>
      </c>
      <c r="I272" s="8">
        <v>16840.48</v>
      </c>
      <c r="J272" s="8">
        <v>14650</v>
      </c>
      <c r="K272" s="9">
        <f>Tabla156798[[#This Row],[CANTIDAD PUBLICA]]*0.05</f>
        <v>842.024</v>
      </c>
      <c r="L272" s="10">
        <f>Tabla156798[[#This Row],[COMISION AGENCIA]]*0.05</f>
        <v>42.101200000000006</v>
      </c>
      <c r="M272" s="7">
        <v>3481089633</v>
      </c>
      <c r="N272" s="7" t="s">
        <v>2176</v>
      </c>
      <c r="O272" s="7" t="s">
        <v>6</v>
      </c>
      <c r="P272" s="7"/>
    </row>
    <row r="273" spans="1:16" x14ac:dyDescent="0.25">
      <c r="A273" s="14">
        <f>Tabla156798[[#This Row],[FECHA IN]]-15</f>
        <v>44919</v>
      </c>
      <c r="B273" s="14">
        <v>44916</v>
      </c>
      <c r="C273" s="6">
        <v>44914</v>
      </c>
      <c r="D273" s="6">
        <v>44934</v>
      </c>
      <c r="E273" s="6">
        <v>44938</v>
      </c>
      <c r="F273" s="115">
        <v>22998</v>
      </c>
      <c r="G273" s="8" t="s">
        <v>2177</v>
      </c>
      <c r="H273" s="8" t="s">
        <v>2167</v>
      </c>
      <c r="I273" s="8">
        <v>20636.3</v>
      </c>
      <c r="J273" s="8">
        <v>17955</v>
      </c>
      <c r="K273" s="9">
        <f>Tabla156798[[#This Row],[CANTIDAD PUBLICA]]*0.05</f>
        <v>1031.8150000000001</v>
      </c>
      <c r="L273" s="10">
        <f>Tabla156798[[#This Row],[COMISION AGENCIA]]*0.05</f>
        <v>51.590750000000007</v>
      </c>
      <c r="M273" s="7">
        <v>18163497477</v>
      </c>
      <c r="N273" s="7" t="s">
        <v>2178</v>
      </c>
      <c r="O273" s="7" t="s">
        <v>6</v>
      </c>
      <c r="P273" s="7"/>
    </row>
    <row r="274" spans="1:16" x14ac:dyDescent="0.25">
      <c r="A274" s="14">
        <f>Tabla156798[[#This Row],[FECHA IN]]-15</f>
        <v>44919</v>
      </c>
      <c r="B274" s="14">
        <v>44918</v>
      </c>
      <c r="C274" s="6">
        <v>44911</v>
      </c>
      <c r="D274" s="6">
        <v>44934</v>
      </c>
      <c r="E274" s="6">
        <v>44938</v>
      </c>
      <c r="F274" s="115" t="s">
        <v>2179</v>
      </c>
      <c r="G274" s="8" t="s">
        <v>2180</v>
      </c>
      <c r="H274" s="8" t="s">
        <v>2181</v>
      </c>
      <c r="I274" s="8">
        <v>32632.9</v>
      </c>
      <c r="J274" s="8">
        <v>28390</v>
      </c>
      <c r="K274" s="9">
        <f>Tabla156798[[#This Row],[CANTIDAD PUBLICA]]*0.05</f>
        <v>1631.6450000000002</v>
      </c>
      <c r="L274" s="10">
        <f>Tabla156798[[#This Row],[COMISION AGENCIA]]*0.05</f>
        <v>81.582250000000016</v>
      </c>
      <c r="M274" s="7">
        <v>3481313664</v>
      </c>
      <c r="N274" s="7" t="s">
        <v>2182</v>
      </c>
      <c r="O274" s="7" t="s">
        <v>6</v>
      </c>
      <c r="P274" s="7"/>
    </row>
    <row r="275" spans="1:16" x14ac:dyDescent="0.25">
      <c r="A275" s="14">
        <f>Tabla156798[[#This Row],[FECHA IN]]-15</f>
        <v>44920</v>
      </c>
      <c r="B275" s="14">
        <v>44915</v>
      </c>
      <c r="C275" s="6">
        <v>44887</v>
      </c>
      <c r="D275" s="6">
        <v>44935</v>
      </c>
      <c r="E275" s="6">
        <v>44939</v>
      </c>
      <c r="F275" s="115" t="s">
        <v>2183</v>
      </c>
      <c r="G275" s="8" t="s">
        <v>2184</v>
      </c>
      <c r="H275" s="8" t="s">
        <v>2185</v>
      </c>
      <c r="I275" s="8">
        <v>16773.349999999999</v>
      </c>
      <c r="J275" s="8">
        <v>14600</v>
      </c>
      <c r="K275" s="9">
        <f>Tabla156798[[#This Row],[CANTIDAD PUBLICA]]*0.05</f>
        <v>838.66750000000002</v>
      </c>
      <c r="L275" s="10">
        <f>Tabla156798[[#This Row],[COMISION AGENCIA]]*0.05</f>
        <v>41.933375000000005</v>
      </c>
      <c r="M275" s="7">
        <v>3481336175</v>
      </c>
      <c r="N275" s="7" t="s">
        <v>2186</v>
      </c>
      <c r="O275" s="7" t="s">
        <v>6</v>
      </c>
      <c r="P275" s="7"/>
    </row>
    <row r="276" spans="1:16" x14ac:dyDescent="0.25">
      <c r="A276" s="14">
        <f>Tabla156798[[#This Row],[FECHA IN]]-15</f>
        <v>44920</v>
      </c>
      <c r="B276" s="14">
        <v>44915</v>
      </c>
      <c r="C276" s="6">
        <v>44887</v>
      </c>
      <c r="D276" s="6">
        <v>44935</v>
      </c>
      <c r="E276" s="6">
        <v>44939</v>
      </c>
      <c r="F276" s="115" t="s">
        <v>2183</v>
      </c>
      <c r="G276" s="8" t="s">
        <v>2187</v>
      </c>
      <c r="H276" s="8" t="s">
        <v>2185</v>
      </c>
      <c r="I276" s="8">
        <v>16773.349999999999</v>
      </c>
      <c r="J276" s="8">
        <v>14600</v>
      </c>
      <c r="K276" s="9">
        <f>Tabla156798[[#This Row],[CANTIDAD PUBLICA]]*0.05</f>
        <v>838.66750000000002</v>
      </c>
      <c r="L276" s="10">
        <f>Tabla156798[[#This Row],[COMISION AGENCIA]]*0.05</f>
        <v>41.933375000000005</v>
      </c>
      <c r="M276" s="7">
        <v>3481336175</v>
      </c>
      <c r="N276" s="7" t="s">
        <v>2188</v>
      </c>
      <c r="O276" s="7" t="s">
        <v>6</v>
      </c>
      <c r="P276" s="7"/>
    </row>
    <row r="277" spans="1:16" x14ac:dyDescent="0.25">
      <c r="A277" s="14">
        <f>Tabla156798[[#This Row],[FECHA IN]]-15</f>
        <v>44920</v>
      </c>
      <c r="B277" s="14">
        <v>44915</v>
      </c>
      <c r="C277" s="6">
        <v>44887</v>
      </c>
      <c r="D277" s="6">
        <v>44935</v>
      </c>
      <c r="E277" s="6">
        <v>44939</v>
      </c>
      <c r="F277" s="115" t="s">
        <v>2183</v>
      </c>
      <c r="G277" s="8" t="s">
        <v>2189</v>
      </c>
      <c r="H277" s="8" t="s">
        <v>2185</v>
      </c>
      <c r="I277" s="8">
        <v>37690.589999999997</v>
      </c>
      <c r="J277" s="8">
        <v>32790</v>
      </c>
      <c r="K277" s="9">
        <f>Tabla156798[[#This Row],[CANTIDAD PUBLICA]]*0.05</f>
        <v>1884.5294999999999</v>
      </c>
      <c r="L277" s="10">
        <f>Tabla156798[[#This Row],[COMISION AGENCIA]]*0.05</f>
        <v>94.226474999999994</v>
      </c>
      <c r="M277" s="7">
        <v>3481336175</v>
      </c>
      <c r="N277" s="7" t="s">
        <v>2190</v>
      </c>
      <c r="O277" s="7" t="s">
        <v>6</v>
      </c>
      <c r="P277" s="7"/>
    </row>
    <row r="278" spans="1:16" x14ac:dyDescent="0.25">
      <c r="A278" s="14">
        <v>44921</v>
      </c>
      <c r="B278" s="14">
        <v>44921</v>
      </c>
      <c r="C278" s="6">
        <v>44921</v>
      </c>
      <c r="D278" s="6">
        <v>44947</v>
      </c>
      <c r="E278" s="6">
        <v>44956</v>
      </c>
      <c r="F278" s="115">
        <v>23019</v>
      </c>
      <c r="G278" s="8" t="s">
        <v>2191</v>
      </c>
      <c r="H278" s="8" t="s">
        <v>1631</v>
      </c>
      <c r="I278" s="8">
        <v>5889</v>
      </c>
      <c r="J278" s="8">
        <v>6310</v>
      </c>
      <c r="K278" s="9">
        <f>Tabla156798[[#This Row],[PRECIO CLIENTE]]-Tabla156798[[#This Row],[CANTIDAD PUBLICA]]</f>
        <v>421</v>
      </c>
      <c r="L278" s="10">
        <f>Tabla156798[[#This Row],[COMISION AGENCIA]]*0.05</f>
        <v>21.05</v>
      </c>
      <c r="M278" s="7"/>
      <c r="N278" s="7" t="s">
        <v>2192</v>
      </c>
      <c r="O278" s="7" t="s">
        <v>47</v>
      </c>
      <c r="P278" s="7"/>
    </row>
    <row r="279" spans="1:16" x14ac:dyDescent="0.25">
      <c r="A279" s="14">
        <v>44921</v>
      </c>
      <c r="B279" s="14">
        <v>44921</v>
      </c>
      <c r="C279" s="6">
        <v>44921</v>
      </c>
      <c r="D279" s="6">
        <v>45221</v>
      </c>
      <c r="E279" s="6">
        <v>45225</v>
      </c>
      <c r="F279" s="115">
        <v>23028</v>
      </c>
      <c r="G279" s="8" t="s">
        <v>2193</v>
      </c>
      <c r="H279" s="8" t="s">
        <v>1290</v>
      </c>
      <c r="I279" s="8">
        <v>7293</v>
      </c>
      <c r="J279" s="8">
        <v>8400</v>
      </c>
      <c r="K279" s="9">
        <f>Tabla156798[[#This Row],[PRECIO CLIENTE]]-Tabla156798[[#This Row],[CANTIDAD PUBLICA]]</f>
        <v>1107</v>
      </c>
      <c r="L279" s="10">
        <f>Tabla156798[[#This Row],[COMISION AGENCIA]]*0.05</f>
        <v>55.35</v>
      </c>
      <c r="M279" s="7"/>
      <c r="N279" s="7" t="s">
        <v>2194</v>
      </c>
      <c r="O279" s="7" t="s">
        <v>47</v>
      </c>
      <c r="P279" s="7"/>
    </row>
    <row r="280" spans="1:16" x14ac:dyDescent="0.25">
      <c r="A280" s="14">
        <v>44923</v>
      </c>
      <c r="B280" s="14">
        <v>44923</v>
      </c>
      <c r="C280" s="6">
        <v>44923</v>
      </c>
      <c r="D280" s="6">
        <v>44946</v>
      </c>
      <c r="E280" s="6">
        <v>44951</v>
      </c>
      <c r="F280" s="115">
        <v>23043</v>
      </c>
      <c r="G280" s="8" t="s">
        <v>2195</v>
      </c>
      <c r="H280" s="8" t="s">
        <v>1625</v>
      </c>
      <c r="I280" s="8">
        <v>2148</v>
      </c>
      <c r="J280" s="8">
        <v>2460</v>
      </c>
      <c r="K280" s="9">
        <f>Tabla156798[[#This Row],[PRECIO CLIENTE]]-Tabla156798[[#This Row],[CANTIDAD PUBLICA]]</f>
        <v>312</v>
      </c>
      <c r="L280" s="10">
        <f>Tabla156798[[#This Row],[COMISION AGENCIA]]*0.05</f>
        <v>15.600000000000001</v>
      </c>
      <c r="M280" s="7"/>
      <c r="N280" s="7" t="s">
        <v>2196</v>
      </c>
      <c r="O280" s="7" t="s">
        <v>47</v>
      </c>
      <c r="P280" s="7"/>
    </row>
    <row r="281" spans="1:16" x14ac:dyDescent="0.25">
      <c r="A281" s="14">
        <v>44923</v>
      </c>
      <c r="B281" s="14">
        <v>44923</v>
      </c>
      <c r="C281" s="6">
        <v>44923</v>
      </c>
      <c r="D281" s="6">
        <v>44938</v>
      </c>
      <c r="E281" s="6">
        <v>44942</v>
      </c>
      <c r="F281" s="115">
        <v>23041</v>
      </c>
      <c r="G281" s="8" t="s">
        <v>2197</v>
      </c>
      <c r="H281" s="8" t="s">
        <v>2163</v>
      </c>
      <c r="I281" s="8">
        <f>2190+1880</f>
        <v>4070</v>
      </c>
      <c r="J281" s="8">
        <v>5450</v>
      </c>
      <c r="K281" s="9">
        <f>Tabla156798[[#This Row],[PRECIO CLIENTE]]-Tabla156798[[#This Row],[CANTIDAD PUBLICA]]</f>
        <v>1380</v>
      </c>
      <c r="L281" s="10">
        <f>Tabla156798[[#This Row],[COMISION AGENCIA]]*0.05</f>
        <v>69</v>
      </c>
      <c r="M281" s="7"/>
      <c r="N281" s="7" t="s">
        <v>2198</v>
      </c>
      <c r="O281" s="7" t="s">
        <v>47</v>
      </c>
      <c r="P281" s="7"/>
    </row>
    <row r="282" spans="1:16" x14ac:dyDescent="0.25">
      <c r="A282" s="14">
        <v>44923</v>
      </c>
      <c r="B282" s="14">
        <v>44923</v>
      </c>
      <c r="C282" s="6">
        <v>44923</v>
      </c>
      <c r="D282" s="6">
        <v>45014</v>
      </c>
      <c r="E282" s="6">
        <v>45017</v>
      </c>
      <c r="F282" s="115">
        <v>23035</v>
      </c>
      <c r="G282" s="8" t="s">
        <v>2199</v>
      </c>
      <c r="H282" s="8" t="s">
        <v>1290</v>
      </c>
      <c r="I282" s="8">
        <v>4126</v>
      </c>
      <c r="J282" s="8">
        <v>5660</v>
      </c>
      <c r="K282" s="9">
        <f>Tabla156798[[#This Row],[PRECIO CLIENTE]]-Tabla156798[[#This Row],[CANTIDAD PUBLICA]]</f>
        <v>1534</v>
      </c>
      <c r="L282" s="10">
        <f>Tabla156798[[#This Row],[COMISION AGENCIA]]*0.05</f>
        <v>76.7</v>
      </c>
      <c r="M282" s="7"/>
      <c r="N282" s="7" t="s">
        <v>2200</v>
      </c>
      <c r="O282" s="7" t="s">
        <v>47</v>
      </c>
      <c r="P282" s="7"/>
    </row>
    <row r="283" spans="1:16" x14ac:dyDescent="0.25">
      <c r="A283" s="14">
        <v>44923</v>
      </c>
      <c r="B283" s="14">
        <v>44923</v>
      </c>
      <c r="C283" s="6">
        <v>44923</v>
      </c>
      <c r="D283" s="6">
        <v>44952</v>
      </c>
      <c r="E283" s="6">
        <v>44962</v>
      </c>
      <c r="F283" s="115">
        <v>23045</v>
      </c>
      <c r="G283" s="8" t="s">
        <v>2201</v>
      </c>
      <c r="H283" s="8" t="s">
        <v>1631</v>
      </c>
      <c r="I283" s="8">
        <v>16140</v>
      </c>
      <c r="J283" s="8">
        <v>17715</v>
      </c>
      <c r="K283" s="9">
        <f>Tabla156798[[#This Row],[PRECIO CLIENTE]]-Tabla156798[[#This Row],[CANTIDAD PUBLICA]]</f>
        <v>1575</v>
      </c>
      <c r="L283" s="10">
        <f>Tabla156798[[#This Row],[COMISION AGENCIA]]*0.05</f>
        <v>78.75</v>
      </c>
      <c r="M283" s="7"/>
      <c r="N283" s="7" t="s">
        <v>2202</v>
      </c>
      <c r="O283" s="7" t="s">
        <v>47</v>
      </c>
      <c r="P283" s="7"/>
    </row>
    <row r="284" spans="1:16" x14ac:dyDescent="0.25">
      <c r="A284" s="14">
        <v>44923</v>
      </c>
      <c r="B284" s="14">
        <v>44923</v>
      </c>
      <c r="C284" s="6">
        <v>44923</v>
      </c>
      <c r="D284" s="6">
        <v>44931</v>
      </c>
      <c r="E284" s="6">
        <v>44934</v>
      </c>
      <c r="F284" s="115">
        <v>23039</v>
      </c>
      <c r="G284" s="8" t="s">
        <v>2203</v>
      </c>
      <c r="H284" s="8" t="s">
        <v>2010</v>
      </c>
      <c r="I284" s="8">
        <v>4044</v>
      </c>
      <c r="J284" s="8">
        <v>5030</v>
      </c>
      <c r="K284" s="9">
        <f>Tabla156798[[#This Row],[PRECIO CLIENTE]]-Tabla156798[[#This Row],[CANTIDAD PUBLICA]]</f>
        <v>986</v>
      </c>
      <c r="L284" s="10">
        <f>Tabla156798[[#This Row],[COMISION AGENCIA]]*0.05</f>
        <v>49.300000000000004</v>
      </c>
      <c r="M284" s="7"/>
      <c r="N284" s="7" t="s">
        <v>2204</v>
      </c>
      <c r="O284" s="7" t="s">
        <v>47</v>
      </c>
      <c r="P284" s="7"/>
    </row>
    <row r="285" spans="1:16" x14ac:dyDescent="0.25">
      <c r="A285" s="14">
        <v>44923</v>
      </c>
      <c r="B285" s="14">
        <v>44923</v>
      </c>
      <c r="C285" s="6">
        <v>44923</v>
      </c>
      <c r="D285" s="6">
        <v>44931</v>
      </c>
      <c r="E285" s="6">
        <v>44934</v>
      </c>
      <c r="F285" s="115">
        <v>23039</v>
      </c>
      <c r="G285" s="8" t="s">
        <v>2203</v>
      </c>
      <c r="H285" s="8" t="s">
        <v>2205</v>
      </c>
      <c r="I285" s="8">
        <v>30011.05</v>
      </c>
      <c r="J285" s="8">
        <v>25460</v>
      </c>
      <c r="K285" s="9">
        <f>Tabla156798[[#This Row],[CANTIDAD PUBLICA]]*0.05</f>
        <v>1500.5525</v>
      </c>
      <c r="L285" s="10">
        <f>Tabla156798[[#This Row],[COMISION AGENCIA]]*0.05</f>
        <v>75.027625</v>
      </c>
      <c r="M285" s="7">
        <v>3481002909</v>
      </c>
      <c r="N285" s="7" t="s">
        <v>2206</v>
      </c>
      <c r="O285" s="7" t="s">
        <v>6</v>
      </c>
      <c r="P285" s="7"/>
    </row>
    <row r="286" spans="1:16" x14ac:dyDescent="0.25">
      <c r="A286" s="14">
        <v>44923</v>
      </c>
      <c r="B286" s="14">
        <v>44923</v>
      </c>
      <c r="C286" s="6">
        <v>44923</v>
      </c>
      <c r="D286" s="6">
        <v>44931</v>
      </c>
      <c r="E286" s="6">
        <v>44934</v>
      </c>
      <c r="F286" s="115">
        <v>23039</v>
      </c>
      <c r="G286" s="8" t="s">
        <v>2203</v>
      </c>
      <c r="H286" s="8" t="s">
        <v>2207</v>
      </c>
      <c r="I286" s="8">
        <v>810</v>
      </c>
      <c r="J286" s="8">
        <v>900</v>
      </c>
      <c r="K286" s="9">
        <f>Tabla156798[[#This Row],[PRECIO CLIENTE]]-Tabla156798[[#This Row],[CANTIDAD PUBLICA]]</f>
        <v>90</v>
      </c>
      <c r="L286" s="10">
        <f>Tabla156798[[#This Row],[COMISION AGENCIA]]*0.05</f>
        <v>4.5</v>
      </c>
      <c r="M286" s="7">
        <v>3481002909</v>
      </c>
      <c r="N286" s="7"/>
      <c r="O286" s="7"/>
      <c r="P286" s="7"/>
    </row>
    <row r="287" spans="1:16" x14ac:dyDescent="0.25">
      <c r="A287" s="14">
        <v>44924</v>
      </c>
      <c r="B287" s="14">
        <v>44924</v>
      </c>
      <c r="C287" s="6">
        <v>44924</v>
      </c>
      <c r="D287" s="6">
        <v>45011</v>
      </c>
      <c r="E287" s="6">
        <v>45015</v>
      </c>
      <c r="F287" s="115">
        <v>23055</v>
      </c>
      <c r="G287" s="8" t="s">
        <v>2208</v>
      </c>
      <c r="H287" s="8" t="s">
        <v>1861</v>
      </c>
      <c r="I287" s="8">
        <v>600</v>
      </c>
      <c r="J287" s="8">
        <v>600</v>
      </c>
      <c r="K287" s="9">
        <v>600</v>
      </c>
      <c r="L287" s="10">
        <f>Tabla156798[[#This Row],[COMISION AGENCIA]]*0.05</f>
        <v>30</v>
      </c>
      <c r="M287" s="7"/>
      <c r="N287" s="7" t="s">
        <v>2209</v>
      </c>
      <c r="O287" s="7" t="s">
        <v>2210</v>
      </c>
      <c r="P287" s="7"/>
    </row>
    <row r="288" spans="1:16" x14ac:dyDescent="0.25">
      <c r="A288" s="14">
        <v>44924</v>
      </c>
      <c r="B288" s="14">
        <v>44924</v>
      </c>
      <c r="C288" s="6">
        <v>44924</v>
      </c>
      <c r="D288" s="6">
        <v>44925</v>
      </c>
      <c r="E288" s="7"/>
      <c r="F288" s="115">
        <v>23049</v>
      </c>
      <c r="G288" s="8" t="s">
        <v>2211</v>
      </c>
      <c r="H288" s="8" t="s">
        <v>1833</v>
      </c>
      <c r="I288" s="8">
        <v>7872</v>
      </c>
      <c r="J288" s="8">
        <v>8930</v>
      </c>
      <c r="K288" s="9">
        <f>Tabla156798[[#This Row],[PRECIO CLIENTE]]-Tabla156798[[#This Row],[CANTIDAD PUBLICA]]</f>
        <v>1058</v>
      </c>
      <c r="L288" s="10">
        <f>Tabla156798[[#This Row],[COMISION AGENCIA]]*0.05</f>
        <v>52.900000000000006</v>
      </c>
      <c r="M288" s="7"/>
      <c r="N288" s="7" t="s">
        <v>2212</v>
      </c>
      <c r="O288" s="7" t="s">
        <v>47</v>
      </c>
      <c r="P288" s="7"/>
    </row>
    <row r="289" spans="1:16" x14ac:dyDescent="0.25">
      <c r="A289" s="14">
        <v>44924</v>
      </c>
      <c r="B289" s="14">
        <v>44924</v>
      </c>
      <c r="C289" s="6">
        <v>44924</v>
      </c>
      <c r="D289" s="6">
        <v>44937</v>
      </c>
      <c r="E289" s="7"/>
      <c r="F289" s="115">
        <v>23049</v>
      </c>
      <c r="G289" s="8" t="s">
        <v>2211</v>
      </c>
      <c r="H289" s="8" t="s">
        <v>2213</v>
      </c>
      <c r="I289" s="8">
        <v>1421</v>
      </c>
      <c r="J289" s="8">
        <v>1765</v>
      </c>
      <c r="K289" s="9">
        <f>Tabla156798[[#This Row],[PRECIO CLIENTE]]-Tabla156798[[#This Row],[CANTIDAD PUBLICA]]</f>
        <v>344</v>
      </c>
      <c r="L289" s="10">
        <f>Tabla156798[[#This Row],[COMISION AGENCIA]]*0.05</f>
        <v>17.2</v>
      </c>
      <c r="M289" s="7"/>
      <c r="N289" s="7" t="s">
        <v>2214</v>
      </c>
      <c r="O289" s="7" t="s">
        <v>47</v>
      </c>
      <c r="P289" s="7"/>
    </row>
    <row r="290" spans="1:16" x14ac:dyDescent="0.25">
      <c r="A290" s="14">
        <v>44924</v>
      </c>
      <c r="B290" s="14">
        <v>44924</v>
      </c>
      <c r="C290" s="6">
        <v>44924</v>
      </c>
      <c r="D290" s="6">
        <v>44989</v>
      </c>
      <c r="E290" s="7"/>
      <c r="F290" s="115">
        <v>23054</v>
      </c>
      <c r="G290" s="8" t="s">
        <v>2215</v>
      </c>
      <c r="H290" s="8" t="s">
        <v>1979</v>
      </c>
      <c r="I290" s="8">
        <v>5570</v>
      </c>
      <c r="J290" s="8">
        <v>6230</v>
      </c>
      <c r="K290" s="9">
        <f>Tabla156798[[#This Row],[PRECIO CLIENTE]]-Tabla156798[[#This Row],[CANTIDAD PUBLICA]]</f>
        <v>660</v>
      </c>
      <c r="L290" s="10">
        <f>Tabla156798[[#This Row],[COMISION AGENCIA]]*0.05</f>
        <v>33</v>
      </c>
      <c r="M290" s="7"/>
      <c r="N290" s="7" t="s">
        <v>2216</v>
      </c>
      <c r="O290" s="7" t="s">
        <v>47</v>
      </c>
      <c r="P290" s="7"/>
    </row>
    <row r="291" spans="1:16" x14ac:dyDescent="0.25">
      <c r="A291" s="14">
        <v>44924</v>
      </c>
      <c r="B291" s="14">
        <v>44924</v>
      </c>
      <c r="C291" s="6">
        <v>44924</v>
      </c>
      <c r="D291" s="6">
        <v>44945</v>
      </c>
      <c r="E291" s="6">
        <v>44949</v>
      </c>
      <c r="F291" s="115">
        <v>23060</v>
      </c>
      <c r="G291" s="8" t="s">
        <v>1591</v>
      </c>
      <c r="H291" s="8" t="s">
        <v>1654</v>
      </c>
      <c r="I291" s="8">
        <v>3216</v>
      </c>
      <c r="J291" s="8">
        <v>3900</v>
      </c>
      <c r="K291" s="9">
        <f>Tabla156798[[#This Row],[PRECIO CLIENTE]]-Tabla156798[[#This Row],[CANTIDAD PUBLICA]]</f>
        <v>684</v>
      </c>
      <c r="L291" s="10">
        <f>Tabla156798[[#This Row],[COMISION AGENCIA]]*0.05</f>
        <v>34.200000000000003</v>
      </c>
      <c r="M291" s="7"/>
      <c r="N291" s="7" t="s">
        <v>2217</v>
      </c>
      <c r="O291" s="7" t="s">
        <v>47</v>
      </c>
      <c r="P291" s="7"/>
    </row>
    <row r="292" spans="1:16" x14ac:dyDescent="0.25">
      <c r="A292" s="14">
        <v>44925</v>
      </c>
      <c r="B292" s="14">
        <v>44925</v>
      </c>
      <c r="C292" s="6">
        <v>44925</v>
      </c>
      <c r="D292" s="6">
        <v>44928</v>
      </c>
      <c r="E292" s="6">
        <v>44932</v>
      </c>
      <c r="F292" s="115">
        <v>23068</v>
      </c>
      <c r="G292" s="8" t="s">
        <v>2218</v>
      </c>
      <c r="H292" s="8" t="s">
        <v>2219</v>
      </c>
      <c r="I292" s="8">
        <v>5416</v>
      </c>
      <c r="J292" s="8">
        <v>6240</v>
      </c>
      <c r="K292" s="9">
        <f>Tabla156798[[#This Row],[PRECIO CLIENTE]]-Tabla156798[[#This Row],[CANTIDAD PUBLICA]]</f>
        <v>824</v>
      </c>
      <c r="L292" s="10">
        <f>Tabla156798[[#This Row],[COMISION AGENCIA]]*0.05</f>
        <v>41.2</v>
      </c>
      <c r="M292" s="7">
        <v>3310464184</v>
      </c>
      <c r="N292" s="7" t="s">
        <v>2220</v>
      </c>
      <c r="O292" s="7" t="s">
        <v>47</v>
      </c>
      <c r="P292" s="7"/>
    </row>
    <row r="293" spans="1:16" x14ac:dyDescent="0.25">
      <c r="A293" s="14">
        <v>44925</v>
      </c>
      <c r="B293" s="14">
        <v>44925</v>
      </c>
      <c r="C293" s="6">
        <v>44925</v>
      </c>
      <c r="D293" s="6">
        <v>44928</v>
      </c>
      <c r="E293" s="6">
        <v>44932</v>
      </c>
      <c r="F293" s="115">
        <v>23067</v>
      </c>
      <c r="G293" s="8" t="s">
        <v>2218</v>
      </c>
      <c r="H293" s="8" t="s">
        <v>2221</v>
      </c>
      <c r="I293" s="8">
        <v>377.39</v>
      </c>
      <c r="J293" s="8">
        <v>700</v>
      </c>
      <c r="K293" s="9">
        <f>Tabla156798[[#This Row],[PRECIO CLIENTE]]-Tabla156798[[#This Row],[CANTIDAD PUBLICA]]</f>
        <v>322.61</v>
      </c>
      <c r="L293" s="10">
        <f>Tabla156798[[#This Row],[COMISION AGENCIA]]*0.05</f>
        <v>16.130500000000001</v>
      </c>
      <c r="M293" s="7">
        <v>3310464184</v>
      </c>
      <c r="N293" s="7"/>
      <c r="O293" s="7"/>
      <c r="P293" s="7"/>
    </row>
    <row r="294" spans="1:16" x14ac:dyDescent="0.25">
      <c r="A294" s="14">
        <v>44925</v>
      </c>
      <c r="B294" s="14">
        <v>44925</v>
      </c>
      <c r="C294" s="6">
        <v>44925</v>
      </c>
      <c r="D294" s="6">
        <v>44928</v>
      </c>
      <c r="E294" s="6">
        <v>44932</v>
      </c>
      <c r="F294" s="115">
        <v>23068</v>
      </c>
      <c r="G294" s="8" t="s">
        <v>2218</v>
      </c>
      <c r="H294" s="8" t="s">
        <v>2222</v>
      </c>
      <c r="I294" s="8">
        <v>37821.269999999997</v>
      </c>
      <c r="J294" s="8">
        <v>32905</v>
      </c>
      <c r="K294" s="9">
        <f>Tabla156798[[#This Row],[CANTIDAD PUBLICA]]*0.05</f>
        <v>1891.0635</v>
      </c>
      <c r="L294" s="10">
        <f>Tabla156798[[#This Row],[COMISION AGENCIA]]*0.05</f>
        <v>94.55317500000001</v>
      </c>
      <c r="M294" s="7">
        <v>3310464184</v>
      </c>
      <c r="N294" s="7" t="s">
        <v>2223</v>
      </c>
      <c r="O294" s="7" t="s">
        <v>6</v>
      </c>
      <c r="P294" s="7"/>
    </row>
    <row r="295" spans="1:16" x14ac:dyDescent="0.25">
      <c r="A295" s="14">
        <v>44925</v>
      </c>
      <c r="B295" s="14">
        <v>44926</v>
      </c>
      <c r="C295" s="6">
        <v>44926</v>
      </c>
      <c r="D295" s="6">
        <v>44929</v>
      </c>
      <c r="E295" s="6">
        <v>44933</v>
      </c>
      <c r="F295" s="115"/>
      <c r="G295" s="8" t="s">
        <v>2224</v>
      </c>
      <c r="H295" s="8" t="s">
        <v>2225</v>
      </c>
      <c r="I295" s="8">
        <v>47501.3</v>
      </c>
      <c r="J295" s="8">
        <v>41330</v>
      </c>
      <c r="K295" s="9">
        <f>Tabla156798[[#This Row],[CANTIDAD PUBLICA]]*0.05</f>
        <v>2375.0650000000001</v>
      </c>
      <c r="L295" s="10">
        <f>Tabla156798[[#This Row],[COMISION AGENCIA]]*0.05</f>
        <v>118.75325000000001</v>
      </c>
      <c r="M295" s="7">
        <v>3485937334</v>
      </c>
      <c r="N295" s="7" t="s">
        <v>2226</v>
      </c>
      <c r="O295" s="7" t="s">
        <v>6</v>
      </c>
      <c r="P295" s="7"/>
    </row>
    <row r="296" spans="1:16" x14ac:dyDescent="0.25">
      <c r="A296" s="14">
        <v>44925</v>
      </c>
      <c r="B296" s="14">
        <v>44925</v>
      </c>
      <c r="C296" s="6">
        <v>44925</v>
      </c>
      <c r="D296" s="6">
        <v>44936</v>
      </c>
      <c r="E296" s="6">
        <v>44938</v>
      </c>
      <c r="F296" s="115">
        <v>23067</v>
      </c>
      <c r="G296" s="8" t="s">
        <v>2227</v>
      </c>
      <c r="H296" s="8" t="s">
        <v>1683</v>
      </c>
      <c r="I296" s="8">
        <v>21829.85</v>
      </c>
      <c r="J296" s="8">
        <v>18520</v>
      </c>
      <c r="K296" s="9">
        <f>Tabla156798[[#This Row],[CANTIDAD PUBLICA]]*0.05</f>
        <v>1091.4925000000001</v>
      </c>
      <c r="L296" s="10">
        <f>Tabla156798[[#This Row],[COMISION AGENCIA]]*0.05</f>
        <v>54.574625000000005</v>
      </c>
      <c r="M296" s="7">
        <v>3481005951</v>
      </c>
      <c r="N296" s="7" t="s">
        <v>2228</v>
      </c>
      <c r="O296" s="7" t="s">
        <v>6</v>
      </c>
      <c r="P296" s="7"/>
    </row>
    <row r="297" spans="1:16" x14ac:dyDescent="0.25">
      <c r="A297" s="14">
        <v>44925</v>
      </c>
      <c r="B297" s="14">
        <v>44925</v>
      </c>
      <c r="C297" s="6">
        <v>44925</v>
      </c>
      <c r="D297" s="6">
        <v>44940</v>
      </c>
      <c r="E297" s="6">
        <v>44941</v>
      </c>
      <c r="F297" s="115">
        <v>23067</v>
      </c>
      <c r="G297" s="8" t="s">
        <v>2227</v>
      </c>
      <c r="H297" s="8" t="s">
        <v>1683</v>
      </c>
      <c r="I297" s="8">
        <v>4984.68</v>
      </c>
      <c r="J297" s="8">
        <v>4230</v>
      </c>
      <c r="K297" s="9">
        <f>Tabla156798[[#This Row],[CANTIDAD PUBLICA]]*0.05</f>
        <v>249.23400000000004</v>
      </c>
      <c r="L297" s="10">
        <f>Tabla156798[[#This Row],[COMISION AGENCIA]]*0.05</f>
        <v>12.461700000000002</v>
      </c>
      <c r="M297" s="7">
        <v>3481005951</v>
      </c>
      <c r="N297" s="7" t="s">
        <v>2229</v>
      </c>
      <c r="O297" s="7" t="s">
        <v>6</v>
      </c>
      <c r="P297" s="7"/>
    </row>
    <row r="298" spans="1:16" x14ac:dyDescent="0.25">
      <c r="A298" s="21">
        <v>44925</v>
      </c>
      <c r="B298" s="21" t="s">
        <v>2230</v>
      </c>
      <c r="C298" s="21"/>
      <c r="D298" s="21"/>
      <c r="E298" s="21"/>
      <c r="F298" s="130"/>
      <c r="G298" s="131"/>
      <c r="H298" s="169"/>
      <c r="I298" s="131" t="s">
        <v>2231</v>
      </c>
      <c r="J298" s="131"/>
      <c r="K298" s="132">
        <f>SUBTOTAL(109,K5:K297)</f>
        <v>316228.81356799998</v>
      </c>
      <c r="L298" s="133">
        <f>Tabla156798[[#This Row],[COMISION AGENCIA]]*0.05</f>
        <v>15811.4406784</v>
      </c>
      <c r="M298" s="134"/>
      <c r="N298" s="134" t="s">
        <v>2232</v>
      </c>
      <c r="O298" s="134"/>
      <c r="P298" s="134"/>
    </row>
    <row r="299" spans="1:16" x14ac:dyDescent="0.25">
      <c r="A299" s="14">
        <f>Tabla156798[[#This Row],[FECHA IN]]-15</f>
        <v>44927</v>
      </c>
      <c r="B299" s="14">
        <v>44923</v>
      </c>
      <c r="C299" s="6">
        <v>44904</v>
      </c>
      <c r="D299" s="6">
        <v>44942</v>
      </c>
      <c r="E299" s="6">
        <v>44944</v>
      </c>
      <c r="F299" s="115">
        <v>22915</v>
      </c>
      <c r="G299" s="8" t="s">
        <v>2233</v>
      </c>
      <c r="H299" s="8" t="s">
        <v>1035</v>
      </c>
      <c r="I299" s="8">
        <v>7166.13</v>
      </c>
      <c r="J299" s="8">
        <v>7105</v>
      </c>
      <c r="K299" s="9">
        <f>Tabla156798[[#This Row],[CANTIDAD PUBLICA]]*0.05</f>
        <v>358.30650000000003</v>
      </c>
      <c r="L299" s="10">
        <f>Tabla156798[[#This Row],[COMISION AGENCIA]]*0.05</f>
        <v>17.915325000000003</v>
      </c>
      <c r="M299" s="7">
        <v>3481089070</v>
      </c>
      <c r="N299" s="7" t="s">
        <v>2234</v>
      </c>
      <c r="O299" s="7" t="s">
        <v>6</v>
      </c>
      <c r="P299" s="7"/>
    </row>
    <row r="300" spans="1:16" x14ac:dyDescent="0.25">
      <c r="A300" s="14">
        <v>44928</v>
      </c>
      <c r="B300" s="14">
        <v>44928</v>
      </c>
      <c r="C300" s="6">
        <v>44928</v>
      </c>
      <c r="D300" s="6">
        <v>44939</v>
      </c>
      <c r="E300" s="7"/>
      <c r="F300" s="115">
        <v>23079</v>
      </c>
      <c r="G300" s="8" t="s">
        <v>1932</v>
      </c>
      <c r="H300" s="8" t="s">
        <v>1743</v>
      </c>
      <c r="I300" s="8">
        <v>3564</v>
      </c>
      <c r="J300" s="8">
        <v>4135</v>
      </c>
      <c r="K300" s="9">
        <f>Tabla156798[[#This Row],[PRECIO CLIENTE]]-Tabla156798[[#This Row],[CANTIDAD PUBLICA]]</f>
        <v>571</v>
      </c>
      <c r="L300" s="10">
        <f>Tabla156798[[#This Row],[COMISION AGENCIA]]*0.05</f>
        <v>28.55</v>
      </c>
      <c r="M300" s="7"/>
      <c r="N300" s="7" t="s">
        <v>2235</v>
      </c>
      <c r="O300" s="7" t="s">
        <v>47</v>
      </c>
      <c r="P300" s="7"/>
    </row>
    <row r="301" spans="1:16" x14ac:dyDescent="0.25">
      <c r="A301" s="14">
        <v>44928</v>
      </c>
      <c r="B301" s="14">
        <v>44928</v>
      </c>
      <c r="C301" s="6">
        <v>44928</v>
      </c>
      <c r="D301" s="6">
        <v>44932</v>
      </c>
      <c r="E301" s="7"/>
      <c r="F301" s="115">
        <v>23080</v>
      </c>
      <c r="G301" s="8" t="s">
        <v>2236</v>
      </c>
      <c r="H301" s="8" t="s">
        <v>1541</v>
      </c>
      <c r="I301" s="8">
        <v>30100</v>
      </c>
      <c r="J301" s="8">
        <v>32320</v>
      </c>
      <c r="K301" s="9">
        <f>Tabla156798[[#This Row],[PRECIO CLIENTE]]-Tabla156798[[#This Row],[CANTIDAD PUBLICA]]</f>
        <v>2220</v>
      </c>
      <c r="L301" s="10">
        <f>Tabla156798[[#This Row],[COMISION AGENCIA]]*0.05</f>
        <v>111</v>
      </c>
      <c r="M301" s="7"/>
      <c r="N301" s="7" t="s">
        <v>2237</v>
      </c>
      <c r="O301" s="7" t="s">
        <v>47</v>
      </c>
      <c r="P301" s="7"/>
    </row>
    <row r="302" spans="1:16" x14ac:dyDescent="0.25">
      <c r="A302" s="14">
        <v>44929</v>
      </c>
      <c r="B302" s="14">
        <v>44929</v>
      </c>
      <c r="C302" s="6">
        <v>44929</v>
      </c>
      <c r="D302" s="6">
        <v>44947</v>
      </c>
      <c r="E302" s="7"/>
      <c r="F302" s="115">
        <v>23094</v>
      </c>
      <c r="G302" s="8" t="s">
        <v>2238</v>
      </c>
      <c r="H302" s="8" t="s">
        <v>1935</v>
      </c>
      <c r="I302" s="8">
        <v>2220</v>
      </c>
      <c r="J302" s="8">
        <v>2940</v>
      </c>
      <c r="K302" s="9">
        <f>Tabla156798[[#This Row],[PRECIO CLIENTE]]-Tabla156798[[#This Row],[CANTIDAD PUBLICA]]</f>
        <v>720</v>
      </c>
      <c r="L302" s="10">
        <f>Tabla156798[[#This Row],[COMISION AGENCIA]]*0.05</f>
        <v>36</v>
      </c>
      <c r="M302" s="7"/>
      <c r="N302" s="7" t="s">
        <v>2239</v>
      </c>
      <c r="O302" s="7" t="s">
        <v>47</v>
      </c>
      <c r="P302" s="7"/>
    </row>
    <row r="303" spans="1:16" x14ac:dyDescent="0.25">
      <c r="A303" s="14">
        <v>44929</v>
      </c>
      <c r="B303" s="14">
        <v>44929</v>
      </c>
      <c r="C303" s="6">
        <v>44929</v>
      </c>
      <c r="D303" s="6">
        <v>44953</v>
      </c>
      <c r="E303" s="6">
        <v>44988</v>
      </c>
      <c r="F303" s="115">
        <v>23096</v>
      </c>
      <c r="G303" s="8" t="s">
        <v>2240</v>
      </c>
      <c r="H303" s="8" t="s">
        <v>1906</v>
      </c>
      <c r="I303" s="8">
        <v>9047</v>
      </c>
      <c r="J303" s="8">
        <v>9810</v>
      </c>
      <c r="K303" s="9">
        <f>Tabla156798[[#This Row],[PRECIO CLIENTE]]-Tabla156798[[#This Row],[CANTIDAD PUBLICA]]</f>
        <v>763</v>
      </c>
      <c r="L303" s="10">
        <f>Tabla156798[[#This Row],[COMISION AGENCIA]]*0.05</f>
        <v>38.15</v>
      </c>
      <c r="M303" s="7"/>
      <c r="N303" s="7" t="s">
        <v>2241</v>
      </c>
      <c r="O303" s="7" t="s">
        <v>47</v>
      </c>
      <c r="P303" s="7"/>
    </row>
    <row r="304" spans="1:16" x14ac:dyDescent="0.25">
      <c r="A304" s="14">
        <f>Tabla156798[[#This Row],[FECHA IN]]-15</f>
        <v>44930</v>
      </c>
      <c r="B304" s="14">
        <v>44930</v>
      </c>
      <c r="C304" s="6">
        <v>44924</v>
      </c>
      <c r="D304" s="6">
        <v>44945</v>
      </c>
      <c r="E304" s="6">
        <v>44949</v>
      </c>
      <c r="F304" s="115">
        <v>23060</v>
      </c>
      <c r="G304" s="8" t="s">
        <v>1591</v>
      </c>
      <c r="H304" s="8" t="s">
        <v>2242</v>
      </c>
      <c r="I304" s="8">
        <v>12726</v>
      </c>
      <c r="J304" s="8">
        <v>11455</v>
      </c>
      <c r="K304" s="9">
        <f>AGENTES!D5*Tabla156798[[#This Row],[CANTIDAD PUBLICA]]</f>
        <v>1018.0799999999998</v>
      </c>
      <c r="L304" s="10">
        <f>Tabla156798[[#This Row],[COMISION AGENCIA]]*0.05</f>
        <v>50.903999999999996</v>
      </c>
      <c r="M304" s="7">
        <v>3481341805</v>
      </c>
      <c r="N304" s="7"/>
      <c r="O304" s="7" t="s">
        <v>2243</v>
      </c>
      <c r="P304" s="7"/>
    </row>
    <row r="305" spans="1:16" x14ac:dyDescent="0.25">
      <c r="A305" s="14">
        <v>44930</v>
      </c>
      <c r="B305" s="14">
        <v>44930</v>
      </c>
      <c r="C305" s="6">
        <v>44930</v>
      </c>
      <c r="D305" s="6">
        <v>44946</v>
      </c>
      <c r="E305" s="7"/>
      <c r="F305" s="115">
        <v>23098</v>
      </c>
      <c r="G305" s="8" t="s">
        <v>2244</v>
      </c>
      <c r="H305" s="8" t="s">
        <v>2245</v>
      </c>
      <c r="I305" s="8">
        <f>5344+3687+4825</f>
        <v>13856</v>
      </c>
      <c r="J305" s="8">
        <f>6440+4655+5550</f>
        <v>16645</v>
      </c>
      <c r="K305" s="9">
        <f>Tabla156798[[#This Row],[PRECIO CLIENTE]]-Tabla156798[[#This Row],[CANTIDAD PUBLICA]]</f>
        <v>2789</v>
      </c>
      <c r="L305" s="10">
        <f>Tabla156798[[#This Row],[COMISION AGENCIA]]*0.05</f>
        <v>139.45000000000002</v>
      </c>
      <c r="M305" s="7"/>
      <c r="N305" s="7" t="s">
        <v>2246</v>
      </c>
      <c r="O305" s="7" t="s">
        <v>47</v>
      </c>
      <c r="P305" s="7"/>
    </row>
    <row r="306" spans="1:16" x14ac:dyDescent="0.25">
      <c r="A306" s="14">
        <v>44931</v>
      </c>
      <c r="B306" s="14">
        <v>44929</v>
      </c>
      <c r="C306" s="6">
        <v>44923</v>
      </c>
      <c r="D306" s="6">
        <v>44938</v>
      </c>
      <c r="E306" s="6">
        <v>44942</v>
      </c>
      <c r="F306" s="115" t="s">
        <v>2247</v>
      </c>
      <c r="G306" s="8" t="s">
        <v>2197</v>
      </c>
      <c r="H306" s="8" t="s">
        <v>2248</v>
      </c>
      <c r="I306" s="8">
        <v>74005</v>
      </c>
      <c r="J306" s="8">
        <v>66605</v>
      </c>
      <c r="K306" s="9">
        <f>Tabla156798[[#This Row],[CANTIDAD PUBLICA]]*0.05</f>
        <v>3700.25</v>
      </c>
      <c r="L306" s="10">
        <f>Tabla156798[[#This Row],[COMISION AGENCIA]]*0.05</f>
        <v>185.01250000000002</v>
      </c>
      <c r="M306" s="7">
        <v>3481022687</v>
      </c>
      <c r="N306" s="7"/>
      <c r="O306" s="7" t="s">
        <v>2249</v>
      </c>
      <c r="P306" s="7"/>
    </row>
    <row r="307" spans="1:16" x14ac:dyDescent="0.25">
      <c r="A307" s="14">
        <v>44931</v>
      </c>
      <c r="B307" s="14">
        <v>44931</v>
      </c>
      <c r="C307" s="6">
        <v>44931</v>
      </c>
      <c r="D307" s="6">
        <v>44951</v>
      </c>
      <c r="E307" s="7"/>
      <c r="F307" s="115">
        <v>23111</v>
      </c>
      <c r="G307" s="8" t="s">
        <v>2250</v>
      </c>
      <c r="H307" s="8" t="s">
        <v>1541</v>
      </c>
      <c r="I307" s="8">
        <v>9585</v>
      </c>
      <c r="J307" s="8">
        <v>10635</v>
      </c>
      <c r="K307" s="9">
        <f>Tabla156798[[#This Row],[PRECIO CLIENTE]]-Tabla156798[[#This Row],[CANTIDAD PUBLICA]]</f>
        <v>1050</v>
      </c>
      <c r="L307" s="10">
        <f>Tabla156798[[#This Row],[COMISION AGENCIA]]*0.05</f>
        <v>52.5</v>
      </c>
      <c r="M307" s="7"/>
      <c r="N307" s="7" t="s">
        <v>2251</v>
      </c>
      <c r="O307" s="7" t="s">
        <v>47</v>
      </c>
      <c r="P307" s="7"/>
    </row>
    <row r="308" spans="1:16" x14ac:dyDescent="0.25">
      <c r="A308" s="14">
        <v>44932</v>
      </c>
      <c r="B308" s="14">
        <v>44932</v>
      </c>
      <c r="C308" s="6">
        <v>44932</v>
      </c>
      <c r="D308" s="6">
        <v>44975</v>
      </c>
      <c r="E308" s="7"/>
      <c r="F308" s="115">
        <v>23115</v>
      </c>
      <c r="G308" s="8" t="s">
        <v>2252</v>
      </c>
      <c r="H308" s="8" t="s">
        <v>2253</v>
      </c>
      <c r="I308" s="8">
        <v>3012</v>
      </c>
      <c r="J308" s="8">
        <v>3335</v>
      </c>
      <c r="K308" s="9">
        <f>Tabla156798[[#This Row],[PRECIO CLIENTE]]-Tabla156798[[#This Row],[CANTIDAD PUBLICA]]</f>
        <v>323</v>
      </c>
      <c r="L308" s="10">
        <f>Tabla156798[[#This Row],[COMISION AGENCIA]]*0.05</f>
        <v>16.150000000000002</v>
      </c>
      <c r="M308" s="7"/>
      <c r="N308" s="7" t="s">
        <v>2254</v>
      </c>
      <c r="O308" s="7" t="s">
        <v>47</v>
      </c>
      <c r="P308" s="7"/>
    </row>
    <row r="309" spans="1:16" x14ac:dyDescent="0.25">
      <c r="A309" s="14">
        <v>44932</v>
      </c>
      <c r="B309" s="14">
        <v>44932</v>
      </c>
      <c r="C309" s="6">
        <v>44932</v>
      </c>
      <c r="D309" s="6">
        <v>44946</v>
      </c>
      <c r="E309" s="6">
        <v>44948</v>
      </c>
      <c r="F309" s="115">
        <v>23117</v>
      </c>
      <c r="G309" s="8" t="s">
        <v>2255</v>
      </c>
      <c r="H309" s="8" t="s">
        <v>2256</v>
      </c>
      <c r="I309" s="8">
        <v>4678</v>
      </c>
      <c r="J309" s="8">
        <v>5470</v>
      </c>
      <c r="K309" s="9">
        <f>Tabla156798[[#This Row],[PRECIO CLIENTE]]-Tabla156798[[#This Row],[CANTIDAD PUBLICA]]</f>
        <v>792</v>
      </c>
      <c r="L309" s="10">
        <f>Tabla156798[[#This Row],[COMISION AGENCIA]]*0.05</f>
        <v>39.6</v>
      </c>
      <c r="M309" s="7"/>
      <c r="N309" s="7" t="s">
        <v>2257</v>
      </c>
      <c r="O309" s="7" t="s">
        <v>47</v>
      </c>
      <c r="P309" s="7"/>
    </row>
    <row r="310" spans="1:16" x14ac:dyDescent="0.25">
      <c r="A310" s="14">
        <v>44932</v>
      </c>
      <c r="B310" s="14">
        <v>44932</v>
      </c>
      <c r="C310" s="6">
        <v>44932</v>
      </c>
      <c r="D310" s="6">
        <v>44941</v>
      </c>
      <c r="E310" s="7"/>
      <c r="F310" s="115">
        <v>23123</v>
      </c>
      <c r="G310" s="8" t="s">
        <v>2258</v>
      </c>
      <c r="H310" s="8" t="s">
        <v>2259</v>
      </c>
      <c r="I310" s="8">
        <v>2888</v>
      </c>
      <c r="J310" s="8">
        <v>3380</v>
      </c>
      <c r="K310" s="9">
        <f>Tabla156798[[#This Row],[PRECIO CLIENTE]]-Tabla156798[[#This Row],[CANTIDAD PUBLICA]]</f>
        <v>492</v>
      </c>
      <c r="L310" s="10">
        <f>Tabla156798[[#This Row],[COMISION AGENCIA]]*0.05</f>
        <v>24.6</v>
      </c>
      <c r="M310" s="7"/>
      <c r="N310" s="7" t="s">
        <v>2260</v>
      </c>
      <c r="O310" s="7" t="s">
        <v>86</v>
      </c>
      <c r="P310" s="7"/>
    </row>
    <row r="311" spans="1:16" x14ac:dyDescent="0.25">
      <c r="A311" s="14">
        <v>44932</v>
      </c>
      <c r="B311" s="14">
        <v>44934</v>
      </c>
      <c r="C311" s="6">
        <v>44932</v>
      </c>
      <c r="D311" s="6">
        <v>44946</v>
      </c>
      <c r="E311" s="6">
        <v>44948</v>
      </c>
      <c r="F311" s="115">
        <v>23117</v>
      </c>
      <c r="G311" s="8" t="s">
        <v>2261</v>
      </c>
      <c r="H311" s="8" t="s">
        <v>2262</v>
      </c>
      <c r="I311" s="8">
        <v>4222.16</v>
      </c>
      <c r="J311" s="8">
        <v>3800</v>
      </c>
      <c r="K311" s="9">
        <f>Tabla156798[[#This Row],[CANTIDAD PUBLICA]]*0.05</f>
        <v>211.108</v>
      </c>
      <c r="L311" s="10">
        <f>Tabla156798[[#This Row],[COMISION AGENCIA]]*0.05</f>
        <v>10.555400000000001</v>
      </c>
      <c r="M311" s="7"/>
      <c r="N311" s="7">
        <v>10273360</v>
      </c>
      <c r="O311" s="7" t="s">
        <v>5</v>
      </c>
      <c r="P311" s="7"/>
    </row>
    <row r="312" spans="1:16" x14ac:dyDescent="0.25">
      <c r="A312" s="14">
        <f>Tabla156798[[#This Row],[FECHA IN]]-15</f>
        <v>44933</v>
      </c>
      <c r="B312" s="14">
        <v>44937</v>
      </c>
      <c r="C312" s="18">
        <v>44861</v>
      </c>
      <c r="D312" s="6">
        <v>44948</v>
      </c>
      <c r="E312" s="6">
        <v>44953</v>
      </c>
      <c r="F312" s="115" t="s">
        <v>2263</v>
      </c>
      <c r="G312" s="8" t="s">
        <v>2264</v>
      </c>
      <c r="H312" s="8" t="s">
        <v>2265</v>
      </c>
      <c r="I312" s="8">
        <v>42109.38</v>
      </c>
      <c r="J312" s="8">
        <v>39975</v>
      </c>
      <c r="K312" s="9">
        <f>(Tabla156798[[#This Row],[CANTIDAD PUBLICA]]*0.05)</f>
        <v>2105.4690000000001</v>
      </c>
      <c r="L312" s="10">
        <f>Tabla156798[[#This Row],[COMISION AGENCIA]]*0.05</f>
        <v>105.27345000000001</v>
      </c>
      <c r="M312" s="7">
        <v>3327964281</v>
      </c>
      <c r="N312" s="7" t="s">
        <v>2266</v>
      </c>
      <c r="O312" s="7" t="s">
        <v>6</v>
      </c>
      <c r="P312" s="7" t="s">
        <v>2267</v>
      </c>
    </row>
    <row r="313" spans="1:16" x14ac:dyDescent="0.25">
      <c r="A313" s="14">
        <f>Tabla156798[[#This Row],[FECHA IN]]-15</f>
        <v>44933</v>
      </c>
      <c r="B313" s="14">
        <v>44937</v>
      </c>
      <c r="C313" s="6">
        <v>44861</v>
      </c>
      <c r="D313" s="6">
        <v>44948</v>
      </c>
      <c r="E313" s="6">
        <v>44953</v>
      </c>
      <c r="F313" s="115" t="s">
        <v>2263</v>
      </c>
      <c r="G313" s="8" t="s">
        <v>2268</v>
      </c>
      <c r="H313" s="8" t="s">
        <v>2265</v>
      </c>
      <c r="I313" s="8">
        <v>30625</v>
      </c>
      <c r="J313" s="8">
        <v>26650</v>
      </c>
      <c r="K313" s="9">
        <f>Tabla156798[[#This Row],[CANTIDAD PUBLICA]]*0.05</f>
        <v>1531.25</v>
      </c>
      <c r="L313" s="10">
        <f>Tabla156798[[#This Row],[COMISION AGENCIA]]*0.05</f>
        <v>76.5625</v>
      </c>
      <c r="M313" s="7">
        <v>3327964281</v>
      </c>
      <c r="N313" s="7" t="s">
        <v>2269</v>
      </c>
      <c r="O313" s="7" t="s">
        <v>6</v>
      </c>
      <c r="P313" s="7"/>
    </row>
    <row r="314" spans="1:16" x14ac:dyDescent="0.25">
      <c r="A314" s="14">
        <f>Tabla156798[[#This Row],[FECHA IN]]-15</f>
        <v>44933</v>
      </c>
      <c r="B314" s="14">
        <v>44937</v>
      </c>
      <c r="C314" s="6">
        <v>44861</v>
      </c>
      <c r="D314" s="6">
        <v>44948</v>
      </c>
      <c r="E314" s="6">
        <v>44953</v>
      </c>
      <c r="F314" s="115" t="s">
        <v>2263</v>
      </c>
      <c r="G314" s="8" t="s">
        <v>2264</v>
      </c>
      <c r="H314" s="8" t="s">
        <v>2270</v>
      </c>
      <c r="I314" s="8">
        <v>998.94</v>
      </c>
      <c r="J314" s="8">
        <v>2450</v>
      </c>
      <c r="K314" s="9">
        <f>Tabla156798[[#This Row],[PRECIO CLIENTE]]-Tabla156798[[#This Row],[CANTIDAD PUBLICA]]</f>
        <v>1451.06</v>
      </c>
      <c r="L314" s="10">
        <f>Tabla156798[[#This Row],[COMISION AGENCIA]]*0.05</f>
        <v>72.552999999999997</v>
      </c>
      <c r="M314" s="7">
        <v>3327964281</v>
      </c>
      <c r="N314" s="7"/>
      <c r="O314" s="7"/>
      <c r="P314" s="7"/>
    </row>
    <row r="315" spans="1:16" x14ac:dyDescent="0.25">
      <c r="A315" s="14">
        <f>Tabla156798[[#This Row],[FECHA IN]]-15</f>
        <v>44933</v>
      </c>
      <c r="B315" s="14">
        <v>44937</v>
      </c>
      <c r="C315" s="6">
        <v>45245</v>
      </c>
      <c r="D315" s="6">
        <v>44948</v>
      </c>
      <c r="E315" s="6">
        <v>44953</v>
      </c>
      <c r="F315" s="115" t="s">
        <v>2263</v>
      </c>
      <c r="G315" s="8" t="s">
        <v>2271</v>
      </c>
      <c r="H315" s="8" t="s">
        <v>2265</v>
      </c>
      <c r="I315" s="8">
        <v>30625</v>
      </c>
      <c r="J315" s="8">
        <v>26650</v>
      </c>
      <c r="K315" s="9">
        <f>Tabla156798[[#This Row],[CANTIDAD PUBLICA]]*0.05</f>
        <v>1531.25</v>
      </c>
      <c r="L315" s="10">
        <f>Tabla156798[[#This Row],[COMISION AGENCIA]]*0.05</f>
        <v>76.5625</v>
      </c>
      <c r="M315" s="7">
        <v>3327964281</v>
      </c>
      <c r="N315" s="7" t="s">
        <v>2272</v>
      </c>
      <c r="O315" s="7" t="s">
        <v>6</v>
      </c>
      <c r="P315" s="7"/>
    </row>
    <row r="316" spans="1:16" x14ac:dyDescent="0.25">
      <c r="A316" s="14">
        <v>44933</v>
      </c>
      <c r="B316" s="14">
        <v>44933</v>
      </c>
      <c r="C316" s="6">
        <v>44933</v>
      </c>
      <c r="D316" s="6">
        <v>44987</v>
      </c>
      <c r="E316" s="6">
        <v>44990</v>
      </c>
      <c r="F316" s="115" t="s">
        <v>2273</v>
      </c>
      <c r="G316" s="8" t="s">
        <v>2274</v>
      </c>
      <c r="H316" s="8" t="s">
        <v>2010</v>
      </c>
      <c r="I316" s="8">
        <v>2858</v>
      </c>
      <c r="J316" s="8">
        <v>3300</v>
      </c>
      <c r="K316" s="9">
        <f>Tabla156798[[#This Row],[PRECIO CLIENTE]]-Tabla156798[[#This Row],[CANTIDAD PUBLICA]]</f>
        <v>442</v>
      </c>
      <c r="L316" s="10">
        <f>Tabla156798[[#This Row],[COMISION AGENCIA]]*0.05</f>
        <v>22.1</v>
      </c>
      <c r="M316" s="7"/>
      <c r="N316" s="7" t="s">
        <v>2275</v>
      </c>
      <c r="O316" s="7" t="s">
        <v>47</v>
      </c>
      <c r="P316" s="7"/>
    </row>
    <row r="317" spans="1:16" x14ac:dyDescent="0.25">
      <c r="A317" s="14">
        <v>44935</v>
      </c>
      <c r="B317" s="14">
        <v>44935</v>
      </c>
      <c r="C317" s="6">
        <v>44935</v>
      </c>
      <c r="D317" s="6">
        <v>44941</v>
      </c>
      <c r="E317" s="7"/>
      <c r="F317" s="115">
        <v>23286</v>
      </c>
      <c r="G317" s="8" t="s">
        <v>2276</v>
      </c>
      <c r="H317" s="8" t="s">
        <v>2277</v>
      </c>
      <c r="I317" s="8">
        <v>870</v>
      </c>
      <c r="J317" s="8">
        <v>1800</v>
      </c>
      <c r="K317" s="9">
        <f>Tabla156798[[#This Row],[PRECIO CLIENTE]]-Tabla156798[[#This Row],[CANTIDAD PUBLICA]]</f>
        <v>930</v>
      </c>
      <c r="L317" s="10">
        <f>Tabla156798[[#This Row],[COMISION AGENCIA]]*0.05</f>
        <v>46.5</v>
      </c>
      <c r="M317" s="7"/>
      <c r="N317" s="7" t="s">
        <v>2278</v>
      </c>
      <c r="O317" s="7" t="s">
        <v>47</v>
      </c>
      <c r="P317" s="7"/>
    </row>
    <row r="318" spans="1:16" x14ac:dyDescent="0.25">
      <c r="A318" s="14">
        <v>44936</v>
      </c>
      <c r="B318" s="14">
        <v>44936</v>
      </c>
      <c r="C318" s="6">
        <v>44936</v>
      </c>
      <c r="D318" s="6">
        <v>44941</v>
      </c>
      <c r="E318" s="7"/>
      <c r="F318" s="115">
        <v>23159</v>
      </c>
      <c r="G318" s="8" t="s">
        <v>2279</v>
      </c>
      <c r="H318" s="8" t="s">
        <v>1544</v>
      </c>
      <c r="I318" s="8">
        <v>5788</v>
      </c>
      <c r="J318" s="8">
        <v>6550</v>
      </c>
      <c r="K318" s="9">
        <f>Tabla156798[[#This Row],[PRECIO CLIENTE]]-Tabla156798[[#This Row],[CANTIDAD PUBLICA]]</f>
        <v>762</v>
      </c>
      <c r="L318" s="10">
        <f>Tabla156798[[#This Row],[COMISION AGENCIA]]*0.05</f>
        <v>38.1</v>
      </c>
      <c r="M318" s="7"/>
      <c r="N318" s="7" t="s">
        <v>2280</v>
      </c>
      <c r="O318" s="7" t="s">
        <v>47</v>
      </c>
      <c r="P318" s="7"/>
    </row>
    <row r="319" spans="1:16" x14ac:dyDescent="0.25">
      <c r="A319" s="14">
        <v>44936</v>
      </c>
      <c r="B319" s="14">
        <v>44936</v>
      </c>
      <c r="C319" s="6">
        <v>44936</v>
      </c>
      <c r="D319" s="6">
        <v>44941</v>
      </c>
      <c r="E319" s="7"/>
      <c r="F319" s="115">
        <v>23287</v>
      </c>
      <c r="G319" s="8" t="s">
        <v>2276</v>
      </c>
      <c r="H319" s="8" t="s">
        <v>2281</v>
      </c>
      <c r="I319" s="8">
        <v>480</v>
      </c>
      <c r="J319" s="8">
        <v>500</v>
      </c>
      <c r="K319" s="9">
        <f>Tabla156798[[#This Row],[PRECIO CLIENTE]]-Tabla156798[[#This Row],[CANTIDAD PUBLICA]]</f>
        <v>20</v>
      </c>
      <c r="L319" s="10">
        <f>Tabla156798[[#This Row],[COMISION AGENCIA]]*0.05</f>
        <v>1</v>
      </c>
      <c r="M319" s="7"/>
      <c r="N319" s="7" t="s">
        <v>2278</v>
      </c>
      <c r="O319" s="7" t="s">
        <v>47</v>
      </c>
      <c r="P319" s="7"/>
    </row>
    <row r="320" spans="1:16" x14ac:dyDescent="0.25">
      <c r="A320" s="14">
        <v>44938</v>
      </c>
      <c r="B320" s="14">
        <v>44938</v>
      </c>
      <c r="C320" s="6">
        <v>44938</v>
      </c>
      <c r="D320" s="6">
        <v>44944</v>
      </c>
      <c r="E320" s="7"/>
      <c r="F320" s="115">
        <v>23180</v>
      </c>
      <c r="G320" s="8" t="s">
        <v>2282</v>
      </c>
      <c r="H320" s="8" t="s">
        <v>2283</v>
      </c>
      <c r="I320" s="8">
        <v>8592</v>
      </c>
      <c r="J320" s="8">
        <v>8745</v>
      </c>
      <c r="K320" s="9">
        <f>Tabla156798[[#This Row],[PRECIO CLIENTE]]-Tabla156798[[#This Row],[CANTIDAD PUBLICA]]</f>
        <v>153</v>
      </c>
      <c r="L320" s="10">
        <f>Tabla156798[[#This Row],[COMISION AGENCIA]]*0.05</f>
        <v>7.65</v>
      </c>
      <c r="M320" s="7"/>
      <c r="N320" s="7" t="s">
        <v>2284</v>
      </c>
      <c r="O320" s="7" t="s">
        <v>2115</v>
      </c>
      <c r="P320" s="7"/>
    </row>
    <row r="321" spans="1:16" x14ac:dyDescent="0.25">
      <c r="A321" s="14">
        <v>44938</v>
      </c>
      <c r="B321" s="14">
        <v>44938</v>
      </c>
      <c r="C321" s="6">
        <v>44938</v>
      </c>
      <c r="D321" s="6">
        <v>44941</v>
      </c>
      <c r="E321" s="7"/>
      <c r="F321" s="115">
        <v>23179</v>
      </c>
      <c r="G321" s="8" t="s">
        <v>2285</v>
      </c>
      <c r="H321" s="8" t="s">
        <v>2286</v>
      </c>
      <c r="I321" s="8">
        <v>1572</v>
      </c>
      <c r="J321" s="8">
        <v>1725</v>
      </c>
      <c r="K321" s="9">
        <f>Tabla156798[[#This Row],[PRECIO CLIENTE]]-Tabla156798[[#This Row],[CANTIDAD PUBLICA]]</f>
        <v>153</v>
      </c>
      <c r="L321" s="10">
        <f>Tabla156798[[#This Row],[COMISION AGENCIA]]*0.05</f>
        <v>7.65</v>
      </c>
      <c r="M321" s="7"/>
      <c r="N321" s="7" t="s">
        <v>2287</v>
      </c>
      <c r="O321" s="7" t="s">
        <v>86</v>
      </c>
      <c r="P321" s="7"/>
    </row>
    <row r="322" spans="1:16" x14ac:dyDescent="0.25">
      <c r="A322" s="14">
        <v>44938</v>
      </c>
      <c r="B322" s="14">
        <v>44938</v>
      </c>
      <c r="C322" s="6">
        <v>44938</v>
      </c>
      <c r="D322" s="6">
        <v>44966</v>
      </c>
      <c r="E322" s="6">
        <v>44971</v>
      </c>
      <c r="F322" s="115">
        <v>23191</v>
      </c>
      <c r="G322" s="8" t="s">
        <v>2288</v>
      </c>
      <c r="H322" s="8" t="s">
        <v>2289</v>
      </c>
      <c r="I322" s="8">
        <v>21948</v>
      </c>
      <c r="J322" s="8">
        <v>23520</v>
      </c>
      <c r="K322" s="9">
        <f>Tabla156798[[#This Row],[PRECIO CLIENTE]]-Tabla156798[[#This Row],[CANTIDAD PUBLICA]]</f>
        <v>1572</v>
      </c>
      <c r="L322" s="10">
        <f>Tabla156798[[#This Row],[COMISION AGENCIA]]*0.05</f>
        <v>78.600000000000009</v>
      </c>
      <c r="M322" s="7"/>
      <c r="N322" s="7" t="s">
        <v>2290</v>
      </c>
      <c r="O322" s="7" t="s">
        <v>47</v>
      </c>
      <c r="P322" s="7"/>
    </row>
    <row r="323" spans="1:16" x14ac:dyDescent="0.25">
      <c r="A323" s="14">
        <v>44939</v>
      </c>
      <c r="B323" s="14">
        <v>44939</v>
      </c>
      <c r="C323" s="6">
        <v>44939</v>
      </c>
      <c r="D323" s="6">
        <v>44946</v>
      </c>
      <c r="E323" s="6">
        <v>44952</v>
      </c>
      <c r="F323" s="115">
        <v>23195</v>
      </c>
      <c r="G323" s="63" t="s">
        <v>2291</v>
      </c>
      <c r="H323" s="8" t="s">
        <v>1861</v>
      </c>
      <c r="I323" s="8">
        <v>150</v>
      </c>
      <c r="J323" s="8">
        <v>150</v>
      </c>
      <c r="K323" s="9">
        <v>150</v>
      </c>
      <c r="L323" s="10">
        <f>Tabla156798[[#This Row],[COMISION AGENCIA]]*0.05</f>
        <v>7.5</v>
      </c>
      <c r="M323" s="7"/>
      <c r="N323" s="7" t="s">
        <v>2292</v>
      </c>
      <c r="O323" s="7" t="s">
        <v>86</v>
      </c>
      <c r="P323" s="7"/>
    </row>
    <row r="324" spans="1:16" x14ac:dyDescent="0.25">
      <c r="A324" s="14">
        <f>Tabla156798[[#This Row],[FECHA IN]]-15</f>
        <v>44939</v>
      </c>
      <c r="B324" s="14">
        <v>44940</v>
      </c>
      <c r="C324" s="6">
        <v>45288</v>
      </c>
      <c r="D324" s="6">
        <v>44954</v>
      </c>
      <c r="E324" s="6">
        <v>44955</v>
      </c>
      <c r="F324" s="115">
        <v>23188</v>
      </c>
      <c r="G324" s="8" t="s">
        <v>2293</v>
      </c>
      <c r="H324" s="8" t="s">
        <v>2294</v>
      </c>
      <c r="I324" s="8">
        <f>96.58*19.4</f>
        <v>1873.6519999999998</v>
      </c>
      <c r="J324" s="8">
        <f>89*19.4</f>
        <v>1726.6</v>
      </c>
      <c r="K324" s="9">
        <f>Tabla156798[[#This Row],[CANTIDAD PUBLICA]]*0.05</f>
        <v>93.682599999999994</v>
      </c>
      <c r="L324" s="10">
        <f>Tabla156798[[#This Row],[COMISION AGENCIA]]*0.05</f>
        <v>4.6841299999999997</v>
      </c>
      <c r="M324" s="7">
        <v>3481052720</v>
      </c>
      <c r="N324" s="7">
        <v>10240052</v>
      </c>
      <c r="O324" s="7" t="s">
        <v>5</v>
      </c>
      <c r="P324" s="7"/>
    </row>
    <row r="325" spans="1:16" x14ac:dyDescent="0.25">
      <c r="A325" s="14">
        <f>Tabla156798[[#This Row],[FECHA IN]]-15</f>
        <v>44939</v>
      </c>
      <c r="B325" s="14">
        <v>44940</v>
      </c>
      <c r="C325" s="6">
        <v>45288</v>
      </c>
      <c r="D325" s="6">
        <v>44954</v>
      </c>
      <c r="E325" s="6">
        <v>44955</v>
      </c>
      <c r="F325" s="115">
        <v>23188</v>
      </c>
      <c r="G325" s="8" t="s">
        <v>2295</v>
      </c>
      <c r="H325" s="8" t="s">
        <v>2294</v>
      </c>
      <c r="I325" s="8">
        <f>99.49*19.4</f>
        <v>1930.1059999999998</v>
      </c>
      <c r="J325" s="8">
        <f>89*19.4</f>
        <v>1726.6</v>
      </c>
      <c r="K325" s="9">
        <f>Tabla156798[[#This Row],[CANTIDAD PUBLICA]]*0.05</f>
        <v>96.505299999999991</v>
      </c>
      <c r="L325" s="10">
        <f>Tabla156798[[#This Row],[COMISION AGENCIA]]*0.05</f>
        <v>4.8252649999999999</v>
      </c>
      <c r="M325" s="7">
        <v>3481052720</v>
      </c>
      <c r="N325" s="7">
        <v>10240073</v>
      </c>
      <c r="O325" s="7" t="s">
        <v>5</v>
      </c>
      <c r="P325" s="7"/>
    </row>
    <row r="326" spans="1:16" x14ac:dyDescent="0.25">
      <c r="A326" s="14">
        <f>Tabla156798[[#This Row],[FECHA IN]]-15</f>
        <v>44939</v>
      </c>
      <c r="B326" s="14">
        <v>44940</v>
      </c>
      <c r="C326" s="6">
        <v>45288</v>
      </c>
      <c r="D326" s="6">
        <v>44954</v>
      </c>
      <c r="E326" s="6">
        <v>44955</v>
      </c>
      <c r="F326" s="115">
        <v>23203</v>
      </c>
      <c r="G326" s="8" t="s">
        <v>2296</v>
      </c>
      <c r="H326" s="8" t="s">
        <v>2294</v>
      </c>
      <c r="I326" s="8">
        <f>96.58*19.4</f>
        <v>1873.6519999999998</v>
      </c>
      <c r="J326" s="8">
        <f>89*19.4</f>
        <v>1726.6</v>
      </c>
      <c r="K326" s="9">
        <f>Tabla156798[[#This Row],[CANTIDAD PUBLICA]]*0.05</f>
        <v>93.682599999999994</v>
      </c>
      <c r="L326" s="10">
        <f>Tabla156798[[#This Row],[COMISION AGENCIA]]*0.05</f>
        <v>4.6841299999999997</v>
      </c>
      <c r="M326" s="7">
        <v>3481052720</v>
      </c>
      <c r="N326" s="7">
        <v>10240086</v>
      </c>
      <c r="O326" s="7" t="s">
        <v>5</v>
      </c>
      <c r="P326" s="7"/>
    </row>
    <row r="327" spans="1:16" x14ac:dyDescent="0.25">
      <c r="A327" s="14">
        <f>Tabla156798[[#This Row],[FECHA IN]]-15</f>
        <v>44940</v>
      </c>
      <c r="B327" s="14">
        <v>44942</v>
      </c>
      <c r="C327" s="6">
        <v>44886</v>
      </c>
      <c r="D327" s="6">
        <v>44955</v>
      </c>
      <c r="E327" s="6">
        <v>44960</v>
      </c>
      <c r="F327" s="115" t="s">
        <v>2297</v>
      </c>
      <c r="G327" s="8" t="s">
        <v>2298</v>
      </c>
      <c r="H327" s="8" t="s">
        <v>2299</v>
      </c>
      <c r="I327" s="8">
        <v>22514</v>
      </c>
      <c r="J327" s="8">
        <v>19100</v>
      </c>
      <c r="K327" s="9">
        <f>Tabla156798[[#This Row],[CANTIDAD PUBLICA]]*0.05</f>
        <v>1125.7</v>
      </c>
      <c r="L327" s="10">
        <f>Tabla156798[[#This Row],[COMISION AGENCIA]]*0.05</f>
        <v>56.285000000000004</v>
      </c>
      <c r="M327" s="7">
        <v>3481013504</v>
      </c>
      <c r="N327" s="7" t="s">
        <v>2300</v>
      </c>
      <c r="O327" s="7" t="s">
        <v>6</v>
      </c>
      <c r="P327" s="7"/>
    </row>
    <row r="328" spans="1:16" x14ac:dyDescent="0.25">
      <c r="A328" s="14">
        <f>Tabla156798[[#This Row],[FECHA IN]]-15</f>
        <v>44940</v>
      </c>
      <c r="B328" s="14">
        <v>44942</v>
      </c>
      <c r="C328" s="6">
        <v>44886</v>
      </c>
      <c r="D328" s="6">
        <v>44955</v>
      </c>
      <c r="E328" s="6">
        <v>44960</v>
      </c>
      <c r="F328" s="115" t="s">
        <v>2297</v>
      </c>
      <c r="G328" s="8" t="s">
        <v>2298</v>
      </c>
      <c r="H328" s="8" t="s">
        <v>2301</v>
      </c>
      <c r="I328" s="8">
        <v>522</v>
      </c>
      <c r="J328" s="8">
        <v>700</v>
      </c>
      <c r="K328" s="9">
        <f>Tabla156798[[#This Row],[PRECIO CLIENTE]]-Tabla156798[[#This Row],[CANTIDAD PUBLICA]]</f>
        <v>178</v>
      </c>
      <c r="L328" s="10">
        <f>Tabla156798[[#This Row],[COMISION AGENCIA]]*0.05</f>
        <v>8.9</v>
      </c>
      <c r="M328" s="7">
        <v>3481013504</v>
      </c>
      <c r="N328" s="7"/>
      <c r="O328" s="7"/>
      <c r="P328" s="7"/>
    </row>
    <row r="329" spans="1:16" x14ac:dyDescent="0.25">
      <c r="A329" s="14">
        <f>Tabla156798[[#This Row],[FECHA IN]]-15</f>
        <v>44942</v>
      </c>
      <c r="B329" s="14">
        <v>44946</v>
      </c>
      <c r="C329" s="6">
        <v>44825</v>
      </c>
      <c r="D329" s="6">
        <v>44957</v>
      </c>
      <c r="E329" s="6">
        <v>44596</v>
      </c>
      <c r="F329" s="115" t="s">
        <v>2302</v>
      </c>
      <c r="G329" s="8" t="s">
        <v>2303</v>
      </c>
      <c r="H329" s="8" t="s">
        <v>1773</v>
      </c>
      <c r="I329" s="8">
        <v>26893.75</v>
      </c>
      <c r="J329" s="8">
        <v>23410</v>
      </c>
      <c r="K329" s="9">
        <f>Tabla156798[[#This Row],[CANTIDAD PUBLICA]]*0.05</f>
        <v>1344.6875</v>
      </c>
      <c r="L329" s="10">
        <f>Tabla156798[[#This Row],[COMISION AGENCIA]]*0.05</f>
        <v>67.234375</v>
      </c>
      <c r="M329" s="7">
        <v>2109739432</v>
      </c>
      <c r="N329" s="7" t="s">
        <v>2304</v>
      </c>
      <c r="O329" s="7" t="s">
        <v>6</v>
      </c>
      <c r="P329" s="7"/>
    </row>
    <row r="330" spans="1:16" x14ac:dyDescent="0.25">
      <c r="A330" s="14">
        <f>Tabla156798[[#This Row],[FECHA IN]]-15</f>
        <v>44942</v>
      </c>
      <c r="B330" s="14">
        <v>44946</v>
      </c>
      <c r="C330" s="6">
        <v>44825</v>
      </c>
      <c r="D330" s="6">
        <v>44957</v>
      </c>
      <c r="E330" s="6">
        <v>44596</v>
      </c>
      <c r="F330" s="115" t="s">
        <v>2302</v>
      </c>
      <c r="G330" s="8" t="s">
        <v>2305</v>
      </c>
      <c r="H330" s="158" t="s">
        <v>1773</v>
      </c>
      <c r="I330" s="8">
        <v>26893.75</v>
      </c>
      <c r="J330" s="8">
        <v>23410</v>
      </c>
      <c r="K330" s="9">
        <f>Tabla156798[[#This Row],[CANTIDAD PUBLICA]]*0.05</f>
        <v>1344.6875</v>
      </c>
      <c r="L330" s="10">
        <f>Tabla156798[[#This Row],[COMISION AGENCIA]]*0.05</f>
        <v>67.234375</v>
      </c>
      <c r="M330" s="7">
        <v>2109739432</v>
      </c>
      <c r="N330" s="7" t="s">
        <v>2306</v>
      </c>
      <c r="O330" s="7" t="s">
        <v>6</v>
      </c>
      <c r="P330" s="7"/>
    </row>
    <row r="331" spans="1:16" x14ac:dyDescent="0.25">
      <c r="A331" s="14">
        <f>Tabla156798[[#This Row],[FECHA IN]]-15</f>
        <v>44942</v>
      </c>
      <c r="B331" s="14">
        <v>44946</v>
      </c>
      <c r="C331" s="6">
        <v>44825</v>
      </c>
      <c r="D331" s="6">
        <v>44957</v>
      </c>
      <c r="E331" s="6">
        <v>44596</v>
      </c>
      <c r="F331" s="115" t="s">
        <v>2302</v>
      </c>
      <c r="G331" s="8" t="s">
        <v>2307</v>
      </c>
      <c r="H331" s="158" t="s">
        <v>1773</v>
      </c>
      <c r="I331" s="8">
        <v>26893.75</v>
      </c>
      <c r="J331" s="8">
        <v>23410</v>
      </c>
      <c r="K331" s="9">
        <f>Tabla156798[[#This Row],[CANTIDAD PUBLICA]]*0.05</f>
        <v>1344.6875</v>
      </c>
      <c r="L331" s="10">
        <f>Tabla156798[[#This Row],[COMISION AGENCIA]]*0.05</f>
        <v>67.234375</v>
      </c>
      <c r="M331" s="7">
        <v>2109739432</v>
      </c>
      <c r="N331" s="7" t="s">
        <v>2308</v>
      </c>
      <c r="O331" s="7" t="s">
        <v>6</v>
      </c>
      <c r="P331" s="7"/>
    </row>
    <row r="332" spans="1:16" x14ac:dyDescent="0.25">
      <c r="A332" s="14">
        <f>Tabla156798[[#This Row],[FECHA IN]]-15</f>
        <v>44942</v>
      </c>
      <c r="B332" s="14">
        <v>44946</v>
      </c>
      <c r="C332" s="6">
        <v>44825</v>
      </c>
      <c r="D332" s="6">
        <v>44957</v>
      </c>
      <c r="E332" s="6">
        <v>44596</v>
      </c>
      <c r="F332" s="115" t="s">
        <v>2302</v>
      </c>
      <c r="G332" s="8" t="s">
        <v>2309</v>
      </c>
      <c r="H332" s="158" t="s">
        <v>1773</v>
      </c>
      <c r="I332" s="8">
        <v>26893.75</v>
      </c>
      <c r="J332" s="8">
        <v>23410</v>
      </c>
      <c r="K332" s="9">
        <f>Tabla156798[[#This Row],[CANTIDAD PUBLICA]]*0.05</f>
        <v>1344.6875</v>
      </c>
      <c r="L332" s="10">
        <f>Tabla156798[[#This Row],[COMISION AGENCIA]]*0.05</f>
        <v>67.234375</v>
      </c>
      <c r="M332" s="7">
        <v>2109739432</v>
      </c>
      <c r="N332" s="7" t="s">
        <v>2310</v>
      </c>
      <c r="O332" s="7" t="s">
        <v>6</v>
      </c>
      <c r="P332" s="7"/>
    </row>
    <row r="333" spans="1:16" x14ac:dyDescent="0.25">
      <c r="A333" s="14">
        <f>Tabla156798[[#This Row],[FECHA IN]]-15</f>
        <v>44942</v>
      </c>
      <c r="B333" s="14">
        <v>44946</v>
      </c>
      <c r="C333" s="6">
        <v>44825</v>
      </c>
      <c r="D333" s="6">
        <v>44957</v>
      </c>
      <c r="E333" s="6">
        <v>44596</v>
      </c>
      <c r="F333" s="115" t="s">
        <v>2302</v>
      </c>
      <c r="G333" s="8" t="s">
        <v>2311</v>
      </c>
      <c r="H333" s="158" t="s">
        <v>1773</v>
      </c>
      <c r="I333" s="8">
        <v>28633.53</v>
      </c>
      <c r="J333" s="8">
        <v>24915</v>
      </c>
      <c r="K333" s="9">
        <f>Tabla156798[[#This Row],[CANTIDAD PUBLICA]]*0.05</f>
        <v>1431.6765</v>
      </c>
      <c r="L333" s="10">
        <f>Tabla156798[[#This Row],[COMISION AGENCIA]]*0.05</f>
        <v>71.583825000000004</v>
      </c>
      <c r="M333" s="7">
        <v>2109739432</v>
      </c>
      <c r="N333" s="7" t="s">
        <v>2312</v>
      </c>
      <c r="O333" s="7" t="s">
        <v>6</v>
      </c>
      <c r="P333" s="7"/>
    </row>
    <row r="334" spans="1:16" x14ac:dyDescent="0.25">
      <c r="A334" s="14">
        <f>Tabla156798[[#This Row],[FECHA IN]]-15</f>
        <v>44942</v>
      </c>
      <c r="B334" s="14">
        <v>44942</v>
      </c>
      <c r="C334" s="6">
        <v>44932</v>
      </c>
      <c r="D334" s="6">
        <v>44957</v>
      </c>
      <c r="E334" s="6">
        <v>44596</v>
      </c>
      <c r="F334" s="115">
        <v>23119</v>
      </c>
      <c r="G334" s="8" t="s">
        <v>2305</v>
      </c>
      <c r="H334" s="8" t="s">
        <v>2313</v>
      </c>
      <c r="I334" s="8">
        <v>15800</v>
      </c>
      <c r="J334" s="8">
        <v>16300</v>
      </c>
      <c r="K334" s="9">
        <f>Tabla156798[[#This Row],[PRECIO CLIENTE]]-Tabla156798[[#This Row],[CANTIDAD PUBLICA]]</f>
        <v>500</v>
      </c>
      <c r="L334" s="10">
        <f>Tabla156798[[#This Row],[COMISION AGENCIA]]*0.05</f>
        <v>25</v>
      </c>
      <c r="M334" s="7">
        <v>12104645046</v>
      </c>
      <c r="N334" s="7"/>
      <c r="O334" s="7" t="s">
        <v>2314</v>
      </c>
      <c r="P334" s="7"/>
    </row>
    <row r="335" spans="1:16" x14ac:dyDescent="0.25">
      <c r="A335" s="14">
        <v>44943</v>
      </c>
      <c r="B335" s="14">
        <v>44943</v>
      </c>
      <c r="C335" s="6">
        <v>44943</v>
      </c>
      <c r="D335" s="6">
        <v>44950</v>
      </c>
      <c r="E335" s="6">
        <v>44951</v>
      </c>
      <c r="F335" s="115">
        <v>23243</v>
      </c>
      <c r="G335" s="8" t="s">
        <v>1543</v>
      </c>
      <c r="H335" s="8" t="s">
        <v>1544</v>
      </c>
      <c r="I335" s="8">
        <v>4893</v>
      </c>
      <c r="J335" s="8">
        <v>5543</v>
      </c>
      <c r="K335" s="9">
        <f>Tabla156798[[#This Row],[PRECIO CLIENTE]]-Tabla156798[[#This Row],[CANTIDAD PUBLICA]]</f>
        <v>650</v>
      </c>
      <c r="L335" s="10">
        <f>Tabla156798[[#This Row],[COMISION AGENCIA]]*0.05</f>
        <v>32.5</v>
      </c>
      <c r="M335" s="7"/>
      <c r="N335" s="7" t="s">
        <v>2315</v>
      </c>
      <c r="O335" s="7" t="s">
        <v>47</v>
      </c>
      <c r="P335" s="7"/>
    </row>
    <row r="336" spans="1:16" x14ac:dyDescent="0.25">
      <c r="A336" s="14">
        <v>44943</v>
      </c>
      <c r="B336" s="14">
        <v>44943</v>
      </c>
      <c r="C336" s="6">
        <v>44943</v>
      </c>
      <c r="D336" s="6">
        <v>45194</v>
      </c>
      <c r="E336" s="6">
        <v>45198</v>
      </c>
      <c r="F336" s="115">
        <v>23229</v>
      </c>
      <c r="G336" s="8" t="s">
        <v>2316</v>
      </c>
      <c r="H336" s="8" t="s">
        <v>1290</v>
      </c>
      <c r="I336" s="8">
        <v>21072</v>
      </c>
      <c r="J336" s="8">
        <v>24080</v>
      </c>
      <c r="K336" s="9">
        <f>Tabla156798[[#This Row],[PRECIO CLIENTE]]-Tabla156798[[#This Row],[CANTIDAD PUBLICA]]</f>
        <v>3008</v>
      </c>
      <c r="L336" s="10">
        <f>Tabla156798[[#This Row],[COMISION AGENCIA]]*0.05</f>
        <v>150.4</v>
      </c>
      <c r="M336" s="7"/>
      <c r="N336" s="7" t="s">
        <v>2317</v>
      </c>
      <c r="O336" s="7" t="s">
        <v>47</v>
      </c>
      <c r="P336" s="7"/>
    </row>
    <row r="337" spans="1:16" x14ac:dyDescent="0.25">
      <c r="A337" s="14">
        <v>44943</v>
      </c>
      <c r="B337" s="14">
        <v>44943</v>
      </c>
      <c r="C337" s="6">
        <v>44943</v>
      </c>
      <c r="D337" s="6">
        <v>45194</v>
      </c>
      <c r="E337" s="6">
        <v>45198</v>
      </c>
      <c r="F337" s="115">
        <v>23229</v>
      </c>
      <c r="G337" s="8" t="s">
        <v>2318</v>
      </c>
      <c r="H337" s="8" t="s">
        <v>1290</v>
      </c>
      <c r="I337" s="8">
        <v>5268</v>
      </c>
      <c r="J337" s="8">
        <v>6020</v>
      </c>
      <c r="K337" s="9">
        <f>Tabla156798[[#This Row],[PRECIO CLIENTE]]-Tabla156798[[#This Row],[CANTIDAD PUBLICA]]</f>
        <v>752</v>
      </c>
      <c r="L337" s="10">
        <f>Tabla156798[[#This Row],[COMISION AGENCIA]]*0.05</f>
        <v>37.6</v>
      </c>
      <c r="M337" s="7"/>
      <c r="N337" s="7" t="s">
        <v>2319</v>
      </c>
      <c r="O337" s="7" t="s">
        <v>47</v>
      </c>
      <c r="P337" s="7"/>
    </row>
    <row r="338" spans="1:16" x14ac:dyDescent="0.25">
      <c r="A338" s="14">
        <v>44944</v>
      </c>
      <c r="B338" s="14">
        <v>44944</v>
      </c>
      <c r="C338" s="6">
        <v>44944</v>
      </c>
      <c r="D338" s="6">
        <v>44953</v>
      </c>
      <c r="E338" s="7"/>
      <c r="F338" s="115">
        <v>23266</v>
      </c>
      <c r="G338" s="8" t="s">
        <v>2320</v>
      </c>
      <c r="H338" s="8" t="s">
        <v>1646</v>
      </c>
      <c r="I338" s="8">
        <v>8001</v>
      </c>
      <c r="J338" s="8">
        <v>9285</v>
      </c>
      <c r="K338" s="9">
        <f>Tabla156798[[#This Row],[PRECIO CLIENTE]]-Tabla156798[[#This Row],[CANTIDAD PUBLICA]]</f>
        <v>1284</v>
      </c>
      <c r="L338" s="10">
        <f>Tabla156798[[#This Row],[COMISION AGENCIA]]*0.05</f>
        <v>64.2</v>
      </c>
      <c r="M338" s="7"/>
      <c r="N338" s="7" t="s">
        <v>2321</v>
      </c>
      <c r="O338" s="7" t="s">
        <v>47</v>
      </c>
      <c r="P338" s="7"/>
    </row>
    <row r="339" spans="1:16" x14ac:dyDescent="0.25">
      <c r="A339" s="14">
        <v>44944</v>
      </c>
      <c r="B339" s="14">
        <v>44944</v>
      </c>
      <c r="C339" s="6">
        <v>44944</v>
      </c>
      <c r="D339" s="6">
        <v>44967</v>
      </c>
      <c r="E339" s="7"/>
      <c r="F339" s="115">
        <v>23246</v>
      </c>
      <c r="G339" s="8" t="s">
        <v>2322</v>
      </c>
      <c r="H339" s="8" t="s">
        <v>2277</v>
      </c>
      <c r="I339" s="8">
        <v>2697</v>
      </c>
      <c r="J339" s="8">
        <v>3000</v>
      </c>
      <c r="K339" s="9">
        <f>Tabla156798[[#This Row],[PRECIO CLIENTE]]-Tabla156798[[#This Row],[CANTIDAD PUBLICA]]</f>
        <v>303</v>
      </c>
      <c r="L339" s="10">
        <f>Tabla156798[[#This Row],[COMISION AGENCIA]]*0.05</f>
        <v>15.15</v>
      </c>
      <c r="M339" s="7"/>
      <c r="N339" s="7" t="s">
        <v>2323</v>
      </c>
      <c r="O339" s="7" t="s">
        <v>47</v>
      </c>
      <c r="P339" s="7"/>
    </row>
    <row r="340" spans="1:16" x14ac:dyDescent="0.25">
      <c r="A340" s="14">
        <v>44944</v>
      </c>
      <c r="B340" s="14">
        <v>44944</v>
      </c>
      <c r="C340" s="6">
        <v>44944</v>
      </c>
      <c r="D340" s="6">
        <v>44945</v>
      </c>
      <c r="E340" s="6">
        <v>44948</v>
      </c>
      <c r="F340" s="115">
        <v>23255</v>
      </c>
      <c r="G340" s="8" t="s">
        <v>2324</v>
      </c>
      <c r="H340" s="8" t="s">
        <v>2286</v>
      </c>
      <c r="I340" s="8">
        <v>5214</v>
      </c>
      <c r="J340" s="8">
        <v>5780</v>
      </c>
      <c r="K340" s="9">
        <f>Tabla156798[[#This Row],[PRECIO CLIENTE]]-Tabla156798[[#This Row],[CANTIDAD PUBLICA]]</f>
        <v>566</v>
      </c>
      <c r="L340" s="10">
        <f>Tabla156798[[#This Row],[COMISION AGENCIA]]*0.05</f>
        <v>28.3</v>
      </c>
      <c r="M340" s="7"/>
      <c r="N340" s="7" t="s">
        <v>2325</v>
      </c>
      <c r="O340" s="7" t="s">
        <v>86</v>
      </c>
      <c r="P340" s="7"/>
    </row>
    <row r="341" spans="1:16" x14ac:dyDescent="0.25">
      <c r="A341" s="14">
        <f>Tabla156798[[#This Row],[FECHA IN]]-15</f>
        <v>44944</v>
      </c>
      <c r="B341" s="14">
        <v>44946</v>
      </c>
      <c r="C341" s="6">
        <v>45288</v>
      </c>
      <c r="D341" s="6">
        <v>44959</v>
      </c>
      <c r="E341" s="6">
        <v>44962</v>
      </c>
      <c r="F341" s="115">
        <v>23188</v>
      </c>
      <c r="G341" s="8" t="s">
        <v>2293</v>
      </c>
      <c r="H341" s="8" t="s">
        <v>2326</v>
      </c>
      <c r="I341" s="8">
        <f>437.05*19.4</f>
        <v>8478.77</v>
      </c>
      <c r="J341" s="8">
        <f>393*19.4</f>
        <v>7624.2</v>
      </c>
      <c r="K341" s="9">
        <f>Tabla156798[[#This Row],[CANTIDAD PUBLICA]]*0.05</f>
        <v>423.93850000000003</v>
      </c>
      <c r="L341" s="10">
        <f>Tabla156798[[#This Row],[COMISION AGENCIA]]*0.05</f>
        <v>21.196925000000004</v>
      </c>
      <c r="M341" s="7">
        <v>3481052720</v>
      </c>
      <c r="N341" s="7">
        <v>10240138</v>
      </c>
      <c r="O341" s="7" t="s">
        <v>5</v>
      </c>
      <c r="P341" s="7"/>
    </row>
    <row r="342" spans="1:16" x14ac:dyDescent="0.25">
      <c r="A342" s="14">
        <f>Tabla156798[[#This Row],[FECHA IN]]-15</f>
        <v>44944</v>
      </c>
      <c r="B342" s="14">
        <v>44946</v>
      </c>
      <c r="C342" s="6">
        <v>45288</v>
      </c>
      <c r="D342" s="6">
        <v>44959</v>
      </c>
      <c r="E342" s="6">
        <v>44962</v>
      </c>
      <c r="F342" s="115">
        <v>23188</v>
      </c>
      <c r="G342" s="8" t="s">
        <v>2295</v>
      </c>
      <c r="H342" s="8" t="s">
        <v>2326</v>
      </c>
      <c r="I342" s="8">
        <f>437.05*19.4</f>
        <v>8478.77</v>
      </c>
      <c r="J342" s="8">
        <f>393*19.4</f>
        <v>7624.2</v>
      </c>
      <c r="K342" s="9">
        <f>Tabla156798[[#This Row],[CANTIDAD PUBLICA]]*0.05</f>
        <v>423.93850000000003</v>
      </c>
      <c r="L342" s="10">
        <f>Tabla156798[[#This Row],[COMISION AGENCIA]]*0.05</f>
        <v>21.196925000000004</v>
      </c>
      <c r="M342" s="7">
        <v>3481052720</v>
      </c>
      <c r="N342" s="7">
        <v>10242482</v>
      </c>
      <c r="O342" s="7" t="s">
        <v>5</v>
      </c>
      <c r="P342" s="7"/>
    </row>
    <row r="343" spans="1:16" x14ac:dyDescent="0.25">
      <c r="A343" s="14">
        <f>Tabla156798[[#This Row],[FECHA IN]]-15</f>
        <v>44944</v>
      </c>
      <c r="B343" s="14">
        <v>44946</v>
      </c>
      <c r="C343" s="6">
        <v>45288</v>
      </c>
      <c r="D343" s="6">
        <v>44959</v>
      </c>
      <c r="E343" s="6">
        <v>44962</v>
      </c>
      <c r="F343" s="115">
        <v>23203</v>
      </c>
      <c r="G343" s="8" t="s">
        <v>2296</v>
      </c>
      <c r="H343" s="8" t="s">
        <v>2326</v>
      </c>
      <c r="I343" s="8">
        <f>388.27*19.4</f>
        <v>7532.4379999999992</v>
      </c>
      <c r="J343" s="8">
        <f>350*19.4</f>
        <v>6789.9999999999991</v>
      </c>
      <c r="K343" s="9">
        <f>Tabla156798[[#This Row],[CANTIDAD PUBLICA]]*0.05</f>
        <v>376.62189999999998</v>
      </c>
      <c r="L343" s="10">
        <f>Tabla156798[[#This Row],[COMISION AGENCIA]]*0.05</f>
        <v>18.831095000000001</v>
      </c>
      <c r="M343" s="7">
        <v>3481052720</v>
      </c>
      <c r="N343" s="7">
        <v>10240104</v>
      </c>
      <c r="O343" s="7" t="s">
        <v>5</v>
      </c>
      <c r="P343" s="7"/>
    </row>
    <row r="344" spans="1:16" x14ac:dyDescent="0.25">
      <c r="A344" s="14">
        <f>Tabla156798[[#This Row],[FECHA IN]]-15</f>
        <v>44945</v>
      </c>
      <c r="B344" s="14">
        <v>44940</v>
      </c>
      <c r="C344" s="6">
        <v>44940</v>
      </c>
      <c r="D344" s="6">
        <v>44960</v>
      </c>
      <c r="E344" s="6">
        <v>44963</v>
      </c>
      <c r="F344" s="115" t="s">
        <v>2327</v>
      </c>
      <c r="G344" s="8" t="s">
        <v>2328</v>
      </c>
      <c r="H344" s="8" t="s">
        <v>2329</v>
      </c>
      <c r="I344" s="8">
        <v>17475.23</v>
      </c>
      <c r="J344" s="8">
        <v>15205</v>
      </c>
      <c r="K344" s="9">
        <f>Tabla156798[[#This Row],[CANTIDAD PUBLICA]]*0.05</f>
        <v>873.76150000000007</v>
      </c>
      <c r="L344" s="10">
        <f>Tabla156798[[#This Row],[COMISION AGENCIA]]*0.05</f>
        <v>43.688075000000005</v>
      </c>
      <c r="M344" s="7">
        <v>3481022666</v>
      </c>
      <c r="N344" s="7" t="s">
        <v>2330</v>
      </c>
      <c r="O344" s="7" t="s">
        <v>6</v>
      </c>
      <c r="P344" s="7"/>
    </row>
    <row r="345" spans="1:16" x14ac:dyDescent="0.25">
      <c r="A345" s="14">
        <f>Tabla156798[[#This Row],[FECHA IN]]-15</f>
        <v>44945</v>
      </c>
      <c r="B345" s="14">
        <v>44940</v>
      </c>
      <c r="C345" s="6">
        <v>44940</v>
      </c>
      <c r="D345" s="6">
        <v>44960</v>
      </c>
      <c r="E345" s="6">
        <v>44963</v>
      </c>
      <c r="F345" s="115" t="s">
        <v>2327</v>
      </c>
      <c r="G345" s="8" t="s">
        <v>2331</v>
      </c>
      <c r="H345" s="8" t="s">
        <v>2329</v>
      </c>
      <c r="I345" s="8">
        <v>22630.84</v>
      </c>
      <c r="J345" s="8">
        <v>19690</v>
      </c>
      <c r="K345" s="9">
        <f>Tabla156798[[#This Row],[CANTIDAD PUBLICA]]*0.05</f>
        <v>1131.5420000000001</v>
      </c>
      <c r="L345" s="10">
        <f>Tabla156798[[#This Row],[COMISION AGENCIA]]*0.05</f>
        <v>56.577100000000009</v>
      </c>
      <c r="M345" s="7">
        <v>3481022666</v>
      </c>
      <c r="N345" s="7" t="s">
        <v>2332</v>
      </c>
      <c r="O345" s="7" t="s">
        <v>6</v>
      </c>
      <c r="P345" s="7"/>
    </row>
    <row r="346" spans="1:16" x14ac:dyDescent="0.25">
      <c r="A346" s="14">
        <f>Tabla156798[[#This Row],[FECHA IN]]-15</f>
        <v>44945</v>
      </c>
      <c r="B346" s="14">
        <v>44940</v>
      </c>
      <c r="C346" s="6">
        <v>44923</v>
      </c>
      <c r="D346" s="6">
        <v>44960</v>
      </c>
      <c r="E346" s="6">
        <v>44963</v>
      </c>
      <c r="F346" s="115" t="s">
        <v>2327</v>
      </c>
      <c r="G346" s="8" t="s">
        <v>2328</v>
      </c>
      <c r="H346" s="158" t="s">
        <v>2329</v>
      </c>
      <c r="I346" s="8">
        <v>20976</v>
      </c>
      <c r="J346" s="8">
        <v>18250</v>
      </c>
      <c r="K346" s="9">
        <f>Tabla156798[[#This Row],[CANTIDAD PUBLICA]]*0.05</f>
        <v>1048.8</v>
      </c>
      <c r="L346" s="10">
        <f>Tabla156798[[#This Row],[COMISION AGENCIA]]*0.05</f>
        <v>52.44</v>
      </c>
      <c r="M346" s="7">
        <v>3481022660</v>
      </c>
      <c r="N346" s="7" t="s">
        <v>2333</v>
      </c>
      <c r="O346" s="7" t="s">
        <v>6</v>
      </c>
      <c r="P346" s="7"/>
    </row>
    <row r="347" spans="1:16" x14ac:dyDescent="0.25">
      <c r="A347" s="14">
        <v>44945</v>
      </c>
      <c r="B347" s="14">
        <v>44945</v>
      </c>
      <c r="C347" s="6">
        <v>44945</v>
      </c>
      <c r="D347" s="6">
        <v>44946</v>
      </c>
      <c r="E347" s="7"/>
      <c r="F347" s="115">
        <v>23259</v>
      </c>
      <c r="G347" s="8" t="s">
        <v>2334</v>
      </c>
      <c r="H347" s="8" t="s">
        <v>1625</v>
      </c>
      <c r="I347" s="8">
        <v>4859</v>
      </c>
      <c r="J347" s="8">
        <v>5160</v>
      </c>
      <c r="K347" s="9">
        <f>Tabla156798[[#This Row],[PRECIO CLIENTE]]-Tabla156798[[#This Row],[CANTIDAD PUBLICA]]</f>
        <v>301</v>
      </c>
      <c r="L347" s="10">
        <f>Tabla156798[[#This Row],[COMISION AGENCIA]]*0.05</f>
        <v>15.05</v>
      </c>
      <c r="M347" s="7"/>
      <c r="N347" s="7" t="s">
        <v>2335</v>
      </c>
      <c r="O347" s="7" t="s">
        <v>47</v>
      </c>
      <c r="P347" s="7"/>
    </row>
    <row r="348" spans="1:16" x14ac:dyDescent="0.25">
      <c r="A348" s="14">
        <v>44946</v>
      </c>
      <c r="B348" s="14">
        <v>44946</v>
      </c>
      <c r="C348" s="6">
        <v>44946</v>
      </c>
      <c r="D348" s="6">
        <v>44953</v>
      </c>
      <c r="E348" s="6">
        <v>44957</v>
      </c>
      <c r="F348" s="115">
        <v>23223</v>
      </c>
      <c r="G348" s="8" t="s">
        <v>2336</v>
      </c>
      <c r="H348" s="8" t="s">
        <v>1539</v>
      </c>
      <c r="I348" s="8">
        <v>3600</v>
      </c>
      <c r="J348" s="8">
        <v>3600</v>
      </c>
      <c r="K348" s="9">
        <f>Tabla156798[[#This Row],[CANTIDAD PUBLICA]]*AGENTES!B10</f>
        <v>720</v>
      </c>
      <c r="L348" s="10">
        <f>Tabla156798[[#This Row],[COMISION AGENCIA]]*0.05</f>
        <v>36</v>
      </c>
      <c r="M348" s="7">
        <v>3481088825</v>
      </c>
      <c r="N348" s="7"/>
      <c r="O348" s="7" t="s">
        <v>12</v>
      </c>
      <c r="P348" s="7"/>
    </row>
    <row r="349" spans="1:16" x14ac:dyDescent="0.25">
      <c r="A349" s="14">
        <v>44946</v>
      </c>
      <c r="B349" s="14">
        <v>44946</v>
      </c>
      <c r="C349" s="6">
        <v>44946</v>
      </c>
      <c r="D349" s="6">
        <v>44953</v>
      </c>
      <c r="E349" s="7"/>
      <c r="F349" s="115">
        <v>23271</v>
      </c>
      <c r="G349" s="8" t="s">
        <v>2337</v>
      </c>
      <c r="H349" s="8" t="s">
        <v>1532</v>
      </c>
      <c r="I349" s="8">
        <v>5926</v>
      </c>
      <c r="J349" s="8">
        <v>6610</v>
      </c>
      <c r="K349" s="9">
        <f>Tabla156798[[#This Row],[PRECIO CLIENTE]]-Tabla156798[[#This Row],[CANTIDAD PUBLICA]]</f>
        <v>684</v>
      </c>
      <c r="L349" s="10">
        <f>Tabla156798[[#This Row],[COMISION AGENCIA]]*0.05</f>
        <v>34.200000000000003</v>
      </c>
      <c r="M349" s="7"/>
      <c r="N349" s="7" t="s">
        <v>2338</v>
      </c>
      <c r="O349" s="7" t="s">
        <v>47</v>
      </c>
      <c r="P349" s="7"/>
    </row>
    <row r="350" spans="1:16" x14ac:dyDescent="0.25">
      <c r="A350" s="14">
        <v>44946</v>
      </c>
      <c r="B350" s="14">
        <v>44946</v>
      </c>
      <c r="C350" s="6">
        <v>44946</v>
      </c>
      <c r="D350" s="6">
        <v>44965</v>
      </c>
      <c r="E350" s="6">
        <v>44969</v>
      </c>
      <c r="F350" s="115">
        <v>23381</v>
      </c>
      <c r="G350" s="8" t="s">
        <v>2339</v>
      </c>
      <c r="H350" s="8" t="s">
        <v>2340</v>
      </c>
      <c r="I350" s="8">
        <v>44635.79</v>
      </c>
      <c r="J350" s="8">
        <v>38835</v>
      </c>
      <c r="K350" s="9">
        <f>Tabla156798[[#This Row],[CANTIDAD PUBLICA]]*0.05</f>
        <v>2231.7895000000003</v>
      </c>
      <c r="L350" s="10">
        <f>Tabla156798[[#This Row],[COMISION AGENCIA]]*0.05</f>
        <v>111.58947500000002</v>
      </c>
      <c r="M350" s="7">
        <v>3787066019</v>
      </c>
      <c r="N350" s="7" t="s">
        <v>2341</v>
      </c>
      <c r="O350" s="7" t="s">
        <v>6</v>
      </c>
      <c r="P350" s="7"/>
    </row>
    <row r="351" spans="1:16" x14ac:dyDescent="0.25">
      <c r="A351" s="14">
        <v>44946</v>
      </c>
      <c r="B351" s="14">
        <v>44946</v>
      </c>
      <c r="C351" s="6">
        <v>44946</v>
      </c>
      <c r="D351" s="6">
        <v>44965</v>
      </c>
      <c r="E351" s="6">
        <v>44969</v>
      </c>
      <c r="F351" s="115">
        <v>23381</v>
      </c>
      <c r="G351" s="8" t="s">
        <v>2339</v>
      </c>
      <c r="H351" s="8" t="s">
        <v>2342</v>
      </c>
      <c r="I351" s="8">
        <v>869.44</v>
      </c>
      <c r="J351" s="8">
        <v>1500</v>
      </c>
      <c r="K351" s="9">
        <f>Tabla156798[[#This Row],[PRECIO CLIENTE]]-Tabla156798[[#This Row],[CANTIDAD PUBLICA]]</f>
        <v>630.55999999999995</v>
      </c>
      <c r="L351" s="10">
        <f>Tabla156798[[#This Row],[COMISION AGENCIA]]*0.05</f>
        <v>31.527999999999999</v>
      </c>
      <c r="M351" s="7">
        <v>3787066019</v>
      </c>
      <c r="N351" s="7"/>
      <c r="O351" s="7"/>
      <c r="P351" s="7"/>
    </row>
    <row r="352" spans="1:16" x14ac:dyDescent="0.25">
      <c r="A352" s="14">
        <v>44946</v>
      </c>
      <c r="B352" s="14">
        <v>44946</v>
      </c>
      <c r="C352" s="6">
        <v>44946</v>
      </c>
      <c r="D352" s="6">
        <v>44965</v>
      </c>
      <c r="E352" s="6">
        <v>44969</v>
      </c>
      <c r="F352" s="115">
        <v>23381</v>
      </c>
      <c r="G352" s="8" t="s">
        <v>2339</v>
      </c>
      <c r="H352" s="8" t="s">
        <v>1290</v>
      </c>
      <c r="I352" s="8">
        <v>5092</v>
      </c>
      <c r="J352" s="8">
        <v>5395</v>
      </c>
      <c r="K352" s="9">
        <f>Tabla156798[[#This Row],[PRECIO CLIENTE]]-Tabla156798[[#This Row],[CANTIDAD PUBLICA]]</f>
        <v>303</v>
      </c>
      <c r="L352" s="10">
        <f>Tabla156798[[#This Row],[COMISION AGENCIA]]*0.05</f>
        <v>15.15</v>
      </c>
      <c r="M352" s="7">
        <v>3787066019</v>
      </c>
      <c r="N352" s="7" t="s">
        <v>2343</v>
      </c>
      <c r="O352" s="7" t="s">
        <v>47</v>
      </c>
      <c r="P352" s="7"/>
    </row>
    <row r="353" spans="1:16" x14ac:dyDescent="0.25">
      <c r="A353" s="14">
        <v>44946</v>
      </c>
      <c r="B353" s="14">
        <v>44946</v>
      </c>
      <c r="C353" s="6">
        <v>44946</v>
      </c>
      <c r="D353" s="6">
        <v>44947</v>
      </c>
      <c r="E353" s="6">
        <v>44954</v>
      </c>
      <c r="F353" s="115">
        <v>23280</v>
      </c>
      <c r="G353" s="8" t="s">
        <v>2344</v>
      </c>
      <c r="H353" s="8" t="s">
        <v>1906</v>
      </c>
      <c r="I353" s="8">
        <v>5753</v>
      </c>
      <c r="J353" s="8">
        <v>6330</v>
      </c>
      <c r="K353" s="9">
        <f>Tabla156798[[#This Row],[PRECIO CLIENTE]]-Tabla156798[[#This Row],[CANTIDAD PUBLICA]]</f>
        <v>577</v>
      </c>
      <c r="L353" s="10">
        <f>Tabla156798[[#This Row],[COMISION AGENCIA]]*0.05</f>
        <v>28.85</v>
      </c>
      <c r="M353" s="7"/>
      <c r="N353" s="7" t="s">
        <v>2345</v>
      </c>
      <c r="O353" s="7" t="s">
        <v>47</v>
      </c>
      <c r="P353" s="7"/>
    </row>
    <row r="354" spans="1:16" x14ac:dyDescent="0.25">
      <c r="A354" s="14">
        <v>44948</v>
      </c>
      <c r="B354" s="14">
        <v>44948</v>
      </c>
      <c r="C354" s="6">
        <v>44948</v>
      </c>
      <c r="D354" s="6">
        <v>44955</v>
      </c>
      <c r="E354" s="7"/>
      <c r="F354" s="115">
        <v>23288</v>
      </c>
      <c r="G354" s="8" t="s">
        <v>2346</v>
      </c>
      <c r="H354" s="8" t="s">
        <v>1808</v>
      </c>
      <c r="I354" s="8">
        <v>1506</v>
      </c>
      <c r="J354" s="8">
        <v>1840</v>
      </c>
      <c r="K354" s="9">
        <f>Tabla156798[[#This Row],[PRECIO CLIENTE]]-Tabla156798[[#This Row],[CANTIDAD PUBLICA]]</f>
        <v>334</v>
      </c>
      <c r="L354" s="10">
        <f>Tabla156798[[#This Row],[COMISION AGENCIA]]*0.05</f>
        <v>16.7</v>
      </c>
      <c r="M354" s="7"/>
      <c r="N354" s="7" t="s">
        <v>2347</v>
      </c>
      <c r="O354" s="7" t="s">
        <v>47</v>
      </c>
      <c r="P354" s="7"/>
    </row>
    <row r="355" spans="1:16" x14ac:dyDescent="0.25">
      <c r="A355" s="14">
        <v>44948</v>
      </c>
      <c r="B355" s="14">
        <v>44948</v>
      </c>
      <c r="C355" s="6">
        <v>44948</v>
      </c>
      <c r="D355" s="6">
        <v>44949</v>
      </c>
      <c r="E355" s="7"/>
      <c r="F355" s="115">
        <v>23289</v>
      </c>
      <c r="G355" s="8" t="s">
        <v>2348</v>
      </c>
      <c r="H355" s="8" t="s">
        <v>1631</v>
      </c>
      <c r="I355" s="8">
        <v>6034</v>
      </c>
      <c r="J355" s="8">
        <v>6980</v>
      </c>
      <c r="K355" s="9">
        <f>Tabla156798[[#This Row],[PRECIO CLIENTE]]-Tabla156798[[#This Row],[CANTIDAD PUBLICA]]</f>
        <v>946</v>
      </c>
      <c r="L355" s="10">
        <f>Tabla156798[[#This Row],[COMISION AGENCIA]]*0.05</f>
        <v>47.300000000000004</v>
      </c>
      <c r="M355" s="7">
        <v>3481818864</v>
      </c>
      <c r="N355" s="7" t="s">
        <v>2349</v>
      </c>
      <c r="O355" s="7" t="s">
        <v>47</v>
      </c>
      <c r="P355" s="7"/>
    </row>
    <row r="356" spans="1:16" x14ac:dyDescent="0.25">
      <c r="A356" s="14">
        <v>44949</v>
      </c>
      <c r="B356" s="14">
        <v>44949</v>
      </c>
      <c r="C356" s="6">
        <v>44949</v>
      </c>
      <c r="D356" s="6">
        <v>45017</v>
      </c>
      <c r="E356" s="6">
        <v>44930</v>
      </c>
      <c r="F356" s="115">
        <v>23293</v>
      </c>
      <c r="G356" s="8" t="s">
        <v>2350</v>
      </c>
      <c r="H356" s="8" t="s">
        <v>2286</v>
      </c>
      <c r="I356" s="8">
        <v>3178</v>
      </c>
      <c r="J356" s="8">
        <v>3330</v>
      </c>
      <c r="K356" s="9">
        <f>Tabla156798[[#This Row],[PRECIO CLIENTE]]-Tabla156798[[#This Row],[CANTIDAD PUBLICA]]</f>
        <v>152</v>
      </c>
      <c r="L356" s="10">
        <f>Tabla156798[[#This Row],[COMISION AGENCIA]]*0.05</f>
        <v>7.6000000000000005</v>
      </c>
      <c r="M356" s="7">
        <v>3481020857</v>
      </c>
      <c r="N356" s="7" t="s">
        <v>2351</v>
      </c>
      <c r="O356" s="7" t="s">
        <v>86</v>
      </c>
      <c r="P356" s="7"/>
    </row>
    <row r="357" spans="1:16" x14ac:dyDescent="0.25">
      <c r="A357" s="14">
        <v>44950</v>
      </c>
      <c r="B357" s="14">
        <v>44950</v>
      </c>
      <c r="C357" s="6">
        <v>44950</v>
      </c>
      <c r="D357" s="6">
        <v>44964</v>
      </c>
      <c r="E357" s="7"/>
      <c r="F357" s="115">
        <v>23310</v>
      </c>
      <c r="G357" s="8" t="s">
        <v>2352</v>
      </c>
      <c r="H357" s="8" t="s">
        <v>1661</v>
      </c>
      <c r="I357" s="8">
        <v>150</v>
      </c>
      <c r="J357" s="8">
        <v>150</v>
      </c>
      <c r="K357" s="9">
        <v>150</v>
      </c>
      <c r="L357" s="10">
        <f>Tabla156798[[#This Row],[COMISION AGENCIA]]*0.05</f>
        <v>7.5</v>
      </c>
      <c r="M357" s="7"/>
      <c r="N357" s="7"/>
      <c r="O357" s="7"/>
      <c r="P357" s="7"/>
    </row>
    <row r="358" spans="1:16" x14ac:dyDescent="0.25">
      <c r="A358" s="14">
        <v>44950</v>
      </c>
      <c r="B358" s="14">
        <v>44950</v>
      </c>
      <c r="C358" s="6">
        <v>44950</v>
      </c>
      <c r="D358" s="6">
        <v>45013</v>
      </c>
      <c r="E358" s="7" t="s">
        <v>2353</v>
      </c>
      <c r="F358" s="115" t="s">
        <v>2354</v>
      </c>
      <c r="G358" s="8" t="s">
        <v>2355</v>
      </c>
      <c r="H358" s="8" t="s">
        <v>1532</v>
      </c>
      <c r="I358" s="8">
        <v>23770</v>
      </c>
      <c r="J358" s="8">
        <v>25575</v>
      </c>
      <c r="K358" s="9">
        <f>Tabla156798[[#This Row],[PRECIO CLIENTE]]-Tabla156798[[#This Row],[CANTIDAD PUBLICA]]</f>
        <v>1805</v>
      </c>
      <c r="L358" s="10">
        <f>Tabla156798[[#This Row],[COMISION AGENCIA]]*0.05</f>
        <v>90.25</v>
      </c>
      <c r="M358" s="7"/>
      <c r="N358" s="7" t="s">
        <v>2356</v>
      </c>
      <c r="O358" s="7" t="s">
        <v>47</v>
      </c>
      <c r="P358" s="7"/>
    </row>
    <row r="359" spans="1:16" x14ac:dyDescent="0.25">
      <c r="A359" s="14">
        <v>44950</v>
      </c>
      <c r="B359" s="14">
        <v>44950</v>
      </c>
      <c r="C359" s="6">
        <v>44950</v>
      </c>
      <c r="D359" s="6">
        <v>44973</v>
      </c>
      <c r="E359" s="7"/>
      <c r="F359" s="115">
        <v>23316</v>
      </c>
      <c r="G359" s="8" t="s">
        <v>2357</v>
      </c>
      <c r="H359" s="8" t="s">
        <v>1541</v>
      </c>
      <c r="I359" s="8">
        <v>2864</v>
      </c>
      <c r="J359" s="8">
        <v>3190</v>
      </c>
      <c r="K359" s="9">
        <f>Tabla156798[[#This Row],[PRECIO CLIENTE]]-Tabla156798[[#This Row],[CANTIDAD PUBLICA]]</f>
        <v>326</v>
      </c>
      <c r="L359" s="10">
        <f>Tabla156798[[#This Row],[COMISION AGENCIA]]*0.05</f>
        <v>16.3</v>
      </c>
      <c r="M359" s="7"/>
      <c r="N359" s="7" t="s">
        <v>2358</v>
      </c>
      <c r="O359" s="7" t="s">
        <v>47</v>
      </c>
      <c r="P359" s="7"/>
    </row>
    <row r="360" spans="1:16" x14ac:dyDescent="0.25">
      <c r="A360" s="14">
        <v>44950</v>
      </c>
      <c r="B360" s="14">
        <v>44950</v>
      </c>
      <c r="C360" s="6">
        <v>44950</v>
      </c>
      <c r="D360" s="6">
        <v>44973</v>
      </c>
      <c r="E360" s="7"/>
      <c r="F360" s="115">
        <v>23316</v>
      </c>
      <c r="G360" s="8" t="s">
        <v>2357</v>
      </c>
      <c r="H360" s="8" t="s">
        <v>2359</v>
      </c>
      <c r="I360" s="8">
        <v>1722</v>
      </c>
      <c r="J360" s="8">
        <v>1880</v>
      </c>
      <c r="K360" s="9">
        <f>Tabla156798[[#This Row],[PRECIO CLIENTE]]-Tabla156798[[#This Row],[CANTIDAD PUBLICA]]</f>
        <v>158</v>
      </c>
      <c r="L360" s="10">
        <f>Tabla156798[[#This Row],[COMISION AGENCIA]]*0.05</f>
        <v>7.9</v>
      </c>
      <c r="M360" s="7"/>
      <c r="N360" s="7" t="s">
        <v>2360</v>
      </c>
      <c r="O360" s="7" t="s">
        <v>1863</v>
      </c>
      <c r="P360" s="7"/>
    </row>
    <row r="361" spans="1:16" x14ac:dyDescent="0.25">
      <c r="A361" s="14">
        <v>44951</v>
      </c>
      <c r="B361" s="14">
        <v>44951</v>
      </c>
      <c r="C361" s="6">
        <v>44951</v>
      </c>
      <c r="D361" s="6">
        <v>44938</v>
      </c>
      <c r="E361" s="7"/>
      <c r="F361" s="115">
        <v>23317</v>
      </c>
      <c r="G361" s="8" t="s">
        <v>2361</v>
      </c>
      <c r="H361" s="8" t="s">
        <v>2144</v>
      </c>
      <c r="I361" s="8">
        <v>4020</v>
      </c>
      <c r="J361" s="8">
        <v>4485</v>
      </c>
      <c r="K361" s="9">
        <f>Tabla156798[[#This Row],[PRECIO CLIENTE]]-Tabla156798[[#This Row],[CANTIDAD PUBLICA]]</f>
        <v>465</v>
      </c>
      <c r="L361" s="10">
        <f>Tabla156798[[#This Row],[COMISION AGENCIA]]*0.05</f>
        <v>23.25</v>
      </c>
      <c r="M361" s="7"/>
      <c r="N361" s="7" t="s">
        <v>2362</v>
      </c>
      <c r="O361" s="7" t="s">
        <v>47</v>
      </c>
      <c r="P361" s="7"/>
    </row>
    <row r="362" spans="1:16" x14ac:dyDescent="0.25">
      <c r="A362" s="14">
        <v>44951</v>
      </c>
      <c r="B362" s="14">
        <v>44951</v>
      </c>
      <c r="C362" s="6">
        <v>44951</v>
      </c>
      <c r="D362" s="6">
        <v>44941</v>
      </c>
      <c r="E362" s="7"/>
      <c r="F362" s="115">
        <v>23317</v>
      </c>
      <c r="G362" s="8" t="s">
        <v>2361</v>
      </c>
      <c r="H362" s="8" t="s">
        <v>1906</v>
      </c>
      <c r="I362" s="8">
        <v>2136</v>
      </c>
      <c r="J362" s="8">
        <v>2535</v>
      </c>
      <c r="K362" s="9">
        <f>Tabla156798[[#This Row],[PRECIO CLIENTE]]-Tabla156798[[#This Row],[CANTIDAD PUBLICA]]</f>
        <v>399</v>
      </c>
      <c r="L362" s="10">
        <f>Tabla156798[[#This Row],[COMISION AGENCIA]]*0.05</f>
        <v>19.950000000000003</v>
      </c>
      <c r="M362" s="7"/>
      <c r="N362" s="7" t="s">
        <v>2363</v>
      </c>
      <c r="O362" s="7" t="s">
        <v>47</v>
      </c>
      <c r="P362" s="7"/>
    </row>
    <row r="363" spans="1:16" x14ac:dyDescent="0.25">
      <c r="A363" s="14">
        <v>44951</v>
      </c>
      <c r="B363" s="14">
        <v>44951</v>
      </c>
      <c r="C363" s="6">
        <v>44951</v>
      </c>
      <c r="D363" s="6">
        <v>44940</v>
      </c>
      <c r="E363" s="7"/>
      <c r="F363" s="115">
        <v>23317</v>
      </c>
      <c r="G363" s="8" t="s">
        <v>2361</v>
      </c>
      <c r="H363" s="8" t="s">
        <v>2364</v>
      </c>
      <c r="I363" s="8">
        <v>1675</v>
      </c>
      <c r="J363" s="8">
        <v>1930</v>
      </c>
      <c r="K363" s="9">
        <f>Tabla156798[[#This Row],[PRECIO CLIENTE]]-Tabla156798[[#This Row],[CANTIDAD PUBLICA]]</f>
        <v>255</v>
      </c>
      <c r="L363" s="10">
        <f>Tabla156798[[#This Row],[COMISION AGENCIA]]*0.05</f>
        <v>12.75</v>
      </c>
      <c r="M363" s="7"/>
      <c r="N363" s="7" t="s">
        <v>2365</v>
      </c>
      <c r="O363" s="7" t="s">
        <v>2366</v>
      </c>
      <c r="P363" s="7"/>
    </row>
    <row r="364" spans="1:16" x14ac:dyDescent="0.25">
      <c r="A364" s="14">
        <v>44953</v>
      </c>
      <c r="B364" s="14">
        <v>44953</v>
      </c>
      <c r="C364" s="6">
        <v>44953</v>
      </c>
      <c r="D364" s="6">
        <v>44958</v>
      </c>
      <c r="E364" s="7"/>
      <c r="F364" s="115">
        <v>23358</v>
      </c>
      <c r="G364" s="8" t="s">
        <v>1965</v>
      </c>
      <c r="H364" s="8" t="s">
        <v>1541</v>
      </c>
      <c r="I364" s="8">
        <v>3556</v>
      </c>
      <c r="J364" s="8">
        <v>3910</v>
      </c>
      <c r="K364" s="9">
        <f>Tabla156798[[#This Row],[PRECIO CLIENTE]]-Tabla156798[[#This Row],[CANTIDAD PUBLICA]]</f>
        <v>354</v>
      </c>
      <c r="L364" s="10">
        <f>Tabla156798[[#This Row],[COMISION AGENCIA]]*0.05</f>
        <v>17.7</v>
      </c>
      <c r="M364" s="7"/>
      <c r="N364" s="7" t="s">
        <v>2367</v>
      </c>
      <c r="O364" s="7" t="s">
        <v>6</v>
      </c>
      <c r="P364" s="7"/>
    </row>
    <row r="365" spans="1:16" x14ac:dyDescent="0.25">
      <c r="A365" s="14">
        <v>44953</v>
      </c>
      <c r="B365" s="14">
        <v>44953</v>
      </c>
      <c r="C365" s="6">
        <v>44953</v>
      </c>
      <c r="D365" s="6">
        <v>44971</v>
      </c>
      <c r="E365" s="7"/>
      <c r="F365" s="115" t="s">
        <v>2368</v>
      </c>
      <c r="G365" s="8" t="s">
        <v>2369</v>
      </c>
      <c r="H365" s="8" t="s">
        <v>2364</v>
      </c>
      <c r="I365" s="8">
        <v>3350</v>
      </c>
      <c r="J365" s="8">
        <v>3860</v>
      </c>
      <c r="K365" s="9">
        <f>Tabla156798[[#This Row],[PRECIO CLIENTE]]-Tabla156798[[#This Row],[CANTIDAD PUBLICA]]</f>
        <v>510</v>
      </c>
      <c r="L365" s="10">
        <f>Tabla156798[[#This Row],[COMISION AGENCIA]]*0.05</f>
        <v>25.5</v>
      </c>
      <c r="M365" s="7"/>
      <c r="N365" s="7" t="s">
        <v>2370</v>
      </c>
      <c r="O365" s="7" t="s">
        <v>2366</v>
      </c>
      <c r="P365" s="7"/>
    </row>
    <row r="366" spans="1:16" x14ac:dyDescent="0.25">
      <c r="A366" s="14">
        <v>44953</v>
      </c>
      <c r="B366" s="14">
        <v>44953</v>
      </c>
      <c r="C366" s="6">
        <v>44953</v>
      </c>
      <c r="D366" s="6">
        <v>44969</v>
      </c>
      <c r="E366" s="7"/>
      <c r="F366" s="115" t="s">
        <v>2368</v>
      </c>
      <c r="G366" s="8" t="s">
        <v>2369</v>
      </c>
      <c r="H366" s="8" t="s">
        <v>2144</v>
      </c>
      <c r="I366" s="8">
        <v>8016</v>
      </c>
      <c r="J366" s="8">
        <v>8850</v>
      </c>
      <c r="K366" s="9">
        <f>Tabla156798[[#This Row],[PRECIO CLIENTE]]-Tabla156798[[#This Row],[CANTIDAD PUBLICA]]</f>
        <v>834</v>
      </c>
      <c r="L366" s="10">
        <f>Tabla156798[[#This Row],[COMISION AGENCIA]]*0.05</f>
        <v>41.7</v>
      </c>
      <c r="M366" s="7"/>
      <c r="N366" s="7" t="s">
        <v>2371</v>
      </c>
      <c r="O366" s="7" t="s">
        <v>47</v>
      </c>
      <c r="P366" s="7"/>
    </row>
    <row r="367" spans="1:16" x14ac:dyDescent="0.25">
      <c r="A367" s="14">
        <v>44953</v>
      </c>
      <c r="B367" s="14">
        <v>44953</v>
      </c>
      <c r="C367" s="6">
        <v>44953</v>
      </c>
      <c r="D367" s="6">
        <v>45013</v>
      </c>
      <c r="E367" s="7"/>
      <c r="F367" s="115">
        <v>23363</v>
      </c>
      <c r="G367" s="8" t="s">
        <v>2372</v>
      </c>
      <c r="H367" s="8" t="s">
        <v>1541</v>
      </c>
      <c r="I367" s="8">
        <v>6218</v>
      </c>
      <c r="J367" s="8">
        <v>6920</v>
      </c>
      <c r="K367" s="9">
        <f>Tabla156798[[#This Row],[PRECIO CLIENTE]]-Tabla156798[[#This Row],[CANTIDAD PUBLICA]]</f>
        <v>702</v>
      </c>
      <c r="L367" s="10">
        <f>Tabla156798[[#This Row],[COMISION AGENCIA]]*0.05</f>
        <v>35.1</v>
      </c>
      <c r="M367" s="7"/>
      <c r="N367" s="7" t="s">
        <v>2373</v>
      </c>
      <c r="O367" s="7" t="s">
        <v>47</v>
      </c>
      <c r="P367" s="7"/>
    </row>
    <row r="368" spans="1:16" x14ac:dyDescent="0.25">
      <c r="A368" s="14">
        <v>44953</v>
      </c>
      <c r="B368" s="14">
        <v>44953</v>
      </c>
      <c r="C368" s="6">
        <v>44953</v>
      </c>
      <c r="D368" s="6">
        <v>44973</v>
      </c>
      <c r="E368" s="7"/>
      <c r="F368" s="115" t="s">
        <v>2368</v>
      </c>
      <c r="G368" s="8" t="s">
        <v>1543</v>
      </c>
      <c r="H368" s="8" t="s">
        <v>1906</v>
      </c>
      <c r="I368" s="8">
        <v>6210</v>
      </c>
      <c r="J368" s="8">
        <v>7500</v>
      </c>
      <c r="K368" s="9">
        <f>Tabla156798[[#This Row],[PRECIO CLIENTE]]-Tabla156798[[#This Row],[CANTIDAD PUBLICA]]</f>
        <v>1290</v>
      </c>
      <c r="L368" s="10">
        <f>Tabla156798[[#This Row],[COMISION AGENCIA]]*0.05</f>
        <v>64.5</v>
      </c>
      <c r="M368" s="7"/>
      <c r="N368" s="7" t="s">
        <v>2374</v>
      </c>
      <c r="O368" s="7" t="s">
        <v>47</v>
      </c>
      <c r="P368" s="7"/>
    </row>
    <row r="369" spans="1:16" x14ac:dyDescent="0.25">
      <c r="A369" s="14">
        <f>Tabla156798[[#This Row],[FECHA IN]]-15</f>
        <v>44954</v>
      </c>
      <c r="B369" s="14">
        <v>44945</v>
      </c>
      <c r="C369" s="6">
        <v>44886</v>
      </c>
      <c r="D369" s="6">
        <v>44969</v>
      </c>
      <c r="E369" s="6">
        <v>44974</v>
      </c>
      <c r="F369" s="115" t="s">
        <v>2375</v>
      </c>
      <c r="G369" s="8" t="s">
        <v>2376</v>
      </c>
      <c r="H369" s="8" t="s">
        <v>2377</v>
      </c>
      <c r="I369" s="8">
        <v>14942.6</v>
      </c>
      <c r="J369" s="8">
        <v>13000</v>
      </c>
      <c r="K369" s="9">
        <f>Tabla156798[[#This Row],[CANTIDAD PUBLICA]]*0.05</f>
        <v>747.13000000000011</v>
      </c>
      <c r="L369" s="10">
        <f>Tabla156798[[#This Row],[COMISION AGENCIA]]*0.05</f>
        <v>37.356500000000004</v>
      </c>
      <c r="M369" s="7">
        <v>3481059136</v>
      </c>
      <c r="N369" s="7" t="s">
        <v>2378</v>
      </c>
      <c r="O369" s="7" t="s">
        <v>6</v>
      </c>
      <c r="P369" s="7"/>
    </row>
    <row r="370" spans="1:16" x14ac:dyDescent="0.25">
      <c r="A370" s="14">
        <f>Tabla156798[[#This Row],[FECHA IN]]-15</f>
        <v>44954</v>
      </c>
      <c r="B370" s="14">
        <v>44946</v>
      </c>
      <c r="C370" s="6">
        <v>44938</v>
      </c>
      <c r="D370" s="6">
        <v>44969</v>
      </c>
      <c r="E370" s="6">
        <v>44973</v>
      </c>
      <c r="F370" s="115">
        <v>23182</v>
      </c>
      <c r="G370" s="8" t="s">
        <v>2379</v>
      </c>
      <c r="H370" s="8" t="s">
        <v>2129</v>
      </c>
      <c r="I370" s="8">
        <v>28421.18</v>
      </c>
      <c r="J370" s="8">
        <v>24730</v>
      </c>
      <c r="K370" s="9">
        <f>Tabla156798[[#This Row],[CANTIDAD PUBLICA]]*0.05</f>
        <v>1421.0590000000002</v>
      </c>
      <c r="L370" s="10">
        <f>Tabla156798[[#This Row],[COMISION AGENCIA]]*0.05</f>
        <v>71.05295000000001</v>
      </c>
      <c r="M370" s="7">
        <v>3481052100</v>
      </c>
      <c r="N370" s="7" t="s">
        <v>2380</v>
      </c>
      <c r="O370" s="7" t="s">
        <v>6</v>
      </c>
      <c r="P370" s="7"/>
    </row>
    <row r="371" spans="1:16" x14ac:dyDescent="0.25">
      <c r="A371" s="14">
        <f>Tabla156798[[#This Row],[FECHA IN]]-15</f>
        <v>44962</v>
      </c>
      <c r="B371" s="14">
        <v>44956</v>
      </c>
      <c r="C371" s="6">
        <v>44839</v>
      </c>
      <c r="D371" s="6">
        <v>44977</v>
      </c>
      <c r="E371" s="6">
        <v>44981</v>
      </c>
      <c r="F371" s="115" t="s">
        <v>2381</v>
      </c>
      <c r="G371" s="8" t="s">
        <v>2382</v>
      </c>
      <c r="H371" s="8" t="s">
        <v>1703</v>
      </c>
      <c r="I371" s="8">
        <v>16675.150000000001</v>
      </c>
      <c r="J371" s="8">
        <v>14510</v>
      </c>
      <c r="K371" s="9">
        <f>Tabla156798[[#This Row],[CANTIDAD PUBLICA]]*0.05</f>
        <v>833.75750000000016</v>
      </c>
      <c r="L371" s="10">
        <f>Tabla156798[[#This Row],[COMISION AGENCIA]]*0.05</f>
        <v>41.687875000000012</v>
      </c>
      <c r="M371" s="7">
        <v>3481061622</v>
      </c>
      <c r="N371" s="7" t="s">
        <v>2383</v>
      </c>
      <c r="O371" s="7" t="s">
        <v>6</v>
      </c>
      <c r="P371" s="7"/>
    </row>
    <row r="372" spans="1:16" x14ac:dyDescent="0.25">
      <c r="A372" s="14">
        <f>Tabla156798[[#This Row],[FECHA IN]]-15</f>
        <v>44962</v>
      </c>
      <c r="B372" s="14">
        <v>44956</v>
      </c>
      <c r="C372" s="6">
        <v>44839</v>
      </c>
      <c r="D372" s="6">
        <v>44977</v>
      </c>
      <c r="E372" s="6">
        <v>44981</v>
      </c>
      <c r="F372" s="115" t="s">
        <v>2381</v>
      </c>
      <c r="G372" s="8" t="s">
        <v>2384</v>
      </c>
      <c r="H372" s="158" t="s">
        <v>1703</v>
      </c>
      <c r="I372" s="8">
        <v>16675.150000000001</v>
      </c>
      <c r="J372" s="8">
        <v>14510</v>
      </c>
      <c r="K372" s="9">
        <f>Tabla156798[[#This Row],[CANTIDAD PUBLICA]]*0.05</f>
        <v>833.75750000000016</v>
      </c>
      <c r="L372" s="10">
        <f>Tabla156798[[#This Row],[COMISION AGENCIA]]*0.05</f>
        <v>41.687875000000012</v>
      </c>
      <c r="M372" s="7">
        <v>3481061622</v>
      </c>
      <c r="N372" s="7" t="s">
        <v>2385</v>
      </c>
      <c r="O372" s="7" t="s">
        <v>6</v>
      </c>
      <c r="P372" s="7"/>
    </row>
    <row r="373" spans="1:16" x14ac:dyDescent="0.25">
      <c r="A373" s="14">
        <f>Tabla156798[[#This Row],[FECHA IN]]-15</f>
        <v>44962</v>
      </c>
      <c r="B373" s="14">
        <v>44956</v>
      </c>
      <c r="C373" s="6">
        <v>44839</v>
      </c>
      <c r="D373" s="6">
        <v>44977</v>
      </c>
      <c r="E373" s="6">
        <v>44981</v>
      </c>
      <c r="F373" s="115" t="s">
        <v>2381</v>
      </c>
      <c r="G373" s="8" t="s">
        <v>2386</v>
      </c>
      <c r="H373" s="158" t="s">
        <v>1703</v>
      </c>
      <c r="I373" s="8">
        <v>16675.150000000001</v>
      </c>
      <c r="J373" s="8">
        <v>14510</v>
      </c>
      <c r="K373" s="9">
        <f>Tabla156798[[#This Row],[CANTIDAD PUBLICA]]*0.05</f>
        <v>833.75750000000016</v>
      </c>
      <c r="L373" s="10">
        <f>Tabla156798[[#This Row],[COMISION AGENCIA]]*0.05</f>
        <v>41.687875000000012</v>
      </c>
      <c r="M373" s="7">
        <v>3481061622</v>
      </c>
      <c r="N373" s="7" t="s">
        <v>2383</v>
      </c>
      <c r="O373" s="7" t="s">
        <v>6</v>
      </c>
      <c r="P373" s="7"/>
    </row>
    <row r="374" spans="1:16" x14ac:dyDescent="0.25">
      <c r="A374" s="14">
        <f>Tabla156798[[#This Row],[FECHA IN]]-15</f>
        <v>44962</v>
      </c>
      <c r="B374" s="14">
        <v>44956</v>
      </c>
      <c r="C374" s="6">
        <v>44839</v>
      </c>
      <c r="D374" s="6">
        <v>44977</v>
      </c>
      <c r="E374" s="6">
        <v>44981</v>
      </c>
      <c r="F374" s="115" t="s">
        <v>2381</v>
      </c>
      <c r="G374" s="8" t="s">
        <v>2387</v>
      </c>
      <c r="H374" s="158" t="s">
        <v>1703</v>
      </c>
      <c r="I374" s="8">
        <v>16675.150000000001</v>
      </c>
      <c r="J374" s="8">
        <v>14510</v>
      </c>
      <c r="K374" s="9">
        <f>Tabla156798[[#This Row],[CANTIDAD PUBLICA]]*0.05</f>
        <v>833.75750000000016</v>
      </c>
      <c r="L374" s="10">
        <f>Tabla156798[[#This Row],[COMISION AGENCIA]]*0.05</f>
        <v>41.687875000000012</v>
      </c>
      <c r="M374" s="7">
        <v>3481061622</v>
      </c>
      <c r="N374" s="7" t="s">
        <v>2388</v>
      </c>
      <c r="O374" s="7" t="s">
        <v>6</v>
      </c>
      <c r="P374" s="7"/>
    </row>
    <row r="375" spans="1:16" x14ac:dyDescent="0.25">
      <c r="A375" s="14">
        <f>Tabla156798[[#This Row],[FECHA IN]]-15</f>
        <v>44962</v>
      </c>
      <c r="B375" s="14">
        <v>44956</v>
      </c>
      <c r="C375" s="6">
        <v>44839</v>
      </c>
      <c r="D375" s="6">
        <v>44977</v>
      </c>
      <c r="E375" s="6">
        <v>44981</v>
      </c>
      <c r="F375" s="115" t="s">
        <v>2381</v>
      </c>
      <c r="G375" s="8" t="s">
        <v>2389</v>
      </c>
      <c r="H375" s="158" t="s">
        <v>1703</v>
      </c>
      <c r="I375" s="8">
        <v>16675.150000000001</v>
      </c>
      <c r="J375" s="8">
        <v>14510</v>
      </c>
      <c r="K375" s="9">
        <f>Tabla156798[[#This Row],[CANTIDAD PUBLICA]]*0.05</f>
        <v>833.75750000000016</v>
      </c>
      <c r="L375" s="10">
        <f>Tabla156798[[#This Row],[COMISION AGENCIA]]*0.05</f>
        <v>41.687875000000012</v>
      </c>
      <c r="M375" s="7">
        <v>3481061622</v>
      </c>
      <c r="N375" s="7" t="s">
        <v>2390</v>
      </c>
      <c r="O375" s="7" t="s">
        <v>6</v>
      </c>
      <c r="P375" s="7"/>
    </row>
    <row r="376" spans="1:16" x14ac:dyDescent="0.25">
      <c r="A376" s="14">
        <f>Tabla156798[[#This Row],[FECHA IN]]-15</f>
        <v>44962</v>
      </c>
      <c r="B376" s="14">
        <v>44956</v>
      </c>
      <c r="C376" s="6">
        <v>44839</v>
      </c>
      <c r="D376" s="6">
        <v>44977</v>
      </c>
      <c r="E376" s="6">
        <v>44981</v>
      </c>
      <c r="F376" s="115" t="s">
        <v>2381</v>
      </c>
      <c r="G376" s="8" t="s">
        <v>2391</v>
      </c>
      <c r="H376" s="158" t="s">
        <v>1703</v>
      </c>
      <c r="I376" s="8">
        <v>19585.75</v>
      </c>
      <c r="J376" s="8">
        <v>17040</v>
      </c>
      <c r="K376" s="9">
        <f>Tabla156798[[#This Row],[CANTIDAD PUBLICA]]*0.05</f>
        <v>979.28750000000002</v>
      </c>
      <c r="L376" s="10">
        <f>Tabla156798[[#This Row],[COMISION AGENCIA]]*0.05</f>
        <v>48.964375000000004</v>
      </c>
      <c r="M376" s="7">
        <v>3481061622</v>
      </c>
      <c r="N376" s="7" t="s">
        <v>2392</v>
      </c>
      <c r="O376" s="7" t="s">
        <v>6</v>
      </c>
      <c r="P376" s="7"/>
    </row>
    <row r="377" spans="1:16" x14ac:dyDescent="0.25">
      <c r="A377" s="14">
        <v>44963</v>
      </c>
      <c r="B377" s="14">
        <v>44963</v>
      </c>
      <c r="C377" s="6">
        <v>44962</v>
      </c>
      <c r="D377" s="6">
        <v>44964</v>
      </c>
      <c r="E377" s="7"/>
      <c r="F377" s="115">
        <v>23462</v>
      </c>
      <c r="G377" s="8" t="s">
        <v>2137</v>
      </c>
      <c r="H377" s="8" t="s">
        <v>2393</v>
      </c>
      <c r="I377" s="8">
        <v>4488</v>
      </c>
      <c r="J377" s="8">
        <v>4790</v>
      </c>
      <c r="K377" s="9">
        <f>Tabla156798[[#This Row],[PRECIO CLIENTE]]-Tabla156798[[#This Row],[CANTIDAD PUBLICA]]</f>
        <v>302</v>
      </c>
      <c r="L377" s="10">
        <f>Tabla156798[[#This Row],[COMISION AGENCIA]]*0.05</f>
        <v>15.100000000000001</v>
      </c>
      <c r="M377" s="7"/>
      <c r="N377" s="7" t="s">
        <v>2394</v>
      </c>
      <c r="O377" s="7" t="s">
        <v>47</v>
      </c>
      <c r="P377" s="7"/>
    </row>
    <row r="378" spans="1:16" x14ac:dyDescent="0.25">
      <c r="A378" s="14">
        <v>44963</v>
      </c>
      <c r="B378" s="14">
        <v>44963</v>
      </c>
      <c r="C378" s="6">
        <v>44963</v>
      </c>
      <c r="D378" s="6">
        <v>44984</v>
      </c>
      <c r="E378" s="6">
        <v>44987</v>
      </c>
      <c r="F378" s="115">
        <v>23460</v>
      </c>
      <c r="G378" s="8" t="s">
        <v>2395</v>
      </c>
      <c r="H378" s="8" t="s">
        <v>2396</v>
      </c>
      <c r="I378" s="8">
        <v>3016</v>
      </c>
      <c r="J378" s="8">
        <v>3320</v>
      </c>
      <c r="K378" s="9">
        <f>Tabla156798[[#This Row],[PRECIO CLIENTE]]-Tabla156798[[#This Row],[CANTIDAD PUBLICA]]</f>
        <v>304</v>
      </c>
      <c r="L378" s="10">
        <f>Tabla156798[[#This Row],[COMISION AGENCIA]]*0.05</f>
        <v>15.200000000000001</v>
      </c>
      <c r="M378" s="7"/>
      <c r="N378" s="7" t="s">
        <v>2397</v>
      </c>
      <c r="O378" s="7" t="s">
        <v>1266</v>
      </c>
      <c r="P378" s="7"/>
    </row>
    <row r="379" spans="1:16" x14ac:dyDescent="0.25">
      <c r="A379" s="14">
        <v>44963</v>
      </c>
      <c r="B379" s="14">
        <v>44963</v>
      </c>
      <c r="C379" s="6">
        <v>44963</v>
      </c>
      <c r="D379" s="6">
        <v>45190</v>
      </c>
      <c r="E379" s="6">
        <v>45196</v>
      </c>
      <c r="F379" s="115">
        <v>23463</v>
      </c>
      <c r="G379" s="8" t="s">
        <v>2398</v>
      </c>
      <c r="H379" s="8" t="s">
        <v>2399</v>
      </c>
      <c r="I379" s="8">
        <v>8710</v>
      </c>
      <c r="J379" s="8">
        <v>9410</v>
      </c>
      <c r="K379" s="9">
        <f>Tabla156798[[#This Row],[PRECIO CLIENTE]]-Tabla156798[[#This Row],[CANTIDAD PUBLICA]]</f>
        <v>700</v>
      </c>
      <c r="L379" s="10">
        <f>Tabla156798[[#This Row],[COMISION AGENCIA]]*0.05</f>
        <v>35</v>
      </c>
      <c r="M379" s="7"/>
      <c r="N379" s="7" t="s">
        <v>2400</v>
      </c>
      <c r="O379" s="7" t="s">
        <v>47</v>
      </c>
      <c r="P379" s="7"/>
    </row>
    <row r="380" spans="1:16" x14ac:dyDescent="0.25">
      <c r="A380" s="14">
        <v>44963</v>
      </c>
      <c r="B380" s="14">
        <v>44963</v>
      </c>
      <c r="C380" s="6">
        <v>44963</v>
      </c>
      <c r="D380" s="6">
        <v>45193</v>
      </c>
      <c r="E380" s="7"/>
      <c r="F380" s="115">
        <v>23463</v>
      </c>
      <c r="G380" s="8" t="s">
        <v>2401</v>
      </c>
      <c r="H380" s="8" t="s">
        <v>2402</v>
      </c>
      <c r="I380" s="8">
        <v>979</v>
      </c>
      <c r="J380" s="8">
        <v>1285</v>
      </c>
      <c r="K380" s="9">
        <f>Tabla156798[[#This Row],[PRECIO CLIENTE]]-Tabla156798[[#This Row],[CANTIDAD PUBLICA]]</f>
        <v>306</v>
      </c>
      <c r="L380" s="10">
        <f>Tabla156798[[#This Row],[COMISION AGENCIA]]*0.05</f>
        <v>15.3</v>
      </c>
      <c r="M380" s="7"/>
      <c r="N380" s="7" t="s">
        <v>2403</v>
      </c>
      <c r="O380" s="7" t="s">
        <v>47</v>
      </c>
      <c r="P380" s="7"/>
    </row>
    <row r="381" spans="1:16" x14ac:dyDescent="0.25">
      <c r="A381" s="14">
        <v>44963</v>
      </c>
      <c r="B381" s="14">
        <v>44963</v>
      </c>
      <c r="C381" s="6">
        <v>44963</v>
      </c>
      <c r="D381" s="6">
        <v>45196</v>
      </c>
      <c r="E381" s="7"/>
      <c r="F381" s="115">
        <v>23463</v>
      </c>
      <c r="G381" s="8" t="s">
        <v>2401</v>
      </c>
      <c r="H381" s="8" t="s">
        <v>2121</v>
      </c>
      <c r="I381" s="8">
        <v>2658</v>
      </c>
      <c r="J381" s="8">
        <v>2975</v>
      </c>
      <c r="K381" s="9">
        <f>Tabla156798[[#This Row],[PRECIO CLIENTE]]-Tabla156798[[#This Row],[CANTIDAD PUBLICA]]</f>
        <v>317</v>
      </c>
      <c r="L381" s="10">
        <f>Tabla156798[[#This Row],[COMISION AGENCIA]]*0.05</f>
        <v>15.850000000000001</v>
      </c>
      <c r="M381" s="7"/>
      <c r="N381" s="7" t="s">
        <v>2404</v>
      </c>
      <c r="O381" s="7" t="s">
        <v>47</v>
      </c>
      <c r="P381" s="7"/>
    </row>
    <row r="382" spans="1:16" x14ac:dyDescent="0.25">
      <c r="A382" s="14">
        <v>44963</v>
      </c>
      <c r="B382" s="14">
        <v>44963</v>
      </c>
      <c r="C382" s="6">
        <v>44963</v>
      </c>
      <c r="D382" s="6">
        <v>45019</v>
      </c>
      <c r="E382" s="6">
        <v>45026</v>
      </c>
      <c r="F382" s="115">
        <v>23470</v>
      </c>
      <c r="G382" s="8" t="s">
        <v>2405</v>
      </c>
      <c r="H382" s="8" t="s">
        <v>1290</v>
      </c>
      <c r="I382" s="8">
        <v>11250</v>
      </c>
      <c r="J382" s="8">
        <v>12540</v>
      </c>
      <c r="K382" s="9">
        <f>Tabla156798[[#This Row],[PRECIO CLIENTE]]-Tabla156798[[#This Row],[CANTIDAD PUBLICA]]</f>
        <v>1290</v>
      </c>
      <c r="L382" s="10">
        <f>Tabla156798[[#This Row],[COMISION AGENCIA]]*0.05</f>
        <v>64.5</v>
      </c>
      <c r="M382" s="7"/>
      <c r="N382" s="7" t="s">
        <v>2406</v>
      </c>
      <c r="O382" s="7" t="s">
        <v>47</v>
      </c>
      <c r="P382" s="7"/>
    </row>
    <row r="383" spans="1:16" x14ac:dyDescent="0.25">
      <c r="A383" s="14">
        <v>44963</v>
      </c>
      <c r="B383" s="14">
        <v>44963</v>
      </c>
      <c r="C383" s="6">
        <v>44963</v>
      </c>
      <c r="D383" s="6">
        <v>44968</v>
      </c>
      <c r="E383" s="7"/>
      <c r="F383" s="115">
        <v>23466</v>
      </c>
      <c r="G383" s="8" t="s">
        <v>2407</v>
      </c>
      <c r="H383" s="8" t="s">
        <v>1631</v>
      </c>
      <c r="I383" s="8">
        <v>2803</v>
      </c>
      <c r="J383" s="8">
        <v>3335</v>
      </c>
      <c r="K383" s="9">
        <f>Tabla156798[[#This Row],[PRECIO CLIENTE]]-Tabla156798[[#This Row],[CANTIDAD PUBLICA]]</f>
        <v>532</v>
      </c>
      <c r="L383" s="10">
        <f>Tabla156798[[#This Row],[COMISION AGENCIA]]*0.05</f>
        <v>26.6</v>
      </c>
      <c r="M383" s="7"/>
      <c r="N383" s="7" t="s">
        <v>2408</v>
      </c>
      <c r="O383" s="7" t="s">
        <v>47</v>
      </c>
      <c r="P383" s="7"/>
    </row>
    <row r="384" spans="1:16" x14ac:dyDescent="0.25">
      <c r="A384" s="14">
        <v>44963</v>
      </c>
      <c r="B384" s="14">
        <v>44963</v>
      </c>
      <c r="C384" s="6">
        <v>44963</v>
      </c>
      <c r="D384" s="6">
        <v>44968</v>
      </c>
      <c r="E384" s="7"/>
      <c r="F384" s="115">
        <v>23465</v>
      </c>
      <c r="G384" s="8" t="s">
        <v>1616</v>
      </c>
      <c r="H384" s="8" t="s">
        <v>1833</v>
      </c>
      <c r="I384" s="8">
        <v>2879</v>
      </c>
      <c r="J384" s="8">
        <v>3400</v>
      </c>
      <c r="K384" s="9">
        <f>Tabla156798[[#This Row],[PRECIO CLIENTE]]-Tabla156798[[#This Row],[CANTIDAD PUBLICA]]</f>
        <v>521</v>
      </c>
      <c r="L384" s="10">
        <f>Tabla156798[[#This Row],[COMISION AGENCIA]]*0.05</f>
        <v>26.05</v>
      </c>
      <c r="M384" s="7"/>
      <c r="N384" s="7" t="s">
        <v>2409</v>
      </c>
      <c r="O384" s="7" t="s">
        <v>47</v>
      </c>
      <c r="P384" s="7"/>
    </row>
    <row r="385" spans="1:16" x14ac:dyDescent="0.25">
      <c r="A385" s="14">
        <v>44963</v>
      </c>
      <c r="B385" s="14">
        <v>44966</v>
      </c>
      <c r="C385" s="6">
        <v>44961</v>
      </c>
      <c r="D385" s="6">
        <v>44978</v>
      </c>
      <c r="E385" s="6">
        <v>44981</v>
      </c>
      <c r="F385" s="115">
        <v>23453</v>
      </c>
      <c r="G385" s="8" t="s">
        <v>2410</v>
      </c>
      <c r="H385" s="8" t="s">
        <v>2411</v>
      </c>
      <c r="I385" s="8">
        <v>21436</v>
      </c>
      <c r="J385" s="8">
        <v>18650</v>
      </c>
      <c r="K385" s="9">
        <f>Tabla156798[[#This Row],[CANTIDAD PUBLICA]]*0.05</f>
        <v>1071.8</v>
      </c>
      <c r="L385" s="10">
        <f>Tabla156798[[#This Row],[COMISION AGENCIA]]*0.05</f>
        <v>53.59</v>
      </c>
      <c r="M385" s="7">
        <v>3481074255</v>
      </c>
      <c r="N385" s="7" t="s">
        <v>2412</v>
      </c>
      <c r="O385" s="7" t="s">
        <v>6</v>
      </c>
      <c r="P385" s="7"/>
    </row>
    <row r="386" spans="1:16" x14ac:dyDescent="0.25">
      <c r="A386" s="14">
        <v>44964</v>
      </c>
      <c r="B386" s="14">
        <v>44964</v>
      </c>
      <c r="C386" s="6">
        <v>44964</v>
      </c>
      <c r="D386" s="6">
        <v>44964</v>
      </c>
      <c r="E386" s="6">
        <v>44968</v>
      </c>
      <c r="F386" s="115">
        <v>23471</v>
      </c>
      <c r="G386" s="8" t="s">
        <v>2413</v>
      </c>
      <c r="H386" s="8" t="s">
        <v>1535</v>
      </c>
      <c r="I386" s="8">
        <v>5418</v>
      </c>
      <c r="J386" s="8">
        <v>5820</v>
      </c>
      <c r="K386" s="9">
        <f>Tabla156798[[#This Row],[PRECIO CLIENTE]]-Tabla156798[[#This Row],[CANTIDAD PUBLICA]]</f>
        <v>402</v>
      </c>
      <c r="L386" s="10">
        <f>Tabla156798[[#This Row],[COMISION AGENCIA]]*0.05</f>
        <v>20.100000000000001</v>
      </c>
      <c r="M386" s="7"/>
      <c r="N386" s="7" t="s">
        <v>2414</v>
      </c>
      <c r="O386" s="7" t="s">
        <v>47</v>
      </c>
      <c r="P386" s="7"/>
    </row>
    <row r="387" spans="1:16" x14ac:dyDescent="0.25">
      <c r="A387" s="14">
        <v>44964</v>
      </c>
      <c r="B387" s="14">
        <v>44964</v>
      </c>
      <c r="C387" s="6">
        <v>44964</v>
      </c>
      <c r="D387" s="6">
        <v>44964</v>
      </c>
      <c r="E387" s="6">
        <v>44966</v>
      </c>
      <c r="F387" s="115">
        <v>23471</v>
      </c>
      <c r="G387" s="8" t="s">
        <v>2415</v>
      </c>
      <c r="H387" s="8" t="s">
        <v>1535</v>
      </c>
      <c r="I387" s="8">
        <v>4616</v>
      </c>
      <c r="J387" s="8">
        <v>4920</v>
      </c>
      <c r="K387" s="9">
        <f>Tabla156798[[#This Row],[PRECIO CLIENTE]]-Tabla156798[[#This Row],[CANTIDAD PUBLICA]]</f>
        <v>304</v>
      </c>
      <c r="L387" s="10">
        <f>Tabla156798[[#This Row],[COMISION AGENCIA]]*0.05</f>
        <v>15.200000000000001</v>
      </c>
      <c r="M387" s="7"/>
      <c r="N387" s="7" t="s">
        <v>2416</v>
      </c>
      <c r="O387" s="7" t="s">
        <v>47</v>
      </c>
      <c r="P387" s="7"/>
    </row>
    <row r="388" spans="1:16" x14ac:dyDescent="0.25">
      <c r="A388" s="14">
        <v>44964</v>
      </c>
      <c r="B388" s="14">
        <v>44964</v>
      </c>
      <c r="C388" s="6">
        <v>44964</v>
      </c>
      <c r="D388" s="6">
        <v>44974</v>
      </c>
      <c r="E388" s="7"/>
      <c r="F388" s="115">
        <v>23486</v>
      </c>
      <c r="G388" s="8" t="s">
        <v>2417</v>
      </c>
      <c r="H388" s="8" t="s">
        <v>1541</v>
      </c>
      <c r="I388" s="8">
        <v>2596</v>
      </c>
      <c r="J388" s="8">
        <v>2820</v>
      </c>
      <c r="K388" s="9">
        <f>Tabla156798[[#This Row],[PRECIO CLIENTE]]-Tabla156798[[#This Row],[CANTIDAD PUBLICA]]</f>
        <v>224</v>
      </c>
      <c r="L388" s="10">
        <f>Tabla156798[[#This Row],[COMISION AGENCIA]]*0.05</f>
        <v>11.200000000000001</v>
      </c>
      <c r="M388" s="7"/>
      <c r="N388" s="7" t="s">
        <v>2418</v>
      </c>
      <c r="O388" s="7" t="s">
        <v>47</v>
      </c>
      <c r="P388" s="7"/>
    </row>
    <row r="389" spans="1:16" x14ac:dyDescent="0.25">
      <c r="A389" s="14">
        <v>44964</v>
      </c>
      <c r="B389" s="14">
        <v>44964</v>
      </c>
      <c r="C389" s="6">
        <v>44964</v>
      </c>
      <c r="D389" s="6">
        <v>44966</v>
      </c>
      <c r="E389" s="6">
        <v>44969</v>
      </c>
      <c r="F389" s="115" t="s">
        <v>2419</v>
      </c>
      <c r="G389" s="8" t="s">
        <v>2420</v>
      </c>
      <c r="H389" s="8" t="s">
        <v>1539</v>
      </c>
      <c r="I389" s="8">
        <v>2300</v>
      </c>
      <c r="J389" s="8">
        <v>2400</v>
      </c>
      <c r="K389" s="9">
        <f>(Tabla156798[[#This Row],[CANTIDAD PUBLICA]]*0.05)</f>
        <v>115</v>
      </c>
      <c r="L389" s="10">
        <f>Tabla156798[[#This Row],[COMISION AGENCIA]]*0.05</f>
        <v>5.75</v>
      </c>
      <c r="M389" s="7"/>
      <c r="N389" s="7"/>
      <c r="O389" s="7"/>
      <c r="P389" s="7"/>
    </row>
    <row r="390" spans="1:16" x14ac:dyDescent="0.25">
      <c r="A390" s="14">
        <v>44964</v>
      </c>
      <c r="B390" s="14">
        <v>44964</v>
      </c>
      <c r="C390" s="6">
        <v>44964</v>
      </c>
      <c r="D390" s="6">
        <v>45082</v>
      </c>
      <c r="E390" s="6">
        <v>45086</v>
      </c>
      <c r="F390" s="115" t="s">
        <v>2421</v>
      </c>
      <c r="G390" s="8" t="s">
        <v>2422</v>
      </c>
      <c r="H390" s="8" t="s">
        <v>2423</v>
      </c>
      <c r="I390" s="8">
        <v>27480</v>
      </c>
      <c r="J390" s="8">
        <v>28560</v>
      </c>
      <c r="K390" s="9">
        <f>Tabla156798[[#This Row],[PRECIO CLIENTE]]-Tabla156798[[#This Row],[CANTIDAD PUBLICA]]</f>
        <v>1080</v>
      </c>
      <c r="L390" s="10">
        <f>Tabla156798[[#This Row],[COMISION AGENCIA]]*0.05</f>
        <v>54</v>
      </c>
      <c r="M390" s="7">
        <v>3481083785</v>
      </c>
      <c r="N390" s="7" t="s">
        <v>2424</v>
      </c>
      <c r="O390" s="7" t="s">
        <v>86</v>
      </c>
      <c r="P390" s="7"/>
    </row>
    <row r="391" spans="1:16" x14ac:dyDescent="0.25">
      <c r="A391" s="14">
        <v>44965</v>
      </c>
      <c r="B391" s="14">
        <v>44965</v>
      </c>
      <c r="C391" s="6">
        <v>44965</v>
      </c>
      <c r="D391" s="6">
        <v>44969</v>
      </c>
      <c r="E391" s="7"/>
      <c r="F391" s="115">
        <v>23494</v>
      </c>
      <c r="G391" s="8" t="s">
        <v>2425</v>
      </c>
      <c r="H391" s="8" t="s">
        <v>1532</v>
      </c>
      <c r="I391" s="8">
        <v>7259</v>
      </c>
      <c r="J391" s="8">
        <v>7410</v>
      </c>
      <c r="K391" s="9">
        <f>Tabla156798[[#This Row],[PRECIO CLIENTE]]-Tabla156798[[#This Row],[CANTIDAD PUBLICA]]</f>
        <v>151</v>
      </c>
      <c r="L391" s="10">
        <f>Tabla156798[[#This Row],[COMISION AGENCIA]]*0.05</f>
        <v>7.5500000000000007</v>
      </c>
      <c r="M391" s="7"/>
      <c r="N391" s="7" t="s">
        <v>2426</v>
      </c>
      <c r="O391" s="7" t="s">
        <v>86</v>
      </c>
      <c r="P391" s="7"/>
    </row>
    <row r="392" spans="1:16" x14ac:dyDescent="0.25">
      <c r="A392" s="14">
        <v>44965</v>
      </c>
      <c r="B392" s="14">
        <v>44965</v>
      </c>
      <c r="C392" s="6">
        <v>44965</v>
      </c>
      <c r="D392" s="6">
        <v>45036</v>
      </c>
      <c r="E392" s="6">
        <v>45047</v>
      </c>
      <c r="F392" s="115">
        <v>23507</v>
      </c>
      <c r="G392" s="8" t="s">
        <v>2427</v>
      </c>
      <c r="H392" s="8" t="s">
        <v>1821</v>
      </c>
      <c r="I392" s="8">
        <v>27773</v>
      </c>
      <c r="J392" s="8">
        <v>30275</v>
      </c>
      <c r="K392" s="9">
        <f>Tabla156798[[#This Row],[PRECIO CLIENTE]]-Tabla156798[[#This Row],[CANTIDAD PUBLICA]]</f>
        <v>2502</v>
      </c>
      <c r="L392" s="10">
        <f>Tabla156798[[#This Row],[COMISION AGENCIA]]*0.05</f>
        <v>125.10000000000001</v>
      </c>
      <c r="M392" s="7"/>
      <c r="N392" s="7" t="s">
        <v>2428</v>
      </c>
      <c r="O392" s="7" t="s">
        <v>47</v>
      </c>
      <c r="P392" s="7"/>
    </row>
    <row r="393" spans="1:16" x14ac:dyDescent="0.25">
      <c r="A393" s="14">
        <v>44965</v>
      </c>
      <c r="B393" s="14">
        <v>44965</v>
      </c>
      <c r="C393" s="6">
        <v>44965</v>
      </c>
      <c r="D393" s="6">
        <v>45222</v>
      </c>
      <c r="E393" s="6">
        <v>45227</v>
      </c>
      <c r="F393" s="115">
        <v>23505</v>
      </c>
      <c r="G393" s="8" t="s">
        <v>2429</v>
      </c>
      <c r="H393" s="8" t="s">
        <v>1290</v>
      </c>
      <c r="I393" s="8">
        <v>4752</v>
      </c>
      <c r="J393" s="8">
        <v>5660</v>
      </c>
      <c r="K393" s="9">
        <f>Tabla156798[[#This Row],[PRECIO CLIENTE]]-Tabla156798[[#This Row],[CANTIDAD PUBLICA]]</f>
        <v>908</v>
      </c>
      <c r="L393" s="10">
        <f>Tabla156798[[#This Row],[COMISION AGENCIA]]*0.05</f>
        <v>45.400000000000006</v>
      </c>
      <c r="M393" s="7"/>
      <c r="N393" s="7" t="s">
        <v>2430</v>
      </c>
      <c r="O393" s="7" t="s">
        <v>47</v>
      </c>
      <c r="P393" s="7"/>
    </row>
    <row r="394" spans="1:16" x14ac:dyDescent="0.25">
      <c r="A394" s="14">
        <v>44966</v>
      </c>
      <c r="B394" s="14">
        <v>44966</v>
      </c>
      <c r="C394" s="6">
        <v>44966</v>
      </c>
      <c r="D394" s="6">
        <v>44968</v>
      </c>
      <c r="E394" s="7"/>
      <c r="F394" s="115">
        <v>23508</v>
      </c>
      <c r="G394" s="8" t="s">
        <v>2431</v>
      </c>
      <c r="H394" s="8" t="s">
        <v>2253</v>
      </c>
      <c r="I394" s="8">
        <v>3278</v>
      </c>
      <c r="J394" s="8">
        <v>3620</v>
      </c>
      <c r="K394" s="9">
        <f>Tabla156798[[#This Row],[PRECIO CLIENTE]]-Tabla156798[[#This Row],[CANTIDAD PUBLICA]]</f>
        <v>342</v>
      </c>
      <c r="L394" s="10">
        <f>Tabla156798[[#This Row],[COMISION AGENCIA]]*0.05</f>
        <v>17.100000000000001</v>
      </c>
      <c r="M394" s="7"/>
      <c r="N394" s="7" t="s">
        <v>2432</v>
      </c>
      <c r="O394" s="7" t="s">
        <v>47</v>
      </c>
      <c r="P394" s="7"/>
    </row>
    <row r="395" spans="1:16" x14ac:dyDescent="0.25">
      <c r="A395" s="14">
        <v>44966</v>
      </c>
      <c r="B395" s="14">
        <v>44966</v>
      </c>
      <c r="C395" s="6">
        <v>44966</v>
      </c>
      <c r="D395" s="6">
        <v>44998</v>
      </c>
      <c r="E395" s="6">
        <v>45053</v>
      </c>
      <c r="F395" s="115">
        <v>23516</v>
      </c>
      <c r="G395" s="8" t="s">
        <v>2433</v>
      </c>
      <c r="H395" s="8" t="s">
        <v>1541</v>
      </c>
      <c r="I395" s="8">
        <v>11924</v>
      </c>
      <c r="J395" s="8">
        <v>13090</v>
      </c>
      <c r="K395" s="9">
        <f>Tabla156798[[#This Row],[PRECIO CLIENTE]]-Tabla156798[[#This Row],[CANTIDAD PUBLICA]]</f>
        <v>1166</v>
      </c>
      <c r="L395" s="10">
        <f>Tabla156798[[#This Row],[COMISION AGENCIA]]*0.05</f>
        <v>58.300000000000004</v>
      </c>
      <c r="M395" s="7"/>
      <c r="N395" s="7" t="s">
        <v>2434</v>
      </c>
      <c r="O395" s="7" t="s">
        <v>47</v>
      </c>
      <c r="P395" s="7"/>
    </row>
    <row r="396" spans="1:16" x14ac:dyDescent="0.25">
      <c r="A396" s="14">
        <f>Tabla156798[[#This Row],[FECHA IN]]-15</f>
        <v>44967</v>
      </c>
      <c r="B396" s="14">
        <v>44970</v>
      </c>
      <c r="C396" s="6">
        <v>44886</v>
      </c>
      <c r="D396" s="6">
        <v>44982</v>
      </c>
      <c r="E396" s="6">
        <v>44985</v>
      </c>
      <c r="F396" s="115" t="s">
        <v>2435</v>
      </c>
      <c r="G396" s="8" t="s">
        <v>2436</v>
      </c>
      <c r="H396" s="8" t="s">
        <v>2437</v>
      </c>
      <c r="I396" s="8">
        <v>11623.2</v>
      </c>
      <c r="J396" s="8">
        <v>10115</v>
      </c>
      <c r="K396" s="9">
        <f>Tabla156798[[#This Row],[CANTIDAD PUBLICA]]*0.05</f>
        <v>581.16000000000008</v>
      </c>
      <c r="L396" s="10">
        <f>Tabla156798[[#This Row],[COMISION AGENCIA]]*0.05</f>
        <v>29.058000000000007</v>
      </c>
      <c r="M396" s="7">
        <v>3481097969</v>
      </c>
      <c r="N396" s="7" t="s">
        <v>2438</v>
      </c>
      <c r="O396" s="7" t="s">
        <v>6</v>
      </c>
      <c r="P396" s="7"/>
    </row>
    <row r="397" spans="1:16" x14ac:dyDescent="0.25">
      <c r="A397" s="14">
        <f>Tabla156798[[#This Row],[FECHA IN]]-15</f>
        <v>44967</v>
      </c>
      <c r="B397" s="14">
        <v>44970</v>
      </c>
      <c r="C397" s="6">
        <v>44935</v>
      </c>
      <c r="D397" s="6">
        <v>44982</v>
      </c>
      <c r="E397" s="6">
        <v>44985</v>
      </c>
      <c r="F397" s="115" t="s">
        <v>2439</v>
      </c>
      <c r="G397" s="8" t="s">
        <v>1366</v>
      </c>
      <c r="H397" s="8" t="s">
        <v>2437</v>
      </c>
      <c r="I397" s="8">
        <v>12004.2</v>
      </c>
      <c r="J397" s="8">
        <v>10445</v>
      </c>
      <c r="K397" s="9">
        <f>Tabla156798[[#This Row],[CANTIDAD PUBLICA]]*0.05</f>
        <v>600.21</v>
      </c>
      <c r="L397" s="10">
        <f>Tabla156798[[#This Row],[COMISION AGENCIA]]*0.05</f>
        <v>30.010500000000004</v>
      </c>
      <c r="M397" s="7">
        <v>3481028733</v>
      </c>
      <c r="N397" s="7" t="s">
        <v>2440</v>
      </c>
      <c r="O397" s="7" t="s">
        <v>6</v>
      </c>
      <c r="P397" s="7"/>
    </row>
    <row r="398" spans="1:16" x14ac:dyDescent="0.25">
      <c r="A398" s="14">
        <v>44967</v>
      </c>
      <c r="B398" s="14">
        <v>44967</v>
      </c>
      <c r="C398" s="6">
        <v>44967</v>
      </c>
      <c r="D398" s="6">
        <v>44987</v>
      </c>
      <c r="E398" s="7"/>
      <c r="F398" s="115">
        <v>23521</v>
      </c>
      <c r="G398" s="8" t="s">
        <v>2441</v>
      </c>
      <c r="H398" s="8" t="s">
        <v>1544</v>
      </c>
      <c r="I398" s="8">
        <v>5028</v>
      </c>
      <c r="J398" s="8">
        <v>5720</v>
      </c>
      <c r="K398" s="9">
        <f>Tabla156798[[#This Row],[PRECIO CLIENTE]]-Tabla156798[[#This Row],[CANTIDAD PUBLICA]]</f>
        <v>692</v>
      </c>
      <c r="L398" s="10">
        <f>Tabla156798[[#This Row],[COMISION AGENCIA]]*0.05</f>
        <v>34.6</v>
      </c>
      <c r="M398" s="7"/>
      <c r="N398" s="7" t="s">
        <v>2442</v>
      </c>
      <c r="O398" s="7" t="s">
        <v>47</v>
      </c>
      <c r="P398" s="7"/>
    </row>
    <row r="399" spans="1:16" x14ac:dyDescent="0.25">
      <c r="A399" s="14">
        <f>Tabla156798[[#This Row],[FECHA IN]]-15</f>
        <v>44969</v>
      </c>
      <c r="B399" s="14">
        <v>44970</v>
      </c>
      <c r="C399" s="6">
        <v>44963</v>
      </c>
      <c r="D399" s="6">
        <v>44984</v>
      </c>
      <c r="E399" s="6">
        <v>44987</v>
      </c>
      <c r="F399" s="115">
        <v>23460</v>
      </c>
      <c r="G399" s="8" t="s">
        <v>2395</v>
      </c>
      <c r="H399" s="8" t="s">
        <v>2443</v>
      </c>
      <c r="I399" s="8">
        <v>5581.54</v>
      </c>
      <c r="J399" s="8">
        <v>5025</v>
      </c>
      <c r="K399" s="9">
        <f>Tabla156798[[#This Row],[CANTIDAD PUBLICA]]*0.05</f>
        <v>279.077</v>
      </c>
      <c r="L399" s="10">
        <f>Tabla156798[[#This Row],[COMISION AGENCIA]]*0.05</f>
        <v>13.953850000000001</v>
      </c>
      <c r="M399" s="7"/>
      <c r="N399" s="7">
        <v>10428703</v>
      </c>
      <c r="O399" s="7" t="s">
        <v>5</v>
      </c>
      <c r="P399" s="7"/>
    </row>
    <row r="400" spans="1:16" x14ac:dyDescent="0.25">
      <c r="A400" s="14">
        <v>44969</v>
      </c>
      <c r="B400" s="14">
        <v>44969</v>
      </c>
      <c r="C400" s="6">
        <v>44969</v>
      </c>
      <c r="D400" s="6">
        <v>44981</v>
      </c>
      <c r="E400" s="6">
        <v>44984</v>
      </c>
      <c r="F400" s="115">
        <v>23559</v>
      </c>
      <c r="G400" s="8" t="s">
        <v>1543</v>
      </c>
      <c r="H400" s="8" t="s">
        <v>1637</v>
      </c>
      <c r="I400" s="8">
        <v>8182</v>
      </c>
      <c r="J400" s="8">
        <v>8900</v>
      </c>
      <c r="K400" s="9">
        <f>Tabla156798[[#This Row],[PRECIO CLIENTE]]-Tabla156798[[#This Row],[CANTIDAD PUBLICA]]</f>
        <v>718</v>
      </c>
      <c r="L400" s="10">
        <f>Tabla156798[[#This Row],[COMISION AGENCIA]]*0.05</f>
        <v>35.9</v>
      </c>
      <c r="M400" s="7"/>
      <c r="N400" s="7" t="s">
        <v>2444</v>
      </c>
      <c r="O400" s="7" t="s">
        <v>47</v>
      </c>
      <c r="P400" s="7"/>
    </row>
    <row r="401" spans="1:16" x14ac:dyDescent="0.25">
      <c r="A401" s="14">
        <v>44970</v>
      </c>
      <c r="B401" s="14">
        <v>44970</v>
      </c>
      <c r="C401" s="6">
        <v>44970</v>
      </c>
      <c r="D401" s="6">
        <v>45057</v>
      </c>
      <c r="E401" s="6">
        <v>45064</v>
      </c>
      <c r="F401" s="115">
        <v>23544</v>
      </c>
      <c r="G401" s="8" t="s">
        <v>1759</v>
      </c>
      <c r="H401" s="8" t="s">
        <v>1625</v>
      </c>
      <c r="I401" s="8">
        <v>6348</v>
      </c>
      <c r="J401" s="8">
        <v>7580</v>
      </c>
      <c r="K401" s="9">
        <f>Tabla156798[[#This Row],[PRECIO CLIENTE]]-Tabla156798[[#This Row],[CANTIDAD PUBLICA]]</f>
        <v>1232</v>
      </c>
      <c r="L401" s="10">
        <f>Tabla156798[[#This Row],[COMISION AGENCIA]]*0.05</f>
        <v>61.6</v>
      </c>
      <c r="M401" s="7"/>
      <c r="N401" s="7" t="s">
        <v>2445</v>
      </c>
      <c r="O401" s="7" t="s">
        <v>47</v>
      </c>
      <c r="P401" s="7"/>
    </row>
    <row r="402" spans="1:16" x14ac:dyDescent="0.25">
      <c r="A402" s="14">
        <v>44970</v>
      </c>
      <c r="B402" s="14">
        <v>44970</v>
      </c>
      <c r="C402" s="6">
        <v>44970</v>
      </c>
      <c r="D402" s="6">
        <v>44982</v>
      </c>
      <c r="E402" s="6">
        <v>44988</v>
      </c>
      <c r="F402" s="115">
        <v>23551</v>
      </c>
      <c r="G402" s="8" t="s">
        <v>2446</v>
      </c>
      <c r="H402" s="8" t="s">
        <v>1544</v>
      </c>
      <c r="I402" s="8">
        <v>3653</v>
      </c>
      <c r="J402" s="8">
        <v>3995</v>
      </c>
      <c r="K402" s="9">
        <f>Tabla156798[[#This Row],[PRECIO CLIENTE]]-Tabla156798[[#This Row],[CANTIDAD PUBLICA]]</f>
        <v>342</v>
      </c>
      <c r="L402" s="10">
        <f>Tabla156798[[#This Row],[COMISION AGENCIA]]*0.05</f>
        <v>17.100000000000001</v>
      </c>
      <c r="M402" s="7"/>
      <c r="N402" s="7" t="s">
        <v>2447</v>
      </c>
      <c r="O402" s="7" t="s">
        <v>47</v>
      </c>
      <c r="P402" s="7"/>
    </row>
    <row r="403" spans="1:16" x14ac:dyDescent="0.25">
      <c r="A403" s="14">
        <v>44970</v>
      </c>
      <c r="B403" s="14">
        <v>44970</v>
      </c>
      <c r="C403" s="6">
        <v>44970</v>
      </c>
      <c r="D403" s="6">
        <v>44989</v>
      </c>
      <c r="E403" s="7"/>
      <c r="F403" s="115">
        <v>23552</v>
      </c>
      <c r="G403" s="8" t="s">
        <v>2448</v>
      </c>
      <c r="H403" s="8" t="s">
        <v>2449</v>
      </c>
      <c r="I403" s="8">
        <v>1744</v>
      </c>
      <c r="J403" s="8">
        <v>2100</v>
      </c>
      <c r="K403" s="9">
        <f>Tabla156798[[#This Row],[PRECIO CLIENTE]]-Tabla156798[[#This Row],[CANTIDAD PUBLICA]]</f>
        <v>356</v>
      </c>
      <c r="L403" s="10">
        <f>Tabla156798[[#This Row],[COMISION AGENCIA]]*0.05</f>
        <v>17.8</v>
      </c>
      <c r="M403" s="7"/>
      <c r="N403" s="7" t="s">
        <v>2450</v>
      </c>
      <c r="O403" s="7" t="s">
        <v>47</v>
      </c>
      <c r="P403" s="7"/>
    </row>
    <row r="404" spans="1:16" x14ac:dyDescent="0.25">
      <c r="A404" s="14">
        <v>44971</v>
      </c>
      <c r="B404" s="14">
        <v>44971</v>
      </c>
      <c r="C404" s="6">
        <v>44971</v>
      </c>
      <c r="D404" s="6">
        <v>45031</v>
      </c>
      <c r="E404" s="7"/>
      <c r="F404" s="115">
        <v>23564</v>
      </c>
      <c r="G404" s="8" t="s">
        <v>2451</v>
      </c>
      <c r="H404" s="8" t="s">
        <v>1532</v>
      </c>
      <c r="I404" s="8">
        <v>3148</v>
      </c>
      <c r="J404" s="8">
        <v>3500</v>
      </c>
      <c r="K404" s="9">
        <f>Tabla156798[[#This Row],[PRECIO CLIENTE]]-Tabla156798[[#This Row],[CANTIDAD PUBLICA]]</f>
        <v>352</v>
      </c>
      <c r="L404" s="10">
        <f>Tabla156798[[#This Row],[COMISION AGENCIA]]*0.05</f>
        <v>17.600000000000001</v>
      </c>
      <c r="M404" s="7"/>
      <c r="N404" s="7" t="s">
        <v>2452</v>
      </c>
      <c r="O404" s="7" t="s">
        <v>47</v>
      </c>
      <c r="P404" s="7"/>
    </row>
    <row r="405" spans="1:16" x14ac:dyDescent="0.25">
      <c r="A405" s="14">
        <v>44971</v>
      </c>
      <c r="B405" s="14">
        <v>44971</v>
      </c>
      <c r="C405" s="6">
        <v>44971</v>
      </c>
      <c r="D405" s="6">
        <v>44983</v>
      </c>
      <c r="E405" s="7"/>
      <c r="F405" s="115">
        <v>23575</v>
      </c>
      <c r="G405" s="8" t="s">
        <v>2453</v>
      </c>
      <c r="H405" s="8" t="s">
        <v>1938</v>
      </c>
      <c r="I405" s="8">
        <v>2544</v>
      </c>
      <c r="J405" s="8">
        <v>3280</v>
      </c>
      <c r="K405" s="9">
        <f>Tabla156798[[#This Row],[PRECIO CLIENTE]]-Tabla156798[[#This Row],[CANTIDAD PUBLICA]]</f>
        <v>736</v>
      </c>
      <c r="L405" s="10">
        <f>Tabla156798[[#This Row],[COMISION AGENCIA]]*0.05</f>
        <v>36.800000000000004</v>
      </c>
      <c r="M405" s="7"/>
      <c r="N405" s="7" t="s">
        <v>2454</v>
      </c>
      <c r="O405" s="7" t="s">
        <v>47</v>
      </c>
      <c r="P405" s="7"/>
    </row>
    <row r="406" spans="1:16" x14ac:dyDescent="0.25">
      <c r="A406" s="14">
        <v>44971</v>
      </c>
      <c r="B406" s="14">
        <v>44971</v>
      </c>
      <c r="C406" s="6">
        <v>44971</v>
      </c>
      <c r="D406" s="6">
        <v>44981</v>
      </c>
      <c r="E406" s="7"/>
      <c r="F406" s="115">
        <v>23575</v>
      </c>
      <c r="G406" s="8" t="s">
        <v>2453</v>
      </c>
      <c r="H406" s="8" t="s">
        <v>2213</v>
      </c>
      <c r="I406" s="8">
        <v>1925</v>
      </c>
      <c r="J406" s="8">
        <v>2390</v>
      </c>
      <c r="K406" s="9">
        <f>Tabla156798[[#This Row],[PRECIO CLIENTE]]-Tabla156798[[#This Row],[CANTIDAD PUBLICA]]</f>
        <v>465</v>
      </c>
      <c r="L406" s="10">
        <f>Tabla156798[[#This Row],[COMISION AGENCIA]]*0.05</f>
        <v>23.25</v>
      </c>
      <c r="M406" s="7"/>
      <c r="N406" s="7" t="s">
        <v>2455</v>
      </c>
      <c r="O406" s="7" t="s">
        <v>47</v>
      </c>
      <c r="P406" s="7"/>
    </row>
    <row r="407" spans="1:16" x14ac:dyDescent="0.25">
      <c r="A407" s="14">
        <f>D407-15</f>
        <v>44972</v>
      </c>
      <c r="B407" s="14">
        <v>44937</v>
      </c>
      <c r="C407" s="6">
        <v>44933</v>
      </c>
      <c r="D407" s="6">
        <v>44987</v>
      </c>
      <c r="E407" s="6">
        <v>44990</v>
      </c>
      <c r="F407" s="115" t="s">
        <v>2456</v>
      </c>
      <c r="G407" s="7" t="s">
        <v>2274</v>
      </c>
      <c r="H407" s="8" t="s">
        <v>936</v>
      </c>
      <c r="I407" s="8">
        <v>16481.25</v>
      </c>
      <c r="J407" s="8">
        <v>14340</v>
      </c>
      <c r="K407" s="9">
        <f>Tabla156798[[#This Row],[CANTIDAD PUBLICA]]*0.05</f>
        <v>824.0625</v>
      </c>
      <c r="L407" s="10">
        <f>Tabla156798[[#This Row],[COMISION AGENCIA]]*0.05</f>
        <v>41.203125</v>
      </c>
      <c r="M407" s="7">
        <v>3487896540</v>
      </c>
      <c r="N407" s="7" t="s">
        <v>2457</v>
      </c>
      <c r="O407" s="7" t="s">
        <v>6</v>
      </c>
      <c r="P407" s="7"/>
    </row>
    <row r="408" spans="1:16" x14ac:dyDescent="0.25">
      <c r="A408" s="14">
        <f>D408-15</f>
        <v>44972</v>
      </c>
      <c r="B408" s="14">
        <v>44937</v>
      </c>
      <c r="C408" s="6">
        <v>44933</v>
      </c>
      <c r="D408" s="6">
        <v>44987</v>
      </c>
      <c r="E408" s="6">
        <v>44990</v>
      </c>
      <c r="F408" s="115" t="s">
        <v>2456</v>
      </c>
      <c r="G408" s="7" t="s">
        <v>2274</v>
      </c>
      <c r="H408" s="8" t="s">
        <v>2458</v>
      </c>
      <c r="I408" s="8">
        <v>630</v>
      </c>
      <c r="J408" s="8">
        <v>900</v>
      </c>
      <c r="K408" s="9">
        <f>Tabla156798[[#This Row],[PRECIO CLIENTE]]-Tabla156798[[#This Row],[CANTIDAD PUBLICA]]</f>
        <v>270</v>
      </c>
      <c r="L408" s="10">
        <f>Tabla156798[[#This Row],[COMISION AGENCIA]]*0.05</f>
        <v>13.5</v>
      </c>
      <c r="M408" s="7">
        <v>3487896540</v>
      </c>
      <c r="N408" s="7"/>
      <c r="O408" s="7"/>
      <c r="P408" s="7"/>
    </row>
    <row r="409" spans="1:16" x14ac:dyDescent="0.25">
      <c r="A409" s="14">
        <v>44972</v>
      </c>
      <c r="B409" s="14">
        <v>44972</v>
      </c>
      <c r="C409" s="6">
        <v>44972</v>
      </c>
      <c r="D409" s="6">
        <v>44985</v>
      </c>
      <c r="E409" s="6">
        <v>44962</v>
      </c>
      <c r="F409" s="115">
        <v>23571</v>
      </c>
      <c r="G409" s="8" t="s">
        <v>2459</v>
      </c>
      <c r="H409" s="8" t="s">
        <v>1833</v>
      </c>
      <c r="I409" s="8">
        <v>5493</v>
      </c>
      <c r="J409" s="8">
        <v>5895</v>
      </c>
      <c r="K409" s="9">
        <f>Tabla156798[[#This Row],[PRECIO CLIENTE]]-Tabla156798[[#This Row],[CANTIDAD PUBLICA]]</f>
        <v>402</v>
      </c>
      <c r="L409" s="10">
        <f>Tabla156798[[#This Row],[COMISION AGENCIA]]*0.05</f>
        <v>20.100000000000001</v>
      </c>
      <c r="M409" s="7"/>
      <c r="N409" s="7" t="s">
        <v>2460</v>
      </c>
      <c r="O409" s="7" t="s">
        <v>47</v>
      </c>
      <c r="P409" s="7"/>
    </row>
    <row r="410" spans="1:16" x14ac:dyDescent="0.25">
      <c r="A410" s="14">
        <v>44972</v>
      </c>
      <c r="B410" s="14">
        <v>44972</v>
      </c>
      <c r="C410" s="6">
        <v>44972</v>
      </c>
      <c r="D410" s="6">
        <v>44972</v>
      </c>
      <c r="E410" s="7"/>
      <c r="F410" s="115">
        <v>23573</v>
      </c>
      <c r="G410" s="8" t="s">
        <v>2461</v>
      </c>
      <c r="H410" s="8" t="s">
        <v>1788</v>
      </c>
      <c r="I410" s="8">
        <v>5643</v>
      </c>
      <c r="J410" s="8">
        <v>6430</v>
      </c>
      <c r="K410" s="9">
        <f>Tabla156798[[#This Row],[PRECIO CLIENTE]]-Tabla156798[[#This Row],[CANTIDAD PUBLICA]]</f>
        <v>787</v>
      </c>
      <c r="L410" s="10">
        <f>Tabla156798[[#This Row],[COMISION AGENCIA]]*0.05</f>
        <v>39.35</v>
      </c>
      <c r="M410" s="7"/>
      <c r="N410" s="7" t="s">
        <v>2462</v>
      </c>
      <c r="O410" s="7" t="s">
        <v>47</v>
      </c>
      <c r="P410" s="7"/>
    </row>
    <row r="411" spans="1:16" x14ac:dyDescent="0.25">
      <c r="A411" s="14">
        <v>44972</v>
      </c>
      <c r="B411" s="14">
        <v>44972</v>
      </c>
      <c r="C411" s="6">
        <v>44972</v>
      </c>
      <c r="D411" s="6">
        <v>44983</v>
      </c>
      <c r="E411" s="6">
        <v>44989</v>
      </c>
      <c r="F411" s="115">
        <v>23579</v>
      </c>
      <c r="G411" s="8" t="s">
        <v>2463</v>
      </c>
      <c r="H411" s="8" t="s">
        <v>1290</v>
      </c>
      <c r="I411" s="8">
        <v>5586</v>
      </c>
      <c r="J411" s="8">
        <v>6640</v>
      </c>
      <c r="K411" s="9">
        <f>Tabla156798[[#This Row],[PRECIO CLIENTE]]-Tabla156798[[#This Row],[CANTIDAD PUBLICA]]</f>
        <v>1054</v>
      </c>
      <c r="L411" s="10">
        <f>Tabla156798[[#This Row],[COMISION AGENCIA]]*0.05</f>
        <v>52.7</v>
      </c>
      <c r="M411" s="7"/>
      <c r="N411" s="7" t="s">
        <v>2464</v>
      </c>
      <c r="O411" s="7" t="s">
        <v>47</v>
      </c>
      <c r="P411" s="7"/>
    </row>
    <row r="412" spans="1:16" x14ac:dyDescent="0.25">
      <c r="A412" s="14">
        <v>44972</v>
      </c>
      <c r="B412" s="14">
        <v>44972</v>
      </c>
      <c r="C412" s="6">
        <v>44972</v>
      </c>
      <c r="D412" s="6">
        <v>44976</v>
      </c>
      <c r="E412" s="7"/>
      <c r="F412" s="115">
        <v>23589</v>
      </c>
      <c r="G412" s="8" t="s">
        <v>2465</v>
      </c>
      <c r="H412" s="8" t="s">
        <v>2466</v>
      </c>
      <c r="I412" s="8">
        <v>9038</v>
      </c>
      <c r="J412" s="8">
        <v>9240</v>
      </c>
      <c r="K412" s="9">
        <f>Tabla156798[[#This Row],[PRECIO CLIENTE]]-Tabla156798[[#This Row],[CANTIDAD PUBLICA]]</f>
        <v>202</v>
      </c>
      <c r="L412" s="10">
        <f>Tabla156798[[#This Row],[COMISION AGENCIA]]*0.05</f>
        <v>10.100000000000001</v>
      </c>
      <c r="M412" s="7">
        <v>3781867137</v>
      </c>
      <c r="N412" s="7" t="s">
        <v>2467</v>
      </c>
      <c r="O412" s="7" t="s">
        <v>2115</v>
      </c>
      <c r="P412" s="7"/>
    </row>
    <row r="413" spans="1:16" x14ac:dyDescent="0.25">
      <c r="A413" s="14">
        <v>44972</v>
      </c>
      <c r="B413" s="14" t="s">
        <v>2468</v>
      </c>
      <c r="C413" s="6">
        <v>44972</v>
      </c>
      <c r="D413" s="6">
        <v>44983</v>
      </c>
      <c r="E413" s="6">
        <v>44989</v>
      </c>
      <c r="F413" s="115" t="s">
        <v>2469</v>
      </c>
      <c r="G413" s="8" t="s">
        <v>2470</v>
      </c>
      <c r="H413" s="8" t="s">
        <v>2471</v>
      </c>
      <c r="I413" s="8">
        <v>12322.2</v>
      </c>
      <c r="J413" s="8">
        <v>11090</v>
      </c>
      <c r="K413" s="9">
        <f>Tabla156798[[#This Row],[CANTIDAD PUBLICA]]*0.05</f>
        <v>616.11000000000013</v>
      </c>
      <c r="L413" s="10">
        <f>Tabla156798[[#This Row],[COMISION AGENCIA]]*0.05</f>
        <v>30.805500000000009</v>
      </c>
      <c r="M413" s="7">
        <v>3481494891</v>
      </c>
      <c r="N413" s="7">
        <v>42048039</v>
      </c>
      <c r="O413" s="7" t="s">
        <v>5</v>
      </c>
      <c r="P413" s="7"/>
    </row>
    <row r="414" spans="1:16" s="4" customFormat="1" x14ac:dyDescent="0.25">
      <c r="A414" s="14">
        <v>44972</v>
      </c>
      <c r="B414" s="14">
        <v>44975</v>
      </c>
      <c r="C414" s="6">
        <v>44972</v>
      </c>
      <c r="D414" s="6">
        <v>44984</v>
      </c>
      <c r="E414" s="6">
        <v>44987</v>
      </c>
      <c r="F414" s="115">
        <v>23604</v>
      </c>
      <c r="G414" s="8" t="s">
        <v>2472</v>
      </c>
      <c r="H414" s="8" t="s">
        <v>2181</v>
      </c>
      <c r="I414" s="8">
        <v>14902.31</v>
      </c>
      <c r="J414" s="8">
        <v>12675</v>
      </c>
      <c r="K414" s="9">
        <f>Tabla156798[[#This Row],[CANTIDAD PUBLICA]]*0.05</f>
        <v>745.1155</v>
      </c>
      <c r="L414" s="10">
        <f>Tabla156798[[#This Row],[COMISION AGENCIA]]*0.05</f>
        <v>37.255775</v>
      </c>
      <c r="M414" s="7">
        <v>3311559702</v>
      </c>
      <c r="N414" s="7" t="s">
        <v>2473</v>
      </c>
      <c r="O414" s="7" t="s">
        <v>6</v>
      </c>
      <c r="P414" s="7"/>
    </row>
    <row r="415" spans="1:16" s="4" customFormat="1" x14ac:dyDescent="0.25">
      <c r="A415" s="14">
        <v>44973</v>
      </c>
      <c r="B415" s="14">
        <v>44973</v>
      </c>
      <c r="C415" s="6">
        <v>44973</v>
      </c>
      <c r="D415" s="6">
        <v>45017</v>
      </c>
      <c r="E415" s="6">
        <v>44935</v>
      </c>
      <c r="F415" s="115">
        <v>23594</v>
      </c>
      <c r="G415" s="8" t="s">
        <v>2007</v>
      </c>
      <c r="H415" s="8" t="s">
        <v>1637</v>
      </c>
      <c r="I415" s="8">
        <v>5493</v>
      </c>
      <c r="J415" s="8">
        <v>5895</v>
      </c>
      <c r="K415" s="9">
        <f>Tabla156798[[#This Row],[PRECIO CLIENTE]]-Tabla156798[[#This Row],[CANTIDAD PUBLICA]]</f>
        <v>402</v>
      </c>
      <c r="L415" s="10">
        <f>Tabla156798[[#This Row],[COMISION AGENCIA]]*0.05</f>
        <v>20.100000000000001</v>
      </c>
      <c r="M415" s="7"/>
      <c r="N415" s="7" t="s">
        <v>2474</v>
      </c>
      <c r="O415" s="7" t="s">
        <v>47</v>
      </c>
      <c r="P415" s="7"/>
    </row>
    <row r="416" spans="1:16" x14ac:dyDescent="0.25">
      <c r="A416" s="14">
        <v>44974</v>
      </c>
      <c r="B416" s="14">
        <v>44974</v>
      </c>
      <c r="C416" s="6">
        <v>44974</v>
      </c>
      <c r="D416" s="6">
        <v>45002</v>
      </c>
      <c r="E416" s="6">
        <v>45005</v>
      </c>
      <c r="F416" s="115">
        <v>23612</v>
      </c>
      <c r="G416" s="8" t="s">
        <v>2475</v>
      </c>
      <c r="H416" s="8" t="s">
        <v>2476</v>
      </c>
      <c r="I416" s="8">
        <v>23376</v>
      </c>
      <c r="J416" s="8">
        <v>27360</v>
      </c>
      <c r="K416" s="9">
        <f>Tabla156798[[#This Row],[PRECIO CLIENTE]]-Tabla156798[[#This Row],[CANTIDAD PUBLICA]]</f>
        <v>3984</v>
      </c>
      <c r="L416" s="10">
        <f>Tabla156798[[#This Row],[COMISION AGENCIA]]*0.05</f>
        <v>199.20000000000002</v>
      </c>
      <c r="M416" s="7"/>
      <c r="N416" s="7" t="s">
        <v>2477</v>
      </c>
      <c r="O416" s="7" t="s">
        <v>47</v>
      </c>
      <c r="P416" s="7"/>
    </row>
    <row r="417" spans="1:16" x14ac:dyDescent="0.25">
      <c r="A417" s="14">
        <v>44974</v>
      </c>
      <c r="B417" s="14">
        <v>44974</v>
      </c>
      <c r="C417" s="6">
        <v>44974</v>
      </c>
      <c r="D417" s="6">
        <v>45026</v>
      </c>
      <c r="E417" s="6">
        <v>45035</v>
      </c>
      <c r="F417" s="115">
        <v>23611</v>
      </c>
      <c r="G417" s="8" t="s">
        <v>1728</v>
      </c>
      <c r="H417" s="8" t="s">
        <v>1637</v>
      </c>
      <c r="I417" s="8">
        <v>8564</v>
      </c>
      <c r="J417" s="8">
        <v>9260</v>
      </c>
      <c r="K417" s="9">
        <f>Tabla156798[[#This Row],[PRECIO CLIENTE]]-Tabla156798[[#This Row],[CANTIDAD PUBLICA]]</f>
        <v>696</v>
      </c>
      <c r="L417" s="10">
        <f>Tabla156798[[#This Row],[COMISION AGENCIA]]*0.05</f>
        <v>34.800000000000004</v>
      </c>
      <c r="M417" s="7"/>
      <c r="N417" s="7" t="s">
        <v>2478</v>
      </c>
      <c r="O417" s="7" t="s">
        <v>47</v>
      </c>
      <c r="P417" s="7"/>
    </row>
    <row r="418" spans="1:16" x14ac:dyDescent="0.25">
      <c r="A418" s="14">
        <v>44975</v>
      </c>
      <c r="B418" s="14">
        <v>44975</v>
      </c>
      <c r="C418" s="6">
        <v>44975</v>
      </c>
      <c r="D418" s="6">
        <v>44977</v>
      </c>
      <c r="E418" s="6">
        <v>44979</v>
      </c>
      <c r="F418" s="115">
        <v>23630</v>
      </c>
      <c r="G418" s="8" t="s">
        <v>2479</v>
      </c>
      <c r="H418" s="8" t="s">
        <v>2480</v>
      </c>
      <c r="I418" s="8">
        <v>15648.68</v>
      </c>
      <c r="J418" s="8">
        <v>13615</v>
      </c>
      <c r="K418" s="9">
        <f>Tabla156798[[#This Row],[CANTIDAD PUBLICA]]*0.05</f>
        <v>782.43400000000008</v>
      </c>
      <c r="L418" s="10">
        <f>Tabla156798[[#This Row],[COMISION AGENCIA]]*0.05</f>
        <v>39.121700000000004</v>
      </c>
      <c r="M418" s="7">
        <v>13132899706</v>
      </c>
      <c r="N418" s="7" t="s">
        <v>2481</v>
      </c>
      <c r="O418" s="7" t="s">
        <v>2482</v>
      </c>
      <c r="P418" s="7"/>
    </row>
    <row r="419" spans="1:16" x14ac:dyDescent="0.25">
      <c r="A419" s="14">
        <v>44975</v>
      </c>
      <c r="B419" s="14">
        <v>44975</v>
      </c>
      <c r="C419" s="6">
        <v>44975</v>
      </c>
      <c r="D419" s="6">
        <v>44977</v>
      </c>
      <c r="E419" s="6">
        <v>44979</v>
      </c>
      <c r="F419" s="115">
        <v>23630</v>
      </c>
      <c r="G419" s="8" t="s">
        <v>2479</v>
      </c>
      <c r="H419" s="8" t="s">
        <v>1539</v>
      </c>
      <c r="I419" s="8">
        <v>2400</v>
      </c>
      <c r="J419" s="8">
        <v>2400</v>
      </c>
      <c r="K419" s="9">
        <f>Tabla156798[[#This Row],[CANTIDAD PUBLICA]]*AGENTES!D10</f>
        <v>480</v>
      </c>
      <c r="L419" s="10">
        <f>Tabla156798[[#This Row],[COMISION AGENCIA]]*0.05</f>
        <v>24</v>
      </c>
      <c r="M419" s="7">
        <v>13132899706</v>
      </c>
      <c r="N419" s="7"/>
      <c r="O419" s="7" t="s">
        <v>12</v>
      </c>
      <c r="P419" s="7"/>
    </row>
    <row r="420" spans="1:16" x14ac:dyDescent="0.25">
      <c r="A420" s="14">
        <v>44977</v>
      </c>
      <c r="B420" s="14">
        <v>44977</v>
      </c>
      <c r="C420" s="6">
        <v>44977</v>
      </c>
      <c r="D420" s="7"/>
      <c r="E420" s="7"/>
      <c r="F420" s="115">
        <v>23656</v>
      </c>
      <c r="G420" s="8" t="s">
        <v>1660</v>
      </c>
      <c r="H420" s="8" t="s">
        <v>1661</v>
      </c>
      <c r="I420" s="8">
        <v>150</v>
      </c>
      <c r="J420" s="8">
        <v>150</v>
      </c>
      <c r="K420" s="9">
        <v>150</v>
      </c>
      <c r="L420" s="10">
        <f>Tabla156798[[#This Row],[COMISION AGENCIA]]*0.05</f>
        <v>7.5</v>
      </c>
      <c r="M420" s="7"/>
      <c r="N420" s="7"/>
      <c r="O420" s="7"/>
      <c r="P420" s="7"/>
    </row>
    <row r="421" spans="1:16" x14ac:dyDescent="0.25">
      <c r="A421" s="94">
        <f>Tabla156798[[#This Row],[FECHA IN]]-15</f>
        <v>44977</v>
      </c>
      <c r="B421" s="94">
        <v>44983</v>
      </c>
      <c r="C421" s="94">
        <v>44886</v>
      </c>
      <c r="D421" s="94">
        <v>44992</v>
      </c>
      <c r="E421" s="94">
        <v>44997</v>
      </c>
      <c r="F421" s="116">
        <v>22798</v>
      </c>
      <c r="G421" s="22" t="s">
        <v>2483</v>
      </c>
      <c r="H421" s="54" t="s">
        <v>2484</v>
      </c>
      <c r="I421" s="22"/>
      <c r="J421" s="22"/>
      <c r="K421" s="95">
        <f>Tabla156798[[#This Row],[CANTIDAD PUBLICA]]*0.05</f>
        <v>0</v>
      </c>
      <c r="L421" s="96">
        <f>Tabla156798[[#This Row],[COMISION AGENCIA]]*0.05</f>
        <v>0</v>
      </c>
      <c r="M421" s="54">
        <v>3481095616</v>
      </c>
      <c r="N421" s="54" t="s">
        <v>2485</v>
      </c>
      <c r="O421" s="54" t="s">
        <v>6</v>
      </c>
      <c r="P421" s="54" t="s">
        <v>2486</v>
      </c>
    </row>
    <row r="422" spans="1:16" x14ac:dyDescent="0.25">
      <c r="A422" s="94">
        <f>Tabla156798[[#This Row],[FECHA IN]]-15</f>
        <v>44977</v>
      </c>
      <c r="B422" s="94">
        <v>44983</v>
      </c>
      <c r="C422" s="94">
        <v>44886</v>
      </c>
      <c r="D422" s="94">
        <v>44992</v>
      </c>
      <c r="E422" s="94">
        <v>44997</v>
      </c>
      <c r="F422" s="116">
        <v>22798</v>
      </c>
      <c r="G422" s="22" t="s">
        <v>2483</v>
      </c>
      <c r="H422" s="22" t="s">
        <v>2487</v>
      </c>
      <c r="I422" s="22"/>
      <c r="J422" s="22"/>
      <c r="K422" s="95">
        <f>Tabla156798[[#This Row],[CANTIDAD PUBLICA]]*0.05</f>
        <v>0</v>
      </c>
      <c r="L422" s="96">
        <f>Tabla156798[[#This Row],[COMISION AGENCIA]]*0.05</f>
        <v>0</v>
      </c>
      <c r="M422" s="54">
        <v>3481095616</v>
      </c>
      <c r="N422" s="54"/>
      <c r="O422" s="54"/>
      <c r="P422" s="54"/>
    </row>
    <row r="423" spans="1:16" x14ac:dyDescent="0.25">
      <c r="A423" s="14">
        <v>44977</v>
      </c>
      <c r="B423" s="14">
        <v>44977</v>
      </c>
      <c r="C423" s="6">
        <v>44977</v>
      </c>
      <c r="D423" s="6">
        <v>44979</v>
      </c>
      <c r="E423" s="6">
        <v>44984</v>
      </c>
      <c r="F423" s="115">
        <v>23637</v>
      </c>
      <c r="G423" s="8" t="s">
        <v>2488</v>
      </c>
      <c r="H423" s="8" t="s">
        <v>1833</v>
      </c>
      <c r="I423" s="8">
        <v>5948</v>
      </c>
      <c r="J423" s="8">
        <v>6400</v>
      </c>
      <c r="K423" s="9">
        <f>Tabla156798[[#This Row],[PRECIO CLIENTE]]-Tabla156798[[#This Row],[CANTIDAD PUBLICA]]</f>
        <v>452</v>
      </c>
      <c r="L423" s="10">
        <f>Tabla156798[[#This Row],[COMISION AGENCIA]]*0.05</f>
        <v>22.6</v>
      </c>
      <c r="M423" s="7"/>
      <c r="N423" s="7" t="s">
        <v>2489</v>
      </c>
      <c r="O423" s="7" t="s">
        <v>47</v>
      </c>
      <c r="P423" s="7"/>
    </row>
    <row r="424" spans="1:16" x14ac:dyDescent="0.25">
      <c r="A424" s="14">
        <v>44977</v>
      </c>
      <c r="B424" s="14">
        <v>44977</v>
      </c>
      <c r="C424" s="6">
        <v>44977</v>
      </c>
      <c r="D424" s="6">
        <v>44984</v>
      </c>
      <c r="E424" s="7"/>
      <c r="F424" s="115">
        <v>23637</v>
      </c>
      <c r="G424" s="8" t="s">
        <v>2490</v>
      </c>
      <c r="H424" s="8" t="s">
        <v>1631</v>
      </c>
      <c r="I424" s="8">
        <v>2497</v>
      </c>
      <c r="J424" s="8">
        <v>2900</v>
      </c>
      <c r="K424" s="9">
        <f>Tabla156798[[#This Row],[PRECIO CLIENTE]]-Tabla156798[[#This Row],[CANTIDAD PUBLICA]]</f>
        <v>403</v>
      </c>
      <c r="L424" s="10">
        <f>Tabla156798[[#This Row],[COMISION AGENCIA]]*0.05</f>
        <v>20.150000000000002</v>
      </c>
      <c r="M424" s="7"/>
      <c r="N424" s="7" t="s">
        <v>2491</v>
      </c>
      <c r="O424" s="7" t="s">
        <v>47</v>
      </c>
      <c r="P424" s="7"/>
    </row>
    <row r="425" spans="1:16" x14ac:dyDescent="0.25">
      <c r="A425" s="14">
        <v>44977</v>
      </c>
      <c r="B425" s="14">
        <v>44977</v>
      </c>
      <c r="C425" s="6">
        <v>44977</v>
      </c>
      <c r="D425" s="6">
        <v>45033</v>
      </c>
      <c r="E425" s="6">
        <v>45040</v>
      </c>
      <c r="F425" s="115">
        <v>23641</v>
      </c>
      <c r="G425" s="8" t="s">
        <v>2492</v>
      </c>
      <c r="H425" s="8" t="s">
        <v>1833</v>
      </c>
      <c r="I425" s="8">
        <v>10342</v>
      </c>
      <c r="J425" s="8">
        <v>11010</v>
      </c>
      <c r="K425" s="9">
        <f>Tabla156798[[#This Row],[PRECIO CLIENTE]]-Tabla156798[[#This Row],[CANTIDAD PUBLICA]]</f>
        <v>668</v>
      </c>
      <c r="L425" s="10">
        <f>Tabla156798[[#This Row],[COMISION AGENCIA]]*0.05</f>
        <v>33.4</v>
      </c>
      <c r="M425" s="7"/>
      <c r="N425" s="7" t="s">
        <v>2493</v>
      </c>
      <c r="O425" s="7" t="s">
        <v>47</v>
      </c>
      <c r="P425" s="7"/>
    </row>
    <row r="426" spans="1:16" x14ac:dyDescent="0.25">
      <c r="A426" s="14">
        <v>44977</v>
      </c>
      <c r="B426" s="14">
        <v>44977</v>
      </c>
      <c r="C426" s="6">
        <v>44977</v>
      </c>
      <c r="D426" s="6">
        <v>44983</v>
      </c>
      <c r="E426" s="7"/>
      <c r="F426" s="115">
        <v>23651</v>
      </c>
      <c r="G426" s="8" t="s">
        <v>2494</v>
      </c>
      <c r="H426" s="8" t="s">
        <v>1837</v>
      </c>
      <c r="I426" s="8">
        <v>2185</v>
      </c>
      <c r="J426" s="8">
        <v>2575</v>
      </c>
      <c r="K426" s="9">
        <f>Tabla156798[[#This Row],[PRECIO CLIENTE]]-Tabla156798[[#This Row],[CANTIDAD PUBLICA]]</f>
        <v>390</v>
      </c>
      <c r="L426" s="10">
        <f>Tabla156798[[#This Row],[COMISION AGENCIA]]*0.05</f>
        <v>19.5</v>
      </c>
      <c r="M426" s="7"/>
      <c r="N426" s="7" t="s">
        <v>2495</v>
      </c>
      <c r="O426" s="7" t="s">
        <v>47</v>
      </c>
      <c r="P426" s="7"/>
    </row>
    <row r="427" spans="1:16" x14ac:dyDescent="0.25">
      <c r="A427" s="14">
        <v>44977</v>
      </c>
      <c r="B427" s="14">
        <v>44977</v>
      </c>
      <c r="C427" s="6">
        <v>44977</v>
      </c>
      <c r="D427" s="6">
        <v>45023</v>
      </c>
      <c r="E427" s="6">
        <v>45026</v>
      </c>
      <c r="F427" s="115">
        <v>23650</v>
      </c>
      <c r="G427" s="8" t="s">
        <v>2496</v>
      </c>
      <c r="H427" s="8" t="s">
        <v>1290</v>
      </c>
      <c r="I427" s="8">
        <v>8799</v>
      </c>
      <c r="J427" s="8">
        <v>10005</v>
      </c>
      <c r="K427" s="9">
        <f>Tabla156798[[#This Row],[PRECIO CLIENTE]]-Tabla156798[[#This Row],[CANTIDAD PUBLICA]]</f>
        <v>1206</v>
      </c>
      <c r="L427" s="10">
        <f>Tabla156798[[#This Row],[COMISION AGENCIA]]*0.05</f>
        <v>60.300000000000004</v>
      </c>
      <c r="M427" s="7"/>
      <c r="N427" s="7" t="s">
        <v>2497</v>
      </c>
      <c r="O427" s="7" t="s">
        <v>47</v>
      </c>
      <c r="P427" s="7"/>
    </row>
    <row r="428" spans="1:16" x14ac:dyDescent="0.25">
      <c r="A428" s="14">
        <v>44978</v>
      </c>
      <c r="B428" s="14">
        <v>44978</v>
      </c>
      <c r="C428" s="6">
        <v>44978</v>
      </c>
      <c r="D428" s="6">
        <v>44980</v>
      </c>
      <c r="E428" s="6">
        <v>44981</v>
      </c>
      <c r="F428" s="115">
        <v>23659</v>
      </c>
      <c r="G428" s="8" t="s">
        <v>2498</v>
      </c>
      <c r="H428" s="8" t="s">
        <v>2499</v>
      </c>
      <c r="I428" s="8">
        <v>10055</v>
      </c>
      <c r="J428" s="8">
        <v>11875</v>
      </c>
      <c r="K428" s="9">
        <f>Tabla156798[[#This Row],[PRECIO CLIENTE]]-Tabla156798[[#This Row],[CANTIDAD PUBLICA]]</f>
        <v>1820</v>
      </c>
      <c r="L428" s="10">
        <f>Tabla156798[[#This Row],[COMISION AGENCIA]]*0.05</f>
        <v>91</v>
      </c>
      <c r="M428" s="7"/>
      <c r="N428" s="7" t="s">
        <v>2500</v>
      </c>
      <c r="O428" s="7" t="s">
        <v>47</v>
      </c>
      <c r="P428" s="7"/>
    </row>
    <row r="429" spans="1:16" x14ac:dyDescent="0.25">
      <c r="A429" s="14">
        <v>44978</v>
      </c>
      <c r="B429" s="14">
        <v>44978</v>
      </c>
      <c r="C429" s="6">
        <v>44978</v>
      </c>
      <c r="D429" s="6">
        <v>44993</v>
      </c>
      <c r="E429" s="7"/>
      <c r="F429" s="115">
        <v>23660</v>
      </c>
      <c r="G429" s="8" t="s">
        <v>2501</v>
      </c>
      <c r="H429" s="8" t="s">
        <v>1979</v>
      </c>
      <c r="I429" s="8">
        <v>2750</v>
      </c>
      <c r="J429" s="8">
        <v>3075</v>
      </c>
      <c r="K429" s="9">
        <f>Tabla156798[[#This Row],[PRECIO CLIENTE]]-Tabla156798[[#This Row],[CANTIDAD PUBLICA]]</f>
        <v>325</v>
      </c>
      <c r="L429" s="10">
        <f>Tabla156798[[#This Row],[COMISION AGENCIA]]*0.05</f>
        <v>16.25</v>
      </c>
      <c r="M429" s="7"/>
      <c r="N429" s="7" t="s">
        <v>2502</v>
      </c>
      <c r="O429" s="7" t="s">
        <v>47</v>
      </c>
      <c r="P429" s="7"/>
    </row>
    <row r="430" spans="1:16" x14ac:dyDescent="0.25">
      <c r="A430" s="14">
        <v>44978</v>
      </c>
      <c r="B430" s="14">
        <v>44978</v>
      </c>
      <c r="C430" s="6">
        <v>44978</v>
      </c>
      <c r="D430" s="6">
        <v>45102</v>
      </c>
      <c r="E430" s="6">
        <v>45144</v>
      </c>
      <c r="F430" s="115">
        <v>23664</v>
      </c>
      <c r="G430" s="8" t="s">
        <v>2503</v>
      </c>
      <c r="H430" s="8" t="s">
        <v>1541</v>
      </c>
      <c r="I430" s="8">
        <v>7306</v>
      </c>
      <c r="J430" s="8">
        <v>7805</v>
      </c>
      <c r="K430" s="9">
        <f>Tabla156798[[#This Row],[PRECIO CLIENTE]]-Tabla156798[[#This Row],[CANTIDAD PUBLICA]]</f>
        <v>499</v>
      </c>
      <c r="L430" s="10">
        <f>Tabla156798[[#This Row],[COMISION AGENCIA]]*0.05</f>
        <v>24.950000000000003</v>
      </c>
      <c r="M430" s="7"/>
      <c r="N430" s="7" t="s">
        <v>2504</v>
      </c>
      <c r="O430" s="7" t="s">
        <v>47</v>
      </c>
      <c r="P430" s="7"/>
    </row>
    <row r="431" spans="1:16" x14ac:dyDescent="0.25">
      <c r="A431" s="14">
        <v>44978</v>
      </c>
      <c r="B431" s="14">
        <v>44978</v>
      </c>
      <c r="C431" s="6">
        <v>44978</v>
      </c>
      <c r="D431" s="6">
        <v>44989</v>
      </c>
      <c r="E431" s="6">
        <v>44993</v>
      </c>
      <c r="F431" s="115">
        <v>23667</v>
      </c>
      <c r="G431" s="8" t="s">
        <v>2505</v>
      </c>
      <c r="H431" s="8" t="s">
        <v>1654</v>
      </c>
      <c r="I431" s="8">
        <v>3774</v>
      </c>
      <c r="J431" s="8">
        <v>4280</v>
      </c>
      <c r="K431" s="9">
        <f>Tabla156798[[#This Row],[PRECIO CLIENTE]]-Tabla156798[[#This Row],[CANTIDAD PUBLICA]]</f>
        <v>506</v>
      </c>
      <c r="L431" s="10">
        <f>Tabla156798[[#This Row],[COMISION AGENCIA]]*0.05</f>
        <v>25.3</v>
      </c>
      <c r="M431" s="7"/>
      <c r="N431" s="7" t="s">
        <v>2506</v>
      </c>
      <c r="O431" s="7" t="s">
        <v>47</v>
      </c>
      <c r="P431" s="7"/>
    </row>
    <row r="432" spans="1:16" x14ac:dyDescent="0.25">
      <c r="A432" s="14">
        <v>44978</v>
      </c>
      <c r="B432" s="14">
        <v>44979</v>
      </c>
      <c r="C432" s="6">
        <v>44978</v>
      </c>
      <c r="D432" s="6">
        <v>44989</v>
      </c>
      <c r="E432" s="6">
        <v>44993</v>
      </c>
      <c r="F432" s="115">
        <v>23667</v>
      </c>
      <c r="G432" s="8" t="s">
        <v>2505</v>
      </c>
      <c r="H432" s="8" t="s">
        <v>2242</v>
      </c>
      <c r="I432" s="8">
        <v>12726</v>
      </c>
      <c r="J432" s="8">
        <v>11455</v>
      </c>
      <c r="K432" s="9">
        <f>Tabla156798[[#This Row],[CANTIDAD PUBLICA]]*AGENTES!D5</f>
        <v>1018.0799999999998</v>
      </c>
      <c r="L432" s="10">
        <f>Tabla156798[[#This Row],[COMISION AGENCIA]]*0.05</f>
        <v>50.903999999999996</v>
      </c>
      <c r="M432" s="7">
        <v>3485937689</v>
      </c>
      <c r="N432" s="7" t="s">
        <v>2507</v>
      </c>
      <c r="O432" s="7" t="s">
        <v>6</v>
      </c>
      <c r="P432" s="7"/>
    </row>
    <row r="433" spans="1:16" x14ac:dyDescent="0.25">
      <c r="A433" s="14">
        <v>44979</v>
      </c>
      <c r="B433" s="14">
        <v>44979</v>
      </c>
      <c r="C433" s="6">
        <v>44979</v>
      </c>
      <c r="D433" s="6">
        <v>45009</v>
      </c>
      <c r="E433" s="6">
        <v>45022</v>
      </c>
      <c r="F433" s="115">
        <v>23702</v>
      </c>
      <c r="G433" s="8" t="s">
        <v>2508</v>
      </c>
      <c r="H433" s="8" t="s">
        <v>2277</v>
      </c>
      <c r="I433" s="8">
        <v>9984</v>
      </c>
      <c r="J433" s="8">
        <v>10715</v>
      </c>
      <c r="K433" s="9">
        <f>Tabla156798[[#This Row],[PRECIO CLIENTE]]-Tabla156798[[#This Row],[CANTIDAD PUBLICA]]</f>
        <v>731</v>
      </c>
      <c r="L433" s="10">
        <f>Tabla156798[[#This Row],[COMISION AGENCIA]]*0.05</f>
        <v>36.550000000000004</v>
      </c>
      <c r="M433" s="7"/>
      <c r="N433" s="7" t="s">
        <v>2509</v>
      </c>
      <c r="O433" s="7" t="s">
        <v>47</v>
      </c>
      <c r="P433" s="7"/>
    </row>
    <row r="434" spans="1:16" x14ac:dyDescent="0.25">
      <c r="A434" s="14">
        <v>44979</v>
      </c>
      <c r="B434" s="14">
        <v>44979</v>
      </c>
      <c r="C434" s="6">
        <v>44979</v>
      </c>
      <c r="D434" s="6">
        <v>45112</v>
      </c>
      <c r="E434" s="6">
        <v>45116</v>
      </c>
      <c r="F434" s="115" t="s">
        <v>2510</v>
      </c>
      <c r="G434" s="8" t="s">
        <v>2511</v>
      </c>
      <c r="H434" s="8" t="s">
        <v>1290</v>
      </c>
      <c r="I434" s="8">
        <v>5186</v>
      </c>
      <c r="J434" s="8">
        <v>6260</v>
      </c>
      <c r="K434" s="9">
        <f>Tabla156798[[#This Row],[PRECIO CLIENTE]]-Tabla156798[[#This Row],[CANTIDAD PUBLICA]]</f>
        <v>1074</v>
      </c>
      <c r="L434" s="10">
        <f>Tabla156798[[#This Row],[COMISION AGENCIA]]*0.05</f>
        <v>53.7</v>
      </c>
      <c r="M434" s="7"/>
      <c r="N434" s="7" t="s">
        <v>2512</v>
      </c>
      <c r="O434" s="7" t="s">
        <v>47</v>
      </c>
      <c r="P434" s="7"/>
    </row>
    <row r="435" spans="1:16" x14ac:dyDescent="0.25">
      <c r="A435" s="14">
        <f>Tabla156798[[#This Row],[FECHA IN]]-15</f>
        <v>44980</v>
      </c>
      <c r="B435" s="14">
        <v>44979</v>
      </c>
      <c r="C435" s="6">
        <v>44977</v>
      </c>
      <c r="D435" s="6">
        <v>44995</v>
      </c>
      <c r="E435" s="6">
        <v>44970</v>
      </c>
      <c r="F435" s="115" t="s">
        <v>2513</v>
      </c>
      <c r="G435" s="8" t="s">
        <v>2514</v>
      </c>
      <c r="H435" s="8" t="s">
        <v>2129</v>
      </c>
      <c r="I435" s="8">
        <v>20337.66</v>
      </c>
      <c r="J435" s="8">
        <v>17695</v>
      </c>
      <c r="K435" s="9">
        <f>Tabla156798[[#This Row],[CANTIDAD PUBLICA]]*0.05</f>
        <v>1016.883</v>
      </c>
      <c r="L435" s="10">
        <f>Tabla156798[[#This Row],[COMISION AGENCIA]]*0.05</f>
        <v>50.844150000000006</v>
      </c>
      <c r="M435" s="7">
        <v>3481077316</v>
      </c>
      <c r="N435" s="7" t="s">
        <v>2515</v>
      </c>
      <c r="O435" s="7" t="s">
        <v>6</v>
      </c>
      <c r="P435" s="7"/>
    </row>
    <row r="436" spans="1:16" x14ac:dyDescent="0.25">
      <c r="A436" s="14">
        <f>Tabla156798[[#This Row],[FECHA IN]]-15</f>
        <v>44980</v>
      </c>
      <c r="B436" s="14">
        <v>44979</v>
      </c>
      <c r="C436" s="6">
        <v>44977</v>
      </c>
      <c r="D436" s="6">
        <v>44995</v>
      </c>
      <c r="E436" s="6">
        <v>44970</v>
      </c>
      <c r="F436" s="115" t="s">
        <v>2513</v>
      </c>
      <c r="G436" s="8" t="s">
        <v>2516</v>
      </c>
      <c r="H436" s="8" t="s">
        <v>2129</v>
      </c>
      <c r="I436" s="8">
        <v>20337.66</v>
      </c>
      <c r="J436" s="8">
        <v>17695</v>
      </c>
      <c r="K436" s="9">
        <f>Tabla156798[[#This Row],[CANTIDAD PUBLICA]]*0.05</f>
        <v>1016.883</v>
      </c>
      <c r="L436" s="10">
        <f>Tabla156798[[#This Row],[COMISION AGENCIA]]*0.05</f>
        <v>50.844150000000006</v>
      </c>
      <c r="M436" s="7">
        <v>3481077316</v>
      </c>
      <c r="N436" s="7" t="s">
        <v>2517</v>
      </c>
      <c r="O436" s="7" t="s">
        <v>6</v>
      </c>
      <c r="P436" s="7"/>
    </row>
    <row r="437" spans="1:16" x14ac:dyDescent="0.25">
      <c r="A437" s="14">
        <f>Tabla156798[[#This Row],[FECHA IN]]-15</f>
        <v>44980</v>
      </c>
      <c r="B437" s="14">
        <v>44979</v>
      </c>
      <c r="C437" s="6">
        <v>44977</v>
      </c>
      <c r="D437" s="6">
        <v>44995</v>
      </c>
      <c r="E437" s="6">
        <v>44970</v>
      </c>
      <c r="F437" s="115" t="s">
        <v>2513</v>
      </c>
      <c r="G437" s="8" t="s">
        <v>2007</v>
      </c>
      <c r="H437" s="8" t="s">
        <v>2129</v>
      </c>
      <c r="I437" s="8">
        <v>20337.66</v>
      </c>
      <c r="J437" s="8">
        <v>17695</v>
      </c>
      <c r="K437" s="9">
        <f>Tabla156798[[#This Row],[CANTIDAD PUBLICA]]*0.05</f>
        <v>1016.883</v>
      </c>
      <c r="L437" s="10">
        <f>Tabla156798[[#This Row],[COMISION AGENCIA]]*0.05</f>
        <v>50.844150000000006</v>
      </c>
      <c r="M437" s="7">
        <v>3481077316</v>
      </c>
      <c r="N437" s="7" t="s">
        <v>2518</v>
      </c>
      <c r="O437" s="7" t="s">
        <v>6</v>
      </c>
      <c r="P437" s="7"/>
    </row>
    <row r="438" spans="1:16" x14ac:dyDescent="0.25">
      <c r="A438" s="14">
        <f>Tabla156798[[#This Row],[FECHA IN]]-15</f>
        <v>44980</v>
      </c>
      <c r="B438" s="14">
        <v>44979</v>
      </c>
      <c r="C438" s="6">
        <v>44977</v>
      </c>
      <c r="D438" s="6">
        <v>44995</v>
      </c>
      <c r="E438" s="6">
        <v>44970</v>
      </c>
      <c r="F438" s="115" t="s">
        <v>2513</v>
      </c>
      <c r="G438" s="8" t="s">
        <v>2519</v>
      </c>
      <c r="H438" s="8" t="s">
        <v>2129</v>
      </c>
      <c r="I438" s="8">
        <v>20337.66</v>
      </c>
      <c r="J438" s="8">
        <v>17695</v>
      </c>
      <c r="K438" s="9">
        <f>Tabla156798[[#This Row],[CANTIDAD PUBLICA]]*0.05</f>
        <v>1016.883</v>
      </c>
      <c r="L438" s="10">
        <f>Tabla156798[[#This Row],[COMISION AGENCIA]]*0.05</f>
        <v>50.844150000000006</v>
      </c>
      <c r="M438" s="7">
        <v>3481077316</v>
      </c>
      <c r="N438" s="7" t="s">
        <v>2520</v>
      </c>
      <c r="O438" s="7" t="s">
        <v>6</v>
      </c>
      <c r="P438" s="7"/>
    </row>
    <row r="439" spans="1:16" x14ac:dyDescent="0.25">
      <c r="A439" s="14">
        <v>44980</v>
      </c>
      <c r="B439" s="14">
        <v>44980</v>
      </c>
      <c r="C439" s="6">
        <v>44980</v>
      </c>
      <c r="D439" s="6">
        <v>45009</v>
      </c>
      <c r="E439" s="6">
        <v>45011</v>
      </c>
      <c r="F439" s="115">
        <v>23704</v>
      </c>
      <c r="G439" s="8" t="s">
        <v>2521</v>
      </c>
      <c r="H439" s="8" t="s">
        <v>1637</v>
      </c>
      <c r="I439" s="8">
        <v>3924</v>
      </c>
      <c r="J439" s="8">
        <v>4300</v>
      </c>
      <c r="K439" s="9">
        <f>Tabla156798[[#This Row],[PRECIO CLIENTE]]-Tabla156798[[#This Row],[CANTIDAD PUBLICA]]</f>
        <v>376</v>
      </c>
      <c r="L439" s="10">
        <f>Tabla156798[[#This Row],[COMISION AGENCIA]]*0.05</f>
        <v>18.8</v>
      </c>
      <c r="M439" s="7"/>
      <c r="N439" s="7" t="s">
        <v>2522</v>
      </c>
      <c r="O439" s="7" t="s">
        <v>47</v>
      </c>
      <c r="P439" s="7"/>
    </row>
    <row r="440" spans="1:16" x14ac:dyDescent="0.25">
      <c r="A440" s="14">
        <v>44980</v>
      </c>
      <c r="B440" s="14">
        <v>44980</v>
      </c>
      <c r="C440" s="6">
        <v>44978</v>
      </c>
      <c r="D440" s="6">
        <v>44988</v>
      </c>
      <c r="E440" s="6">
        <v>44990</v>
      </c>
      <c r="F440" s="115" t="s">
        <v>2523</v>
      </c>
      <c r="G440" s="8" t="s">
        <v>2524</v>
      </c>
      <c r="H440" s="8" t="s">
        <v>2525</v>
      </c>
      <c r="I440" s="8">
        <v>45444.160000000003</v>
      </c>
      <c r="J440" s="8">
        <v>39540</v>
      </c>
      <c r="K440" s="9">
        <f>Tabla156798[[#This Row],[CANTIDAD PUBLICA]]*0.05</f>
        <v>2272.2080000000001</v>
      </c>
      <c r="L440" s="10">
        <f>Tabla156798[[#This Row],[COMISION AGENCIA]]*0.05</f>
        <v>113.61040000000001</v>
      </c>
      <c r="M440" s="7">
        <v>3781149188</v>
      </c>
      <c r="N440" s="7" t="s">
        <v>2526</v>
      </c>
      <c r="O440" s="7" t="s">
        <v>6</v>
      </c>
      <c r="P440" s="7"/>
    </row>
    <row r="441" spans="1:16" x14ac:dyDescent="0.25">
      <c r="A441" s="14">
        <f>Tabla156798[[#This Row],[FECHA IN]]-15</f>
        <v>44982</v>
      </c>
      <c r="B441" s="14">
        <v>44986</v>
      </c>
      <c r="C441" s="6">
        <v>44884</v>
      </c>
      <c r="D441" s="6">
        <v>44997</v>
      </c>
      <c r="E441" s="6">
        <v>45000</v>
      </c>
      <c r="F441" s="115">
        <v>22727</v>
      </c>
      <c r="G441" s="8" t="s">
        <v>2527</v>
      </c>
      <c r="H441" s="8" t="s">
        <v>1880</v>
      </c>
      <c r="I441" s="66">
        <v>33980.480000000003</v>
      </c>
      <c r="J441" s="8">
        <v>29560</v>
      </c>
      <c r="K441" s="9">
        <f>Tabla156798[[#This Row],[CANTIDAD PUBLICA]]*0.05</f>
        <v>1699.0240000000003</v>
      </c>
      <c r="L441" s="10">
        <f>Tabla156798[[#This Row],[COMISION AGENCIA]]*0.05</f>
        <v>84.951200000000028</v>
      </c>
      <c r="M441" s="7"/>
      <c r="N441" s="7" t="s">
        <v>2528</v>
      </c>
      <c r="O441" s="7" t="s">
        <v>6</v>
      </c>
      <c r="P441" s="7"/>
    </row>
    <row r="442" spans="1:16" x14ac:dyDescent="0.25">
      <c r="A442" s="14">
        <f>Tabla156798[[#This Row],[FECHA IN]]-15</f>
        <v>44982</v>
      </c>
      <c r="B442" s="14">
        <v>44986</v>
      </c>
      <c r="C442" s="6">
        <v>44884</v>
      </c>
      <c r="D442" s="6">
        <v>44997</v>
      </c>
      <c r="E442" s="6">
        <v>45000</v>
      </c>
      <c r="F442" s="115">
        <v>22727</v>
      </c>
      <c r="G442" s="8" t="s">
        <v>2529</v>
      </c>
      <c r="H442" s="8" t="s">
        <v>1880</v>
      </c>
      <c r="I442" s="66">
        <v>22653.68</v>
      </c>
      <c r="J442" s="8">
        <v>19710</v>
      </c>
      <c r="K442" s="9">
        <f>Tabla156798[[#This Row],[CANTIDAD PUBLICA]]*0.05</f>
        <v>1132.684</v>
      </c>
      <c r="L442" s="10">
        <f>Tabla156798[[#This Row],[COMISION AGENCIA]]*0.05</f>
        <v>56.6342</v>
      </c>
      <c r="M442" s="7"/>
      <c r="N442" s="7" t="s">
        <v>2530</v>
      </c>
      <c r="O442" s="7" t="s">
        <v>6</v>
      </c>
      <c r="P442" s="7"/>
    </row>
    <row r="443" spans="1:16" x14ac:dyDescent="0.25">
      <c r="A443" s="14">
        <f>Tabla156798[[#This Row],[FECHA IN]]-15</f>
        <v>44982</v>
      </c>
      <c r="B443" s="14">
        <v>44986</v>
      </c>
      <c r="C443" s="6">
        <v>44884</v>
      </c>
      <c r="D443" s="6">
        <v>44997</v>
      </c>
      <c r="E443" s="6">
        <v>45000</v>
      </c>
      <c r="F443" s="115">
        <v>22727</v>
      </c>
      <c r="G443" s="8" t="s">
        <v>2261</v>
      </c>
      <c r="H443" s="8" t="s">
        <v>1880</v>
      </c>
      <c r="I443" s="66">
        <v>22653.68</v>
      </c>
      <c r="J443" s="8">
        <v>19710</v>
      </c>
      <c r="K443" s="9">
        <f>Tabla156798[[#This Row],[CANTIDAD PUBLICA]]*0.05</f>
        <v>1132.684</v>
      </c>
      <c r="L443" s="10">
        <f>Tabla156798[[#This Row],[COMISION AGENCIA]]*0.05</f>
        <v>56.6342</v>
      </c>
      <c r="M443" s="7"/>
      <c r="N443" s="7" t="s">
        <v>2531</v>
      </c>
      <c r="O443" s="7" t="s">
        <v>6</v>
      </c>
      <c r="P443" s="7"/>
    </row>
    <row r="444" spans="1:16" x14ac:dyDescent="0.25">
      <c r="A444" s="14">
        <f>Tabla156798[[#This Row],[FECHA IN]]-15</f>
        <v>44982</v>
      </c>
      <c r="B444" s="14">
        <v>44986</v>
      </c>
      <c r="C444" s="6">
        <v>44884</v>
      </c>
      <c r="D444" s="6">
        <v>44997</v>
      </c>
      <c r="E444" s="6">
        <v>45000</v>
      </c>
      <c r="F444" s="115">
        <v>22727</v>
      </c>
      <c r="G444" s="8" t="s">
        <v>2527</v>
      </c>
      <c r="H444" s="8" t="s">
        <v>2532</v>
      </c>
      <c r="I444" s="66">
        <v>2835</v>
      </c>
      <c r="J444" s="8">
        <v>3600</v>
      </c>
      <c r="K444" s="9">
        <f>Tabla156798[[#This Row],[PRECIO CLIENTE]]-Tabla156798[[#This Row],[CANTIDAD PUBLICA]]</f>
        <v>765</v>
      </c>
      <c r="L444" s="10">
        <f>Tabla156798[[#This Row],[COMISION AGENCIA]]*0.05</f>
        <v>38.25</v>
      </c>
      <c r="M444" s="7"/>
      <c r="N444" s="7"/>
      <c r="O444" s="7"/>
      <c r="P444" s="7"/>
    </row>
    <row r="445" spans="1:16" x14ac:dyDescent="0.25">
      <c r="A445" s="14">
        <f>Tabla156798[[#This Row],[FECHA IN]]-15</f>
        <v>44982</v>
      </c>
      <c r="B445" s="14">
        <v>44982</v>
      </c>
      <c r="C445" s="6">
        <v>44951</v>
      </c>
      <c r="D445" s="6">
        <v>44997</v>
      </c>
      <c r="E445" s="7"/>
      <c r="F445" s="115">
        <v>23329</v>
      </c>
      <c r="G445" s="8" t="s">
        <v>2533</v>
      </c>
      <c r="H445" s="8" t="s">
        <v>2534</v>
      </c>
      <c r="I445" s="8">
        <v>8000</v>
      </c>
      <c r="J445" s="8">
        <v>8500</v>
      </c>
      <c r="K445" s="9">
        <f>Tabla156798[[#This Row],[PRECIO CLIENTE]]-Tabla156798[[#This Row],[CANTIDAD PUBLICA]]</f>
        <v>500</v>
      </c>
      <c r="L445" s="10">
        <f>Tabla156798[[#This Row],[COMISION AGENCIA]]*0.05</f>
        <v>25</v>
      </c>
      <c r="M445" s="7">
        <v>3481271593</v>
      </c>
      <c r="N445" s="7"/>
      <c r="O445" s="7" t="s">
        <v>2314</v>
      </c>
      <c r="P445" s="7"/>
    </row>
    <row r="446" spans="1:16" x14ac:dyDescent="0.25">
      <c r="A446" s="14">
        <f>Tabla156798[[#This Row],[FECHA IN]]-15</f>
        <v>44982</v>
      </c>
      <c r="B446" s="14">
        <v>44980</v>
      </c>
      <c r="C446" s="6">
        <v>44980</v>
      </c>
      <c r="D446" s="6">
        <v>44997</v>
      </c>
      <c r="E446" s="6">
        <v>45000</v>
      </c>
      <c r="F446" s="115" t="s">
        <v>2535</v>
      </c>
      <c r="G446" s="8" t="s">
        <v>2536</v>
      </c>
      <c r="H446" s="8" t="s">
        <v>2537</v>
      </c>
      <c r="I446" s="8">
        <v>18806.740000000002</v>
      </c>
      <c r="J446" s="8">
        <v>16365</v>
      </c>
      <c r="K446" s="9">
        <f>Tabla156798[[#This Row],[CANTIDAD PUBLICA]]*0.05</f>
        <v>940.3370000000001</v>
      </c>
      <c r="L446" s="10">
        <f>Tabla156798[[#This Row],[COMISION AGENCIA]]*0.05</f>
        <v>47.016850000000005</v>
      </c>
      <c r="M446" s="7">
        <v>348148500</v>
      </c>
      <c r="N446" s="7" t="s">
        <v>2538</v>
      </c>
      <c r="O446" s="7" t="s">
        <v>6</v>
      </c>
      <c r="P446" s="7"/>
    </row>
    <row r="447" spans="1:16" x14ac:dyDescent="0.25">
      <c r="A447" s="14">
        <f>Tabla156798[[#This Row],[FECHA IN]]-15</f>
        <v>44983</v>
      </c>
      <c r="B447" s="14">
        <v>44983</v>
      </c>
      <c r="C447" s="6">
        <v>44972</v>
      </c>
      <c r="D447" s="6">
        <v>44998</v>
      </c>
      <c r="E447" s="6">
        <v>45002</v>
      </c>
      <c r="F447" s="115">
        <v>23579</v>
      </c>
      <c r="G447" s="8" t="s">
        <v>2539</v>
      </c>
      <c r="H447" s="8" t="s">
        <v>2540</v>
      </c>
      <c r="I447" s="8">
        <v>21227.53</v>
      </c>
      <c r="J447" s="8">
        <v>18470</v>
      </c>
      <c r="K447" s="9">
        <f>Tabla156798[[#This Row],[CANTIDAD PUBLICA]]*0.05</f>
        <v>1061.3765000000001</v>
      </c>
      <c r="L447" s="10">
        <f>Tabla156798[[#This Row],[COMISION AGENCIA]]*0.05</f>
        <v>53.068825000000004</v>
      </c>
      <c r="M447" s="7">
        <v>3481028896</v>
      </c>
      <c r="N447" s="7" t="s">
        <v>2541</v>
      </c>
      <c r="O447" s="7" t="s">
        <v>6</v>
      </c>
      <c r="P447" s="7"/>
    </row>
    <row r="448" spans="1:16" x14ac:dyDescent="0.25">
      <c r="A448" s="14">
        <f>Tabla156798[[#This Row],[FECHA IN]]-15</f>
        <v>44983</v>
      </c>
      <c r="B448" s="14">
        <v>44983</v>
      </c>
      <c r="C448" s="6">
        <v>44972</v>
      </c>
      <c r="D448" s="6">
        <v>44998</v>
      </c>
      <c r="E448" s="6">
        <v>45002</v>
      </c>
      <c r="F448" s="115">
        <v>23579</v>
      </c>
      <c r="G448" s="8" t="s">
        <v>2539</v>
      </c>
      <c r="H448" s="8" t="s">
        <v>2542</v>
      </c>
      <c r="I448" s="8">
        <v>373.28</v>
      </c>
      <c r="J448" s="8">
        <v>700</v>
      </c>
      <c r="K448" s="9">
        <f>Tabla156798[[#This Row],[PRECIO CLIENTE]]-Tabla156798[[#This Row],[CANTIDAD PUBLICA]]</f>
        <v>326.72000000000003</v>
      </c>
      <c r="L448" s="10">
        <f>Tabla156798[[#This Row],[COMISION AGENCIA]]*0.05</f>
        <v>16.336000000000002</v>
      </c>
      <c r="M448" s="7">
        <v>3481028896</v>
      </c>
      <c r="N448" s="7"/>
      <c r="O448" s="7"/>
      <c r="P448" s="7"/>
    </row>
    <row r="449" spans="1:16" x14ac:dyDescent="0.25">
      <c r="A449" s="14">
        <v>44984</v>
      </c>
      <c r="B449" s="14">
        <v>44984</v>
      </c>
      <c r="C449" s="6">
        <v>44984</v>
      </c>
      <c r="D449" s="6">
        <v>44985</v>
      </c>
      <c r="E449" s="6">
        <v>44990</v>
      </c>
      <c r="F449" s="115">
        <v>23475</v>
      </c>
      <c r="G449" s="8" t="s">
        <v>2543</v>
      </c>
      <c r="H449" s="8" t="s">
        <v>1833</v>
      </c>
      <c r="I449" s="8">
        <v>4961</v>
      </c>
      <c r="J449" s="8">
        <v>5440</v>
      </c>
      <c r="K449" s="9">
        <f>Tabla156798[[#This Row],[PRECIO CLIENTE]]-Tabla156798[[#This Row],[CANTIDAD PUBLICA]]</f>
        <v>479</v>
      </c>
      <c r="L449" s="10">
        <f>Tabla156798[[#This Row],[COMISION AGENCIA]]*0.05</f>
        <v>23.950000000000003</v>
      </c>
      <c r="M449" s="7"/>
      <c r="N449" s="7" t="s">
        <v>2544</v>
      </c>
      <c r="O449" s="7" t="s">
        <v>47</v>
      </c>
      <c r="P449" s="7"/>
    </row>
    <row r="450" spans="1:16" x14ac:dyDescent="0.25">
      <c r="A450" s="14">
        <v>44984</v>
      </c>
      <c r="B450" s="14">
        <v>44984</v>
      </c>
      <c r="C450" s="6">
        <v>44984</v>
      </c>
      <c r="D450" s="6">
        <v>44990</v>
      </c>
      <c r="E450" s="7"/>
      <c r="F450" s="115">
        <v>23752</v>
      </c>
      <c r="G450" s="8" t="s">
        <v>2545</v>
      </c>
      <c r="H450" s="8" t="s">
        <v>1938</v>
      </c>
      <c r="I450" s="8">
        <v>2649</v>
      </c>
      <c r="J450" s="8">
        <v>3645</v>
      </c>
      <c r="K450" s="9">
        <f>Tabla156798[[#This Row],[PRECIO CLIENTE]]-Tabla156798[[#This Row],[CANTIDAD PUBLICA]]</f>
        <v>996</v>
      </c>
      <c r="L450" s="10">
        <f>Tabla156798[[#This Row],[COMISION AGENCIA]]*0.05</f>
        <v>49.800000000000004</v>
      </c>
      <c r="M450" s="7"/>
      <c r="N450" s="7" t="s">
        <v>2546</v>
      </c>
      <c r="O450" s="7" t="s">
        <v>47</v>
      </c>
      <c r="P450" s="7"/>
    </row>
    <row r="451" spans="1:16" x14ac:dyDescent="0.25">
      <c r="A451" s="14">
        <v>44984</v>
      </c>
      <c r="B451" s="14">
        <v>44984</v>
      </c>
      <c r="C451" s="6">
        <v>44984</v>
      </c>
      <c r="D451" s="6">
        <v>44993</v>
      </c>
      <c r="E451" s="6">
        <v>45007</v>
      </c>
      <c r="F451" s="115">
        <v>23756</v>
      </c>
      <c r="G451" s="8" t="s">
        <v>2547</v>
      </c>
      <c r="H451" s="8" t="s">
        <v>1743</v>
      </c>
      <c r="I451" s="8">
        <v>5610</v>
      </c>
      <c r="J451" s="8">
        <v>6130</v>
      </c>
      <c r="K451" s="9">
        <f>Tabla156798[[#This Row],[PRECIO CLIENTE]]-Tabla156798[[#This Row],[CANTIDAD PUBLICA]]</f>
        <v>520</v>
      </c>
      <c r="L451" s="10">
        <f>Tabla156798[[#This Row],[COMISION AGENCIA]]*0.05</f>
        <v>26</v>
      </c>
      <c r="M451" s="7"/>
      <c r="N451" s="7" t="s">
        <v>2548</v>
      </c>
      <c r="O451" s="7" t="s">
        <v>47</v>
      </c>
      <c r="P451" s="7"/>
    </row>
    <row r="452" spans="1:16" x14ac:dyDescent="0.25">
      <c r="A452" s="14">
        <v>44984</v>
      </c>
      <c r="B452" s="14">
        <v>44984</v>
      </c>
      <c r="C452" s="6">
        <v>44984</v>
      </c>
      <c r="D452" s="6">
        <v>44988</v>
      </c>
      <c r="E452" s="7"/>
      <c r="F452" s="115">
        <v>23762</v>
      </c>
      <c r="G452" s="8" t="s">
        <v>1887</v>
      </c>
      <c r="H452" s="8" t="s">
        <v>1631</v>
      </c>
      <c r="I452" s="8">
        <v>2590</v>
      </c>
      <c r="J452" s="8">
        <v>2910</v>
      </c>
      <c r="K452" s="9">
        <f>Tabla156798[[#This Row],[PRECIO CLIENTE]]-Tabla156798[[#This Row],[CANTIDAD PUBLICA]]</f>
        <v>320</v>
      </c>
      <c r="L452" s="10">
        <f>Tabla156798[[#This Row],[COMISION AGENCIA]]*0.05</f>
        <v>16</v>
      </c>
      <c r="M452" s="7"/>
      <c r="N452" s="7" t="s">
        <v>2549</v>
      </c>
      <c r="O452" s="7" t="s">
        <v>47</v>
      </c>
      <c r="P452" s="7"/>
    </row>
    <row r="453" spans="1:16" x14ac:dyDescent="0.25">
      <c r="A453" s="14">
        <v>44984</v>
      </c>
      <c r="B453" s="14">
        <v>44984</v>
      </c>
      <c r="C453" s="6">
        <v>44984</v>
      </c>
      <c r="D453" s="6">
        <v>44989</v>
      </c>
      <c r="E453" s="6">
        <v>44993</v>
      </c>
      <c r="F453" s="115" t="s">
        <v>2550</v>
      </c>
      <c r="G453" s="8" t="s">
        <v>2551</v>
      </c>
      <c r="H453" s="8" t="s">
        <v>1035</v>
      </c>
      <c r="I453" s="8">
        <v>18226.8</v>
      </c>
      <c r="J453" s="8">
        <v>15860</v>
      </c>
      <c r="K453" s="9">
        <f>Tabla156798[[#This Row],[CANTIDAD PUBLICA]]*0.05</f>
        <v>911.34</v>
      </c>
      <c r="L453" s="10">
        <f>Tabla156798[[#This Row],[COMISION AGENCIA]]*0.05</f>
        <v>45.567000000000007</v>
      </c>
      <c r="M453" s="7">
        <v>3481462460</v>
      </c>
      <c r="N453" s="7" t="s">
        <v>2552</v>
      </c>
      <c r="O453" s="7" t="s">
        <v>6</v>
      </c>
      <c r="P453" s="7"/>
    </row>
    <row r="454" spans="1:16" x14ac:dyDescent="0.25">
      <c r="A454" s="14">
        <f>Tabla156798[[#This Row],[FECHA IN]]-15</f>
        <v>44985</v>
      </c>
      <c r="B454" s="14">
        <v>44997</v>
      </c>
      <c r="C454" s="6">
        <v>44963</v>
      </c>
      <c r="D454" s="6">
        <v>45000</v>
      </c>
      <c r="E454" s="6">
        <v>45004</v>
      </c>
      <c r="F454" s="115">
        <v>23536</v>
      </c>
      <c r="G454" s="8" t="s">
        <v>2553</v>
      </c>
      <c r="H454" s="8" t="s">
        <v>2181</v>
      </c>
      <c r="I454" s="8">
        <v>24855.83</v>
      </c>
      <c r="J454" s="8">
        <v>22725</v>
      </c>
      <c r="K454" s="9">
        <f>Tabla156798[[#This Row],[CANTIDAD PUBLICA]]*0.05</f>
        <v>1242.7915000000003</v>
      </c>
      <c r="L454" s="10">
        <f>Tabla156798[[#This Row],[COMISION AGENCIA]]*0.05</f>
        <v>62.139575000000015</v>
      </c>
      <c r="M454" s="7">
        <v>3481025790</v>
      </c>
      <c r="N454" s="7" t="s">
        <v>2554</v>
      </c>
      <c r="O454" s="7" t="s">
        <v>6</v>
      </c>
      <c r="P454" s="7" t="s">
        <v>2555</v>
      </c>
    </row>
    <row r="455" spans="1:16" x14ac:dyDescent="0.25">
      <c r="A455" s="14">
        <f>Tabla156798[[#This Row],[FECHA IN]]-15</f>
        <v>44985</v>
      </c>
      <c r="B455" s="14">
        <v>44997</v>
      </c>
      <c r="C455" s="6">
        <v>44963</v>
      </c>
      <c r="D455" s="6">
        <v>45000</v>
      </c>
      <c r="E455" s="6">
        <v>45004</v>
      </c>
      <c r="F455" s="115">
        <v>23535</v>
      </c>
      <c r="G455" s="8" t="s">
        <v>2556</v>
      </c>
      <c r="H455" s="8" t="s">
        <v>2181</v>
      </c>
      <c r="I455" s="8">
        <v>24855.83</v>
      </c>
      <c r="J455" s="8">
        <v>22725</v>
      </c>
      <c r="K455" s="9">
        <f>Tabla156798[[#This Row],[CANTIDAD PUBLICA]]*0.05</f>
        <v>1242.7915000000003</v>
      </c>
      <c r="L455" s="10">
        <f>Tabla156798[[#This Row],[COMISION AGENCIA]]*0.05</f>
        <v>62.139575000000015</v>
      </c>
      <c r="M455" s="7">
        <v>3481025790</v>
      </c>
      <c r="N455" s="7" t="s">
        <v>2557</v>
      </c>
      <c r="O455" s="7" t="s">
        <v>6</v>
      </c>
      <c r="P455" s="7" t="s">
        <v>2558</v>
      </c>
    </row>
    <row r="456" spans="1:16" x14ac:dyDescent="0.25">
      <c r="A456" s="14">
        <f>Tabla156798[[#This Row],[FECHA IN]]-15</f>
        <v>44985</v>
      </c>
      <c r="B456" s="14">
        <v>44991</v>
      </c>
      <c r="C456" s="6">
        <v>44980</v>
      </c>
      <c r="D456" s="6">
        <v>45000</v>
      </c>
      <c r="E456" s="6">
        <v>45003</v>
      </c>
      <c r="F456" s="115" t="s">
        <v>2559</v>
      </c>
      <c r="G456" s="8" t="s">
        <v>2560</v>
      </c>
      <c r="H456" s="8" t="s">
        <v>1383</v>
      </c>
      <c r="I456" s="8">
        <v>10588.88</v>
      </c>
      <c r="J456" s="8">
        <v>9215</v>
      </c>
      <c r="K456" s="9">
        <f>Tabla156798[[#This Row],[CANTIDAD PUBLICA]]*0.05</f>
        <v>529.44399999999996</v>
      </c>
      <c r="L456" s="10">
        <f>Tabla156798[[#This Row],[COMISION AGENCIA]]*0.05</f>
        <v>26.472200000000001</v>
      </c>
      <c r="M456" s="7">
        <v>3481054070</v>
      </c>
      <c r="N456" s="7" t="s">
        <v>2561</v>
      </c>
      <c r="O456" s="7" t="s">
        <v>47</v>
      </c>
      <c r="P456" s="7"/>
    </row>
    <row r="457" spans="1:16" x14ac:dyDescent="0.25">
      <c r="A457" s="14">
        <f>Tabla156798[[#This Row],[FECHA IN]]-15</f>
        <v>44985</v>
      </c>
      <c r="B457" s="14">
        <v>44991</v>
      </c>
      <c r="C457" s="6">
        <v>44980</v>
      </c>
      <c r="D457" s="6">
        <v>45000</v>
      </c>
      <c r="E457" s="6">
        <v>45003</v>
      </c>
      <c r="F457" s="115" t="s">
        <v>2559</v>
      </c>
      <c r="G457" s="8" t="s">
        <v>2562</v>
      </c>
      <c r="H457" s="8" t="s">
        <v>1383</v>
      </c>
      <c r="I457" s="8">
        <v>10588.88</v>
      </c>
      <c r="J457" s="8">
        <v>9215</v>
      </c>
      <c r="K457" s="9">
        <f>Tabla156798[[#This Row],[CANTIDAD PUBLICA]]*0.05</f>
        <v>529.44399999999996</v>
      </c>
      <c r="L457" s="10">
        <f>Tabla156798[[#This Row],[COMISION AGENCIA]]*0.05</f>
        <v>26.472200000000001</v>
      </c>
      <c r="M457" s="7">
        <v>3481054070</v>
      </c>
      <c r="N457" s="7" t="s">
        <v>2563</v>
      </c>
      <c r="O457" s="7" t="s">
        <v>47</v>
      </c>
      <c r="P457" s="7"/>
    </row>
    <row r="458" spans="1:16" x14ac:dyDescent="0.25">
      <c r="A458" s="14">
        <f>Tabla156798[[#This Row],[FECHA IN]]-15</f>
        <v>44985</v>
      </c>
      <c r="B458" s="14">
        <v>44991</v>
      </c>
      <c r="C458" s="6">
        <v>44980</v>
      </c>
      <c r="D458" s="6">
        <v>45000</v>
      </c>
      <c r="E458" s="6">
        <v>45003</v>
      </c>
      <c r="F458" s="115" t="s">
        <v>2559</v>
      </c>
      <c r="G458" s="8" t="s">
        <v>2564</v>
      </c>
      <c r="H458" s="8" t="s">
        <v>1383</v>
      </c>
      <c r="I458" s="8">
        <v>10588.88</v>
      </c>
      <c r="J458" s="8">
        <v>9215</v>
      </c>
      <c r="K458" s="9">
        <f>Tabla156798[[#This Row],[CANTIDAD PUBLICA]]*0.05</f>
        <v>529.44399999999996</v>
      </c>
      <c r="L458" s="10">
        <f>Tabla156798[[#This Row],[COMISION AGENCIA]]*0.05</f>
        <v>26.472200000000001</v>
      </c>
      <c r="M458" s="7">
        <v>3481054070</v>
      </c>
      <c r="N458" s="7" t="s">
        <v>2565</v>
      </c>
      <c r="O458" s="7" t="s">
        <v>47</v>
      </c>
      <c r="P458" s="7"/>
    </row>
    <row r="459" spans="1:16" x14ac:dyDescent="0.25">
      <c r="A459" s="14">
        <v>44985</v>
      </c>
      <c r="B459" s="14">
        <v>44985</v>
      </c>
      <c r="C459" s="6">
        <v>44985</v>
      </c>
      <c r="D459" s="6">
        <v>45021</v>
      </c>
      <c r="E459" s="6">
        <v>45031</v>
      </c>
      <c r="F459" s="115" t="s">
        <v>2566</v>
      </c>
      <c r="G459" s="8" t="s">
        <v>2567</v>
      </c>
      <c r="H459" s="8" t="s">
        <v>1532</v>
      </c>
      <c r="I459" s="8">
        <v>27728</v>
      </c>
      <c r="J459" s="8">
        <v>30730</v>
      </c>
      <c r="K459" s="9">
        <f>Tabla156798[[#This Row],[PRECIO CLIENTE]]-Tabla156798[[#This Row],[CANTIDAD PUBLICA]]</f>
        <v>3002</v>
      </c>
      <c r="L459" s="10">
        <f>Tabla156798[[#This Row],[COMISION AGENCIA]]*0.05</f>
        <v>150.1</v>
      </c>
      <c r="M459" s="7"/>
      <c r="N459" s="7" t="s">
        <v>2568</v>
      </c>
      <c r="O459" s="7" t="s">
        <v>47</v>
      </c>
      <c r="P459" s="7"/>
    </row>
    <row r="460" spans="1:16" s="20" customFormat="1" x14ac:dyDescent="0.25">
      <c r="A460" s="21">
        <v>44985</v>
      </c>
      <c r="B460" s="21" t="s">
        <v>2230</v>
      </c>
      <c r="C460" s="21"/>
      <c r="D460" s="21"/>
      <c r="E460" s="21"/>
      <c r="F460" s="130"/>
      <c r="G460" s="131"/>
      <c r="H460" s="169"/>
      <c r="I460" s="131" t="s">
        <v>2569</v>
      </c>
      <c r="J460" s="131"/>
      <c r="K460" s="131">
        <f>SUM(K299:K459)</f>
        <v>130945.85590000004</v>
      </c>
      <c r="L460" s="131">
        <f>SUM(L299:L459)</f>
        <v>6547.2927950000048</v>
      </c>
      <c r="M460" s="134"/>
      <c r="N460" s="134" t="s">
        <v>2232</v>
      </c>
      <c r="O460" s="134"/>
      <c r="P460" s="134"/>
    </row>
    <row r="461" spans="1:16" x14ac:dyDescent="0.25">
      <c r="A461" s="14">
        <v>44986</v>
      </c>
      <c r="B461" s="14">
        <v>44986</v>
      </c>
      <c r="C461" s="6">
        <v>44986</v>
      </c>
      <c r="D461" s="6">
        <v>45024</v>
      </c>
      <c r="E461" s="6">
        <v>45033</v>
      </c>
      <c r="F461" s="115">
        <v>23779</v>
      </c>
      <c r="G461" s="8" t="s">
        <v>2570</v>
      </c>
      <c r="H461" s="8" t="s">
        <v>2571</v>
      </c>
      <c r="I461" s="8">
        <v>8522</v>
      </c>
      <c r="J461" s="8">
        <v>9260</v>
      </c>
      <c r="K461" s="9">
        <f>Tabla156798[[#This Row],[PRECIO CLIENTE]]-Tabla156798[[#This Row],[CANTIDAD PUBLICA]]</f>
        <v>738</v>
      </c>
      <c r="L461" s="10">
        <f>Tabla156798[[#This Row],[COMISION AGENCIA]]*0.05</f>
        <v>36.9</v>
      </c>
      <c r="M461" s="7"/>
      <c r="N461" s="7" t="s">
        <v>2572</v>
      </c>
      <c r="O461" s="7" t="s">
        <v>47</v>
      </c>
      <c r="P461" s="7"/>
    </row>
    <row r="462" spans="1:16" x14ac:dyDescent="0.25">
      <c r="A462" s="14">
        <v>44986</v>
      </c>
      <c r="B462" s="14">
        <v>44986</v>
      </c>
      <c r="C462" s="6">
        <v>44986</v>
      </c>
      <c r="D462" s="6">
        <v>45006</v>
      </c>
      <c r="E462" s="6">
        <v>45010</v>
      </c>
      <c r="F462" s="115">
        <v>23780</v>
      </c>
      <c r="G462" s="8" t="s">
        <v>2573</v>
      </c>
      <c r="H462" s="8" t="s">
        <v>1558</v>
      </c>
      <c r="I462" s="8">
        <v>5148</v>
      </c>
      <c r="J462" s="8">
        <v>5940</v>
      </c>
      <c r="K462" s="9">
        <f>Tabla156798[[#This Row],[PRECIO CLIENTE]]-Tabla156798[[#This Row],[CANTIDAD PUBLICA]]</f>
        <v>792</v>
      </c>
      <c r="L462" s="10">
        <f>Tabla156798[[#This Row],[COMISION AGENCIA]]*0.05</f>
        <v>39.6</v>
      </c>
      <c r="M462" s="7"/>
      <c r="N462" s="7" t="s">
        <v>2574</v>
      </c>
      <c r="O462" s="7" t="s">
        <v>47</v>
      </c>
      <c r="P462" s="7"/>
    </row>
    <row r="463" spans="1:16" x14ac:dyDescent="0.25">
      <c r="A463" s="14">
        <v>44986</v>
      </c>
      <c r="B463" s="14">
        <v>44986</v>
      </c>
      <c r="C463" s="6">
        <v>44986</v>
      </c>
      <c r="D463" s="6">
        <v>45036</v>
      </c>
      <c r="E463" s="6">
        <v>45040</v>
      </c>
      <c r="F463" s="115">
        <v>23796</v>
      </c>
      <c r="G463" s="8" t="s">
        <v>2575</v>
      </c>
      <c r="H463" s="8" t="s">
        <v>1544</v>
      </c>
      <c r="I463" s="8">
        <v>3619</v>
      </c>
      <c r="J463" s="8">
        <v>4010</v>
      </c>
      <c r="K463" s="9">
        <f>Tabla156798[[#This Row],[PRECIO CLIENTE]]-Tabla156798[[#This Row],[CANTIDAD PUBLICA]]</f>
        <v>391</v>
      </c>
      <c r="L463" s="10">
        <f>Tabla156798[[#This Row],[COMISION AGENCIA]]*0.05</f>
        <v>19.55</v>
      </c>
      <c r="M463" s="7"/>
      <c r="N463" s="7" t="s">
        <v>2576</v>
      </c>
      <c r="O463" s="7" t="s">
        <v>47</v>
      </c>
      <c r="P463" s="7"/>
    </row>
    <row r="464" spans="1:16" x14ac:dyDescent="0.25">
      <c r="A464" s="14">
        <f>Tabla156798[[#This Row],[FECHA IN]]-15</f>
        <v>44987</v>
      </c>
      <c r="B464" s="14">
        <v>44987</v>
      </c>
      <c r="C464" s="6">
        <v>44949</v>
      </c>
      <c r="D464" s="6">
        <v>45002</v>
      </c>
      <c r="E464" s="6">
        <v>45004</v>
      </c>
      <c r="F464" s="115">
        <v>23793</v>
      </c>
      <c r="G464" s="8" t="s">
        <v>2577</v>
      </c>
      <c r="H464" s="8" t="s">
        <v>2578</v>
      </c>
      <c r="I464" s="8">
        <v>3129.96</v>
      </c>
      <c r="J464" s="8">
        <v>2820</v>
      </c>
      <c r="K464" s="9">
        <f>Tabla156798[[#This Row],[CANTIDAD PUBLICA]]*0.05</f>
        <v>156.49800000000002</v>
      </c>
      <c r="L464" s="10">
        <f>Tabla156798[[#This Row],[COMISION AGENCIA]]*0.05</f>
        <v>7.8249000000000013</v>
      </c>
      <c r="M464" s="7">
        <v>3481266600</v>
      </c>
      <c r="N464" s="7">
        <v>10356140</v>
      </c>
      <c r="O464" s="7" t="s">
        <v>5</v>
      </c>
      <c r="P464" s="7"/>
    </row>
    <row r="465" spans="1:16" x14ac:dyDescent="0.25">
      <c r="A465" s="14">
        <f>Tabla156798[[#This Row],[FECHA IN]]-15</f>
        <v>44987</v>
      </c>
      <c r="B465" s="14">
        <v>44978</v>
      </c>
      <c r="C465" s="6">
        <v>44974</v>
      </c>
      <c r="D465" s="6">
        <v>45002</v>
      </c>
      <c r="E465" s="6">
        <v>45005</v>
      </c>
      <c r="F465" s="115" t="s">
        <v>2579</v>
      </c>
      <c r="G465" s="8" t="s">
        <v>2475</v>
      </c>
      <c r="H465" s="8" t="s">
        <v>2580</v>
      </c>
      <c r="I465" s="8">
        <v>28827.06</v>
      </c>
      <c r="J465" s="8">
        <v>25080</v>
      </c>
      <c r="K465" s="9">
        <f>Tabla156798[[#This Row],[CANTIDAD PUBLICA]]*0.05</f>
        <v>1441.3530000000001</v>
      </c>
      <c r="L465" s="10">
        <f>Tabla156798[[#This Row],[COMISION AGENCIA]]*0.05</f>
        <v>72.06765</v>
      </c>
      <c r="M465" s="7">
        <v>3481111480</v>
      </c>
      <c r="N465" s="7" t="s">
        <v>2581</v>
      </c>
      <c r="O465" s="7" t="s">
        <v>6</v>
      </c>
      <c r="P465" s="7"/>
    </row>
    <row r="466" spans="1:16" x14ac:dyDescent="0.25">
      <c r="A466" s="14">
        <f>Tabla156798[[#This Row],[FECHA IN]]-15</f>
        <v>44987</v>
      </c>
      <c r="B466" s="14">
        <v>44978</v>
      </c>
      <c r="C466" s="6">
        <v>44974</v>
      </c>
      <c r="D466" s="6">
        <v>45002</v>
      </c>
      <c r="E466" s="6">
        <v>45005</v>
      </c>
      <c r="F466" s="115" t="s">
        <v>2579</v>
      </c>
      <c r="G466" s="8" t="s">
        <v>2582</v>
      </c>
      <c r="H466" s="8" t="s">
        <v>2580</v>
      </c>
      <c r="I466" s="8">
        <v>28827.06</v>
      </c>
      <c r="J466" s="8">
        <v>25080</v>
      </c>
      <c r="K466" s="9">
        <f>Tabla156798[[#This Row],[CANTIDAD PUBLICA]]*0.05</f>
        <v>1441.3530000000001</v>
      </c>
      <c r="L466" s="10">
        <f>Tabla156798[[#This Row],[COMISION AGENCIA]]*0.05</f>
        <v>72.06765</v>
      </c>
      <c r="M466" s="7">
        <v>3481111480</v>
      </c>
      <c r="N466" s="7" t="s">
        <v>2583</v>
      </c>
      <c r="O466" s="7" t="s">
        <v>6</v>
      </c>
      <c r="P466" s="7"/>
    </row>
    <row r="467" spans="1:16" x14ac:dyDescent="0.25">
      <c r="A467" s="14">
        <f>Tabla156798[[#This Row],[FECHA IN]]-15</f>
        <v>44987</v>
      </c>
      <c r="B467" s="14">
        <v>44978</v>
      </c>
      <c r="C467" s="6">
        <v>44974</v>
      </c>
      <c r="D467" s="6">
        <v>45002</v>
      </c>
      <c r="E467" s="6">
        <v>45005</v>
      </c>
      <c r="F467" s="115" t="s">
        <v>2579</v>
      </c>
      <c r="G467" s="8" t="s">
        <v>2475</v>
      </c>
      <c r="H467" s="8" t="s">
        <v>2584</v>
      </c>
      <c r="I467" s="8">
        <v>748.25</v>
      </c>
      <c r="J467" s="8">
        <v>1400</v>
      </c>
      <c r="K467" s="9">
        <f>Tabla156798[[#This Row],[PRECIO CLIENTE]]-Tabla156798[[#This Row],[CANTIDAD PUBLICA]]</f>
        <v>651.75</v>
      </c>
      <c r="L467" s="10">
        <f>Tabla156798[[#This Row],[COMISION AGENCIA]]*0.05</f>
        <v>32.587499999999999</v>
      </c>
      <c r="M467" s="7">
        <v>3481111480</v>
      </c>
      <c r="N467" s="7"/>
      <c r="O467" s="7"/>
      <c r="P467" s="7"/>
    </row>
    <row r="468" spans="1:16" x14ac:dyDescent="0.25">
      <c r="A468" s="14">
        <v>44987</v>
      </c>
      <c r="B468" s="14">
        <v>44987</v>
      </c>
      <c r="C468" s="6">
        <v>44987</v>
      </c>
      <c r="D468" s="6">
        <v>45016</v>
      </c>
      <c r="E468" s="6">
        <v>45027</v>
      </c>
      <c r="F468" s="115">
        <v>23807</v>
      </c>
      <c r="G468" s="8" t="s">
        <v>2585</v>
      </c>
      <c r="H468" s="8" t="s">
        <v>1544</v>
      </c>
      <c r="I468" s="8">
        <v>3900</v>
      </c>
      <c r="J468" s="8">
        <v>5402</v>
      </c>
      <c r="K468" s="9">
        <f>Tabla156798[[#This Row],[PRECIO CLIENTE]]-Tabla156798[[#This Row],[CANTIDAD PUBLICA]]</f>
        <v>1502</v>
      </c>
      <c r="L468" s="10">
        <f>Tabla156798[[#This Row],[COMISION AGENCIA]]*0.05</f>
        <v>75.100000000000009</v>
      </c>
      <c r="M468" s="7"/>
      <c r="N468" s="7" t="s">
        <v>2586</v>
      </c>
      <c r="O468" s="7" t="s">
        <v>47</v>
      </c>
      <c r="P468" s="7"/>
    </row>
    <row r="469" spans="1:16" x14ac:dyDescent="0.25">
      <c r="A469" s="14">
        <v>44987</v>
      </c>
      <c r="B469" s="14">
        <v>44987</v>
      </c>
      <c r="C469" s="6">
        <v>44987</v>
      </c>
      <c r="D469" s="6">
        <v>44989</v>
      </c>
      <c r="E469" s="7"/>
      <c r="F469" s="115">
        <v>23811</v>
      </c>
      <c r="G469" s="8" t="s">
        <v>2587</v>
      </c>
      <c r="H469" s="8" t="s">
        <v>1788</v>
      </c>
      <c r="I469" s="8">
        <v>2203</v>
      </c>
      <c r="J469" s="8">
        <v>2630</v>
      </c>
      <c r="K469" s="9">
        <f>Tabla156798[[#This Row],[PRECIO CLIENTE]]-Tabla156798[[#This Row],[CANTIDAD PUBLICA]]</f>
        <v>427</v>
      </c>
      <c r="L469" s="10">
        <f>Tabla156798[[#This Row],[COMISION AGENCIA]]*0.05</f>
        <v>21.35</v>
      </c>
      <c r="M469" s="7"/>
      <c r="N469" s="7" t="s">
        <v>2588</v>
      </c>
      <c r="O469" s="7" t="s">
        <v>47</v>
      </c>
      <c r="P469" s="7"/>
    </row>
    <row r="470" spans="1:16" x14ac:dyDescent="0.25">
      <c r="A470" s="14">
        <v>44988</v>
      </c>
      <c r="B470" s="14">
        <v>44988</v>
      </c>
      <c r="C470" s="6">
        <v>44988</v>
      </c>
      <c r="D470" s="6">
        <v>44965</v>
      </c>
      <c r="E470" s="7"/>
      <c r="F470" s="115">
        <v>23815</v>
      </c>
      <c r="G470" s="8" t="s">
        <v>2589</v>
      </c>
      <c r="H470" s="8" t="s">
        <v>1833</v>
      </c>
      <c r="I470" s="8">
        <v>2487</v>
      </c>
      <c r="J470" s="8">
        <v>2840</v>
      </c>
      <c r="K470" s="9">
        <f>Tabla156798[[#This Row],[PRECIO CLIENTE]]-Tabla156798[[#This Row],[CANTIDAD PUBLICA]]</f>
        <v>353</v>
      </c>
      <c r="L470" s="10">
        <f>Tabla156798[[#This Row],[COMISION AGENCIA]]*0.05</f>
        <v>17.650000000000002</v>
      </c>
      <c r="M470" s="7"/>
      <c r="N470" s="7" t="s">
        <v>2590</v>
      </c>
      <c r="O470" s="7" t="s">
        <v>47</v>
      </c>
      <c r="P470" s="7"/>
    </row>
    <row r="471" spans="1:16" x14ac:dyDescent="0.25">
      <c r="A471" s="14">
        <v>44988</v>
      </c>
      <c r="B471" s="14">
        <v>44988</v>
      </c>
      <c r="C471" s="6">
        <v>44988</v>
      </c>
      <c r="D471" s="6">
        <v>44988</v>
      </c>
      <c r="E471" s="7"/>
      <c r="F471" s="115">
        <v>23816</v>
      </c>
      <c r="G471" s="8" t="s">
        <v>2591</v>
      </c>
      <c r="H471" s="8" t="s">
        <v>1544</v>
      </c>
      <c r="I471" s="8">
        <v>2499</v>
      </c>
      <c r="J471" s="8">
        <v>2855</v>
      </c>
      <c r="K471" s="9">
        <f>Tabla156798[[#This Row],[PRECIO CLIENTE]]-Tabla156798[[#This Row],[CANTIDAD PUBLICA]]</f>
        <v>356</v>
      </c>
      <c r="L471" s="10">
        <f>Tabla156798[[#This Row],[COMISION AGENCIA]]*0.05</f>
        <v>17.8</v>
      </c>
      <c r="M471" s="7"/>
      <c r="N471" s="7" t="s">
        <v>2592</v>
      </c>
      <c r="O471" s="7" t="s">
        <v>47</v>
      </c>
      <c r="P471" s="7"/>
    </row>
    <row r="472" spans="1:16" x14ac:dyDescent="0.25">
      <c r="A472" s="14">
        <v>44988</v>
      </c>
      <c r="B472" s="14">
        <v>44988</v>
      </c>
      <c r="C472" s="6">
        <v>44988</v>
      </c>
      <c r="D472" s="6">
        <v>45033</v>
      </c>
      <c r="E472" s="6">
        <v>45038</v>
      </c>
      <c r="F472" s="115">
        <v>23823</v>
      </c>
      <c r="G472" s="8" t="s">
        <v>2593</v>
      </c>
      <c r="H472" s="8" t="s">
        <v>1290</v>
      </c>
      <c r="I472" s="8">
        <v>5212</v>
      </c>
      <c r="J472" s="8">
        <v>6660</v>
      </c>
      <c r="K472" s="9">
        <f>Tabla156798[[#This Row],[PRECIO CLIENTE]]-Tabla156798[[#This Row],[CANTIDAD PUBLICA]]</f>
        <v>1448</v>
      </c>
      <c r="L472" s="10">
        <f>Tabla156798[[#This Row],[COMISION AGENCIA]]*0.05</f>
        <v>72.400000000000006</v>
      </c>
      <c r="M472" s="7"/>
      <c r="N472" s="7" t="s">
        <v>2594</v>
      </c>
      <c r="O472" s="7" t="s">
        <v>86</v>
      </c>
      <c r="P472" s="7"/>
    </row>
    <row r="473" spans="1:16" x14ac:dyDescent="0.25">
      <c r="A473" s="14">
        <f>Tabla156798[[#This Row],[FECHA IN]]-15</f>
        <v>44990</v>
      </c>
      <c r="B473" s="14">
        <v>44984</v>
      </c>
      <c r="C473" s="6">
        <v>44979</v>
      </c>
      <c r="D473" s="6">
        <v>45005</v>
      </c>
      <c r="E473" s="6">
        <v>45009</v>
      </c>
      <c r="F473" s="115" t="s">
        <v>2595</v>
      </c>
      <c r="G473" s="8" t="s">
        <v>2596</v>
      </c>
      <c r="H473" s="8" t="s">
        <v>2597</v>
      </c>
      <c r="I473" s="8">
        <v>21811.8</v>
      </c>
      <c r="J473" s="8">
        <v>18980</v>
      </c>
      <c r="K473" s="9">
        <f>Tabla156798[[#This Row],[CANTIDAD PUBLICA]]*0.05</f>
        <v>1090.5899999999999</v>
      </c>
      <c r="L473" s="10">
        <f>Tabla156798[[#This Row],[COMISION AGENCIA]]*0.05</f>
        <v>54.529499999999999</v>
      </c>
      <c r="M473" s="7">
        <v>3481049451</v>
      </c>
      <c r="N473" s="7" t="s">
        <v>2598</v>
      </c>
      <c r="O473" s="7" t="s">
        <v>6</v>
      </c>
      <c r="P473" s="7"/>
    </row>
    <row r="474" spans="1:16" x14ac:dyDescent="0.25">
      <c r="A474" s="14">
        <v>44990</v>
      </c>
      <c r="B474" s="14">
        <v>44990</v>
      </c>
      <c r="C474" s="6">
        <v>44990</v>
      </c>
      <c r="D474" s="6">
        <v>44991</v>
      </c>
      <c r="E474" s="7"/>
      <c r="F474" s="115">
        <v>23835</v>
      </c>
      <c r="G474" s="8" t="s">
        <v>2599</v>
      </c>
      <c r="H474" s="8" t="s">
        <v>1846</v>
      </c>
      <c r="I474" s="8">
        <v>7235</v>
      </c>
      <c r="J474" s="8">
        <v>8610</v>
      </c>
      <c r="K474" s="9">
        <f>Tabla156798[[#This Row],[PRECIO CLIENTE]]-Tabla156798[[#This Row],[CANTIDAD PUBLICA]]</f>
        <v>1375</v>
      </c>
      <c r="L474" s="10">
        <f>Tabla156798[[#This Row],[COMISION AGENCIA]]*0.05</f>
        <v>68.75</v>
      </c>
      <c r="M474" s="7"/>
      <c r="N474" s="7" t="s">
        <v>2600</v>
      </c>
      <c r="O474" s="7" t="s">
        <v>47</v>
      </c>
      <c r="P474" s="7"/>
    </row>
    <row r="475" spans="1:16" x14ac:dyDescent="0.25">
      <c r="A475" s="14">
        <v>44990</v>
      </c>
      <c r="B475" s="14">
        <v>44990</v>
      </c>
      <c r="C475" s="6">
        <v>44990</v>
      </c>
      <c r="D475" s="6">
        <v>45014</v>
      </c>
      <c r="E475" s="7"/>
      <c r="F475" s="115">
        <v>23838</v>
      </c>
      <c r="G475" s="8" t="s">
        <v>2601</v>
      </c>
      <c r="H475" s="8" t="s">
        <v>1541</v>
      </c>
      <c r="I475" s="8">
        <v>6982</v>
      </c>
      <c r="J475" s="8">
        <v>7930</v>
      </c>
      <c r="K475" s="9">
        <f>Tabla156798[[#This Row],[PRECIO CLIENTE]]-Tabla156798[[#This Row],[CANTIDAD PUBLICA]]</f>
        <v>948</v>
      </c>
      <c r="L475" s="10">
        <f>Tabla156798[[#This Row],[COMISION AGENCIA]]*0.05</f>
        <v>47.400000000000006</v>
      </c>
      <c r="M475" s="7"/>
      <c r="N475" s="7" t="s">
        <v>2602</v>
      </c>
      <c r="O475" s="7" t="s">
        <v>47</v>
      </c>
      <c r="P475" s="7"/>
    </row>
    <row r="476" spans="1:16" x14ac:dyDescent="0.25">
      <c r="A476" s="14">
        <v>44991</v>
      </c>
      <c r="B476" s="14">
        <v>44991</v>
      </c>
      <c r="C476" s="6">
        <v>44991</v>
      </c>
      <c r="D476" s="6">
        <v>44997</v>
      </c>
      <c r="E476" s="7"/>
      <c r="F476" s="115">
        <v>23840</v>
      </c>
      <c r="G476" s="8" t="s">
        <v>2603</v>
      </c>
      <c r="H476" s="8" t="s">
        <v>2253</v>
      </c>
      <c r="I476" s="8">
        <v>4581</v>
      </c>
      <c r="J476" s="8">
        <v>5035</v>
      </c>
      <c r="K476" s="9">
        <f>Tabla156798[[#This Row],[PRECIO CLIENTE]]-Tabla156798[[#This Row],[CANTIDAD PUBLICA]]</f>
        <v>454</v>
      </c>
      <c r="L476" s="10">
        <f>Tabla156798[[#This Row],[COMISION AGENCIA]]*0.05</f>
        <v>22.700000000000003</v>
      </c>
      <c r="M476" s="7"/>
      <c r="N476" s="7" t="s">
        <v>2604</v>
      </c>
      <c r="O476" s="7" t="s">
        <v>47</v>
      </c>
      <c r="P476" s="7"/>
    </row>
    <row r="477" spans="1:16" x14ac:dyDescent="0.25">
      <c r="A477" s="14">
        <v>44991</v>
      </c>
      <c r="B477" s="14">
        <v>44991</v>
      </c>
      <c r="C477" s="6">
        <v>44991</v>
      </c>
      <c r="D477" s="6">
        <v>45003</v>
      </c>
      <c r="E477" s="7"/>
      <c r="F477" s="115">
        <v>23841</v>
      </c>
      <c r="G477" s="8" t="s">
        <v>2605</v>
      </c>
      <c r="H477" s="8" t="s">
        <v>2606</v>
      </c>
      <c r="I477" s="8">
        <v>6094</v>
      </c>
      <c r="J477" s="8">
        <v>6930</v>
      </c>
      <c r="K477" s="9">
        <f>Tabla156798[[#This Row],[PRECIO CLIENTE]]-Tabla156798[[#This Row],[CANTIDAD PUBLICA]]</f>
        <v>836</v>
      </c>
      <c r="L477" s="10">
        <f>Tabla156798[[#This Row],[COMISION AGENCIA]]*0.05</f>
        <v>41.800000000000004</v>
      </c>
      <c r="M477" s="7"/>
      <c r="N477" s="7" t="s">
        <v>2607</v>
      </c>
      <c r="O477" s="7" t="s">
        <v>47</v>
      </c>
      <c r="P477" s="7"/>
    </row>
    <row r="478" spans="1:16" x14ac:dyDescent="0.25">
      <c r="A478" s="14">
        <v>44991</v>
      </c>
      <c r="B478" s="14">
        <v>44991</v>
      </c>
      <c r="C478" s="6">
        <v>44991</v>
      </c>
      <c r="D478" s="6">
        <v>45239</v>
      </c>
      <c r="E478" s="6">
        <v>45246</v>
      </c>
      <c r="F478" s="115">
        <v>23844</v>
      </c>
      <c r="G478" s="8" t="s">
        <v>2608</v>
      </c>
      <c r="H478" s="8" t="s">
        <v>1858</v>
      </c>
      <c r="I478" s="8">
        <v>5614</v>
      </c>
      <c r="J478" s="8">
        <v>6120</v>
      </c>
      <c r="K478" s="9">
        <f>Tabla156798[[#This Row],[CANTIDAD PUBLICA]]*0.05</f>
        <v>280.7</v>
      </c>
      <c r="L478" s="10">
        <f>Tabla156798[[#This Row],[COMISION AGENCIA]]*0.05</f>
        <v>14.035</v>
      </c>
      <c r="M478" s="7"/>
      <c r="N478" s="7" t="s">
        <v>2609</v>
      </c>
      <c r="O478" s="7" t="s">
        <v>47</v>
      </c>
      <c r="P478" s="7"/>
    </row>
    <row r="479" spans="1:16" x14ac:dyDescent="0.25">
      <c r="A479" s="14">
        <v>44991</v>
      </c>
      <c r="B479" s="14">
        <v>44991</v>
      </c>
      <c r="C479" s="6">
        <v>44991</v>
      </c>
      <c r="D479" s="6">
        <v>45037</v>
      </c>
      <c r="E479" s="6">
        <v>45054</v>
      </c>
      <c r="F479" s="115">
        <v>23851</v>
      </c>
      <c r="G479" s="8" t="s">
        <v>2610</v>
      </c>
      <c r="H479" s="8" t="s">
        <v>2611</v>
      </c>
      <c r="I479" s="8">
        <v>27665</v>
      </c>
      <c r="J479" s="8">
        <v>31200</v>
      </c>
      <c r="K479" s="9">
        <f>Tabla156798[[#This Row],[PRECIO CLIENTE]]-Tabla156798[[#This Row],[CANTIDAD PUBLICA]]</f>
        <v>3535</v>
      </c>
      <c r="L479" s="10">
        <f>Tabla156798[[#This Row],[COMISION AGENCIA]]*0.05</f>
        <v>176.75</v>
      </c>
      <c r="M479" s="7"/>
      <c r="N479" s="7" t="s">
        <v>2612</v>
      </c>
      <c r="O479" s="7" t="s">
        <v>47</v>
      </c>
      <c r="P479" s="7"/>
    </row>
    <row r="480" spans="1:16" x14ac:dyDescent="0.25">
      <c r="A480" s="14">
        <v>44991</v>
      </c>
      <c r="B480" s="14">
        <v>44991</v>
      </c>
      <c r="C480" s="6">
        <v>44991</v>
      </c>
      <c r="D480" s="6">
        <v>44998</v>
      </c>
      <c r="E480" s="6">
        <v>45002</v>
      </c>
      <c r="F480" s="115">
        <v>23854</v>
      </c>
      <c r="G480" s="8" t="s">
        <v>2613</v>
      </c>
      <c r="H480" s="8" t="s">
        <v>1703</v>
      </c>
      <c r="I480" s="8">
        <v>17256.349999999999</v>
      </c>
      <c r="J480" s="8">
        <v>15190</v>
      </c>
      <c r="K480" s="9">
        <f>Tabla156798[[#This Row],[CANTIDAD PUBLICA]]*0.05</f>
        <v>862.8175</v>
      </c>
      <c r="L480" s="10">
        <f>Tabla156798[[#This Row],[COMISION AGENCIA]]*0.05</f>
        <v>43.140875000000001</v>
      </c>
      <c r="M480" s="7">
        <v>3481342052</v>
      </c>
      <c r="N480" s="7" t="s">
        <v>2614</v>
      </c>
      <c r="O480" s="7" t="s">
        <v>6</v>
      </c>
      <c r="P480" s="7"/>
    </row>
    <row r="481" spans="1:16" x14ac:dyDescent="0.25">
      <c r="A481" s="14">
        <v>44991</v>
      </c>
      <c r="B481" s="14">
        <v>44991</v>
      </c>
      <c r="C481" s="6">
        <v>44991</v>
      </c>
      <c r="D481" s="6">
        <v>44998</v>
      </c>
      <c r="E481" s="6">
        <v>45002</v>
      </c>
      <c r="F481" s="115">
        <v>23854</v>
      </c>
      <c r="G481" s="8" t="s">
        <v>2615</v>
      </c>
      <c r="H481" s="8" t="s">
        <v>1703</v>
      </c>
      <c r="I481" s="8">
        <v>17256.349999999999</v>
      </c>
      <c r="J481" s="8">
        <v>15190</v>
      </c>
      <c r="K481" s="9">
        <f>Tabla156798[[#This Row],[CANTIDAD PUBLICA]]*0.05</f>
        <v>862.8175</v>
      </c>
      <c r="L481" s="10">
        <f>Tabla156798[[#This Row],[COMISION AGENCIA]]*0.05</f>
        <v>43.140875000000001</v>
      </c>
      <c r="M481" s="7">
        <v>3481342052</v>
      </c>
      <c r="N481" s="7" t="s">
        <v>2614</v>
      </c>
      <c r="O481" s="7" t="s">
        <v>6</v>
      </c>
      <c r="P481" s="7"/>
    </row>
    <row r="482" spans="1:16" x14ac:dyDescent="0.25">
      <c r="A482" s="14">
        <v>44991</v>
      </c>
      <c r="B482" s="14">
        <v>44991</v>
      </c>
      <c r="C482" s="6">
        <v>44991</v>
      </c>
      <c r="D482" s="6">
        <v>44998</v>
      </c>
      <c r="E482" s="6">
        <v>45002</v>
      </c>
      <c r="F482" s="115">
        <v>23854</v>
      </c>
      <c r="G482" s="8" t="s">
        <v>2616</v>
      </c>
      <c r="H482" s="8" t="s">
        <v>1703</v>
      </c>
      <c r="I482" s="8">
        <v>17256.349999999999</v>
      </c>
      <c r="J482" s="8">
        <v>15190</v>
      </c>
      <c r="K482" s="9">
        <f>Tabla156798[[#This Row],[CANTIDAD PUBLICA]]*0.05</f>
        <v>862.8175</v>
      </c>
      <c r="L482" s="10">
        <f>Tabla156798[[#This Row],[COMISION AGENCIA]]*0.05</f>
        <v>43.140875000000001</v>
      </c>
      <c r="M482" s="7">
        <v>3481342052</v>
      </c>
      <c r="N482" s="7" t="s">
        <v>2614</v>
      </c>
      <c r="O482" s="7" t="s">
        <v>6</v>
      </c>
      <c r="P482" s="7"/>
    </row>
    <row r="483" spans="1:16" x14ac:dyDescent="0.25">
      <c r="A483" s="14">
        <v>44992</v>
      </c>
      <c r="B483" s="14">
        <v>44992</v>
      </c>
      <c r="C483" s="6">
        <v>44992</v>
      </c>
      <c r="D483" s="6">
        <v>45054</v>
      </c>
      <c r="E483" s="7"/>
      <c r="F483" s="115">
        <v>23861</v>
      </c>
      <c r="G483" s="8" t="s">
        <v>2617</v>
      </c>
      <c r="H483" s="8" t="s">
        <v>1843</v>
      </c>
      <c r="I483" s="8">
        <v>6610</v>
      </c>
      <c r="J483" s="8">
        <v>7870</v>
      </c>
      <c r="K483" s="9">
        <f>Tabla156798[[#This Row],[PRECIO CLIENTE]]-Tabla156798[[#This Row],[CANTIDAD PUBLICA]]</f>
        <v>1260</v>
      </c>
      <c r="L483" s="10">
        <f>Tabla156798[[#This Row],[COMISION AGENCIA]]*0.05</f>
        <v>63</v>
      </c>
      <c r="M483" s="7"/>
      <c r="N483" s="7" t="s">
        <v>2618</v>
      </c>
      <c r="O483" s="7" t="s">
        <v>47</v>
      </c>
      <c r="P483" s="7"/>
    </row>
    <row r="484" spans="1:16" x14ac:dyDescent="0.25">
      <c r="A484" s="14">
        <v>44992</v>
      </c>
      <c r="B484" s="14" t="s">
        <v>2468</v>
      </c>
      <c r="C484" s="6">
        <v>44992</v>
      </c>
      <c r="D484" s="6">
        <v>44995</v>
      </c>
      <c r="E484" s="6">
        <v>44999</v>
      </c>
      <c r="F484" s="115">
        <v>23856</v>
      </c>
      <c r="G484" s="8" t="s">
        <v>2619</v>
      </c>
      <c r="H484" s="8" t="s">
        <v>1643</v>
      </c>
      <c r="I484" s="8">
        <v>36850.21</v>
      </c>
      <c r="J484" s="8">
        <v>32070</v>
      </c>
      <c r="K484" s="9">
        <f>Tabla156798[[#This Row],[CANTIDAD PUBLICA]]*0.05</f>
        <v>1842.5105000000001</v>
      </c>
      <c r="L484" s="10">
        <f>Tabla156798[[#This Row],[COMISION AGENCIA]]*0.05</f>
        <v>92.12552500000001</v>
      </c>
      <c r="M484" s="7">
        <v>3481350040</v>
      </c>
      <c r="N484" s="7" t="s">
        <v>2620</v>
      </c>
      <c r="O484" s="7" t="s">
        <v>6</v>
      </c>
      <c r="P484" s="7"/>
    </row>
    <row r="485" spans="1:16" x14ac:dyDescent="0.25">
      <c r="A485" s="14">
        <v>44993</v>
      </c>
      <c r="B485" s="14">
        <v>44993</v>
      </c>
      <c r="C485" s="6">
        <v>44993</v>
      </c>
      <c r="D485" s="6">
        <v>44997</v>
      </c>
      <c r="E485" s="7"/>
      <c r="F485" s="115" t="s">
        <v>2621</v>
      </c>
      <c r="G485" s="8" t="s">
        <v>2591</v>
      </c>
      <c r="H485" s="8" t="s">
        <v>1906</v>
      </c>
      <c r="I485" s="8">
        <v>3548</v>
      </c>
      <c r="J485" s="8">
        <v>4240</v>
      </c>
      <c r="K485" s="9">
        <f>Tabla156798[[#This Row],[PRECIO CLIENTE]]-Tabla156798[[#This Row],[CANTIDAD PUBLICA]]</f>
        <v>692</v>
      </c>
      <c r="L485" s="10">
        <f>Tabla156798[[#This Row],[COMISION AGENCIA]]*0.05</f>
        <v>34.6</v>
      </c>
      <c r="M485" s="7"/>
      <c r="N485" s="7" t="s">
        <v>2622</v>
      </c>
      <c r="O485" s="7" t="s">
        <v>47</v>
      </c>
      <c r="P485" s="7"/>
    </row>
    <row r="486" spans="1:16" x14ac:dyDescent="0.25">
      <c r="A486" s="14">
        <v>44993</v>
      </c>
      <c r="B486" s="14">
        <v>44993</v>
      </c>
      <c r="C486" s="6">
        <v>44993</v>
      </c>
      <c r="D486" s="6">
        <v>45017</v>
      </c>
      <c r="E486" s="6">
        <v>45031</v>
      </c>
      <c r="F486" s="115">
        <v>23892</v>
      </c>
      <c r="G486" s="8" t="s">
        <v>2623</v>
      </c>
      <c r="H486" s="8" t="s">
        <v>1906</v>
      </c>
      <c r="I486" s="8">
        <v>11126</v>
      </c>
      <c r="J486" s="8">
        <v>12060</v>
      </c>
      <c r="K486" s="9">
        <f>Tabla156798[[#This Row],[PRECIO CLIENTE]]-Tabla156798[[#This Row],[CANTIDAD PUBLICA]]</f>
        <v>934</v>
      </c>
      <c r="L486" s="10">
        <f>Tabla156798[[#This Row],[COMISION AGENCIA]]*0.05</f>
        <v>46.7</v>
      </c>
      <c r="M486" s="7"/>
      <c r="N486" s="7" t="s">
        <v>2624</v>
      </c>
      <c r="O486" s="7" t="s">
        <v>47</v>
      </c>
      <c r="P486" s="7"/>
    </row>
    <row r="487" spans="1:16" x14ac:dyDescent="0.25">
      <c r="A487" s="14">
        <v>44993</v>
      </c>
      <c r="B487" s="14">
        <v>44993</v>
      </c>
      <c r="C487" s="6">
        <v>44993</v>
      </c>
      <c r="D487" s="6">
        <v>45252</v>
      </c>
      <c r="E487" s="6">
        <v>45295</v>
      </c>
      <c r="F487" s="115">
        <v>23895</v>
      </c>
      <c r="G487" s="8" t="s">
        <v>2625</v>
      </c>
      <c r="H487" s="8" t="s">
        <v>1532</v>
      </c>
      <c r="I487" s="8">
        <v>6846</v>
      </c>
      <c r="J487" s="8">
        <v>7640</v>
      </c>
      <c r="K487" s="9">
        <f>Tabla156798[[#This Row],[PRECIO CLIENTE]]-Tabla156798[[#This Row],[CANTIDAD PUBLICA]]</f>
        <v>794</v>
      </c>
      <c r="L487" s="10">
        <f>Tabla156798[[#This Row],[COMISION AGENCIA]]*0.05</f>
        <v>39.700000000000003</v>
      </c>
      <c r="M487" s="7"/>
      <c r="N487" s="7" t="s">
        <v>2626</v>
      </c>
      <c r="O487" s="7" t="s">
        <v>47</v>
      </c>
      <c r="P487" s="7"/>
    </row>
    <row r="488" spans="1:16" x14ac:dyDescent="0.25">
      <c r="A488" s="14">
        <v>44993</v>
      </c>
      <c r="B488" s="14">
        <v>44993</v>
      </c>
      <c r="C488" s="6">
        <v>44993</v>
      </c>
      <c r="D488" s="6">
        <v>45008</v>
      </c>
      <c r="E488" s="6">
        <v>45011</v>
      </c>
      <c r="F488" s="115">
        <v>23904</v>
      </c>
      <c r="G488" s="63" t="s">
        <v>2627</v>
      </c>
      <c r="H488" s="8" t="s">
        <v>2286</v>
      </c>
      <c r="I488" s="8">
        <v>8362.68</v>
      </c>
      <c r="J488" s="8">
        <v>8925</v>
      </c>
      <c r="K488" s="9">
        <f>Tabla156798[[#This Row],[PRECIO CLIENTE]]-Tabla156798[[#This Row],[CANTIDAD PUBLICA]]</f>
        <v>562.31999999999971</v>
      </c>
      <c r="L488" s="10">
        <f>Tabla156798[[#This Row],[COMISION AGENCIA]]*0.05</f>
        <v>28.115999999999985</v>
      </c>
      <c r="M488" s="7"/>
      <c r="N488" s="7" t="s">
        <v>2628</v>
      </c>
      <c r="O488" s="7" t="s">
        <v>86</v>
      </c>
      <c r="P488" s="7"/>
    </row>
    <row r="489" spans="1:16" x14ac:dyDescent="0.25">
      <c r="A489" s="14">
        <v>44994</v>
      </c>
      <c r="B489" s="14">
        <v>44994</v>
      </c>
      <c r="C489" s="6">
        <v>44994</v>
      </c>
      <c r="D489" s="6">
        <v>45008</v>
      </c>
      <c r="E489" s="6">
        <v>45015</v>
      </c>
      <c r="F489" s="115">
        <v>23911</v>
      </c>
      <c r="G489" s="8" t="s">
        <v>2629</v>
      </c>
      <c r="H489" s="8" t="s">
        <v>1833</v>
      </c>
      <c r="I489" s="8">
        <v>12644</v>
      </c>
      <c r="J489" s="8">
        <v>14630</v>
      </c>
      <c r="K489" s="9">
        <f>Tabla156798[[#This Row],[PRECIO CLIENTE]]-Tabla156798[[#This Row],[CANTIDAD PUBLICA]]</f>
        <v>1986</v>
      </c>
      <c r="L489" s="10">
        <f>Tabla156798[[#This Row],[COMISION AGENCIA]]*0.05</f>
        <v>99.300000000000011</v>
      </c>
      <c r="M489" s="7"/>
      <c r="N489" s="7" t="s">
        <v>2630</v>
      </c>
      <c r="O489" s="7" t="s">
        <v>47</v>
      </c>
      <c r="P489" s="7"/>
    </row>
    <row r="490" spans="1:16" x14ac:dyDescent="0.25">
      <c r="A490" s="14">
        <v>44994</v>
      </c>
      <c r="B490" s="14">
        <v>44994</v>
      </c>
      <c r="C490" s="6">
        <v>44994</v>
      </c>
      <c r="D490" s="6">
        <v>44995</v>
      </c>
      <c r="E490" s="7"/>
      <c r="F490" s="115">
        <v>23913</v>
      </c>
      <c r="G490" s="63" t="s">
        <v>2470</v>
      </c>
      <c r="H490" s="8" t="s">
        <v>1726</v>
      </c>
      <c r="I490" s="8">
        <v>10046</v>
      </c>
      <c r="J490" s="8">
        <v>10760</v>
      </c>
      <c r="K490" s="9">
        <f>Tabla156798[[#This Row],[PRECIO CLIENTE]]-Tabla156798[[#This Row],[CANTIDAD PUBLICA]]</f>
        <v>714</v>
      </c>
      <c r="L490" s="10">
        <f>Tabla156798[[#This Row],[COMISION AGENCIA]]*0.05</f>
        <v>35.700000000000003</v>
      </c>
      <c r="M490" s="7"/>
      <c r="N490" s="7" t="s">
        <v>2631</v>
      </c>
      <c r="O490" s="7" t="s">
        <v>86</v>
      </c>
      <c r="P490" s="7"/>
    </row>
    <row r="491" spans="1:16" x14ac:dyDescent="0.25">
      <c r="A491" s="14">
        <v>44994</v>
      </c>
      <c r="B491" s="14">
        <v>44994</v>
      </c>
      <c r="C491" s="6">
        <v>44994</v>
      </c>
      <c r="D491" s="6">
        <v>45099</v>
      </c>
      <c r="E491" s="6">
        <v>45112</v>
      </c>
      <c r="F491" s="115">
        <v>23912</v>
      </c>
      <c r="G491" s="8" t="s">
        <v>2632</v>
      </c>
      <c r="H491" s="8" t="s">
        <v>1631</v>
      </c>
      <c r="I491" s="8">
        <v>10599</v>
      </c>
      <c r="J491" s="8">
        <v>11700</v>
      </c>
      <c r="K491" s="9">
        <f>Tabla156798[[#This Row],[PRECIO CLIENTE]]-Tabla156798[[#This Row],[CANTIDAD PUBLICA]]</f>
        <v>1101</v>
      </c>
      <c r="L491" s="10">
        <f>Tabla156798[[#This Row],[COMISION AGENCIA]]*0.05</f>
        <v>55.050000000000004</v>
      </c>
      <c r="M491" s="7"/>
      <c r="N491" s="7" t="s">
        <v>2633</v>
      </c>
      <c r="O491" s="7" t="s">
        <v>47</v>
      </c>
      <c r="P491" s="7"/>
    </row>
    <row r="492" spans="1:16" x14ac:dyDescent="0.25">
      <c r="A492" s="14">
        <v>44994</v>
      </c>
      <c r="B492" s="14">
        <v>44994</v>
      </c>
      <c r="C492" s="6">
        <v>44988</v>
      </c>
      <c r="D492" s="6">
        <v>44998</v>
      </c>
      <c r="E492" s="6">
        <v>45006</v>
      </c>
      <c r="F492" s="115" t="s">
        <v>2634</v>
      </c>
      <c r="G492" s="8" t="s">
        <v>2635</v>
      </c>
      <c r="H492" s="8" t="s">
        <v>1788</v>
      </c>
      <c r="I492" s="8">
        <v>6843</v>
      </c>
      <c r="J492" s="8">
        <v>7590</v>
      </c>
      <c r="K492" s="9">
        <f>Tabla156798[[#This Row],[PRECIO CLIENTE]]-Tabla156798[[#This Row],[CANTIDAD PUBLICA]]</f>
        <v>747</v>
      </c>
      <c r="L492" s="10">
        <f>Tabla156798[[#This Row],[COMISION AGENCIA]]*0.05</f>
        <v>37.35</v>
      </c>
      <c r="M492" s="7"/>
      <c r="N492" s="7" t="s">
        <v>2636</v>
      </c>
      <c r="O492" s="7" t="s">
        <v>47</v>
      </c>
      <c r="P492" s="7"/>
    </row>
    <row r="493" spans="1:16" x14ac:dyDescent="0.25">
      <c r="A493" s="14">
        <v>44994</v>
      </c>
      <c r="B493" s="14">
        <v>44994</v>
      </c>
      <c r="C493" s="6">
        <v>44988</v>
      </c>
      <c r="D493" s="6">
        <v>44998</v>
      </c>
      <c r="E493" s="6">
        <v>45006</v>
      </c>
      <c r="F493" s="115" t="s">
        <v>2634</v>
      </c>
      <c r="G493" s="8" t="s">
        <v>2637</v>
      </c>
      <c r="H493" s="8" t="s">
        <v>1788</v>
      </c>
      <c r="I493" s="8">
        <v>6843</v>
      </c>
      <c r="J493" s="8">
        <v>7590</v>
      </c>
      <c r="K493" s="9">
        <f>Tabla156798[[#This Row],[PRECIO CLIENTE]]-Tabla156798[[#This Row],[CANTIDAD PUBLICA]]</f>
        <v>747</v>
      </c>
      <c r="L493" s="10">
        <f>Tabla156798[[#This Row],[COMISION AGENCIA]]*0.05</f>
        <v>37.35</v>
      </c>
      <c r="M493" s="7"/>
      <c r="N493" s="7" t="s">
        <v>2638</v>
      </c>
      <c r="O493" s="7" t="s">
        <v>47</v>
      </c>
      <c r="P493" s="7"/>
    </row>
    <row r="494" spans="1:16" x14ac:dyDescent="0.25">
      <c r="A494" s="14">
        <v>44995</v>
      </c>
      <c r="B494" s="14">
        <v>44995</v>
      </c>
      <c r="C494" s="6">
        <v>44995</v>
      </c>
      <c r="D494" s="6">
        <v>45003</v>
      </c>
      <c r="E494" s="6">
        <v>45016</v>
      </c>
      <c r="F494" s="115">
        <v>23919</v>
      </c>
      <c r="G494" s="8" t="s">
        <v>2639</v>
      </c>
      <c r="H494" s="8" t="s">
        <v>2159</v>
      </c>
      <c r="I494" s="8">
        <v>10661</v>
      </c>
      <c r="J494" s="8">
        <v>11400</v>
      </c>
      <c r="K494" s="9">
        <f>Tabla156798[[#This Row],[PRECIO CLIENTE]]-Tabla156798[[#This Row],[CANTIDAD PUBLICA]]</f>
        <v>739</v>
      </c>
      <c r="L494" s="10">
        <f>Tabla156798[[#This Row],[COMISION AGENCIA]]*0.05</f>
        <v>36.950000000000003</v>
      </c>
      <c r="M494" s="7"/>
      <c r="N494" s="7" t="s">
        <v>2640</v>
      </c>
      <c r="O494" s="7" t="s">
        <v>47</v>
      </c>
      <c r="P494" s="7"/>
    </row>
    <row r="495" spans="1:16" x14ac:dyDescent="0.25">
      <c r="A495" s="14">
        <v>44995</v>
      </c>
      <c r="B495" s="14">
        <v>44995</v>
      </c>
      <c r="C495" s="6">
        <v>44989</v>
      </c>
      <c r="D495" s="6">
        <v>45017</v>
      </c>
      <c r="E495" s="7"/>
      <c r="F495" s="115">
        <v>23932</v>
      </c>
      <c r="G495" s="8" t="s">
        <v>2641</v>
      </c>
      <c r="H495" s="8" t="s">
        <v>1625</v>
      </c>
      <c r="I495" s="8">
        <v>6956</v>
      </c>
      <c r="J495" s="8">
        <v>7620</v>
      </c>
      <c r="K495" s="9">
        <f>Tabla156798[[#This Row],[PRECIO CLIENTE]]-Tabla156798[[#This Row],[CANTIDAD PUBLICA]]</f>
        <v>664</v>
      </c>
      <c r="L495" s="10">
        <f>Tabla156798[[#This Row],[COMISION AGENCIA]]*0.05</f>
        <v>33.200000000000003</v>
      </c>
      <c r="M495" s="7"/>
      <c r="N495" s="7" t="s">
        <v>2642</v>
      </c>
      <c r="O495" s="7" t="s">
        <v>86</v>
      </c>
      <c r="P495" s="7"/>
    </row>
    <row r="496" spans="1:16" x14ac:dyDescent="0.25">
      <c r="A496" s="14">
        <f>Tabla156798[[#This Row],[FECHA IN]]-15</f>
        <v>44996</v>
      </c>
      <c r="B496" s="14">
        <v>44996</v>
      </c>
      <c r="C496" s="6">
        <v>44996</v>
      </c>
      <c r="D496" s="6">
        <v>45011</v>
      </c>
      <c r="E496" s="6">
        <v>45015</v>
      </c>
      <c r="F496" s="115">
        <v>23091</v>
      </c>
      <c r="G496" s="8" t="s">
        <v>2208</v>
      </c>
      <c r="H496" s="8" t="s">
        <v>2643</v>
      </c>
      <c r="I496" s="8">
        <f>114*19.94</f>
        <v>2273.1600000000003</v>
      </c>
      <c r="J496" s="8">
        <f>105*19.94</f>
        <v>2093.7000000000003</v>
      </c>
      <c r="K496" s="9">
        <f>Tabla156798[[#This Row],[CANTIDAD PUBLICA]]*0.05</f>
        <v>113.65800000000002</v>
      </c>
      <c r="L496" s="10">
        <f>Tabla156798[[#This Row],[COMISION AGENCIA]]*0.05</f>
        <v>5.682900000000001</v>
      </c>
      <c r="M496" s="7">
        <v>13122008378</v>
      </c>
      <c r="N496" s="7">
        <v>10242928</v>
      </c>
      <c r="O496" s="7" t="s">
        <v>5</v>
      </c>
      <c r="P496" s="7" t="s">
        <v>2644</v>
      </c>
    </row>
    <row r="497" spans="1:16" x14ac:dyDescent="0.25">
      <c r="A497" s="14">
        <f>Tabla156798[[#This Row],[FECHA IN]]-15</f>
        <v>44996</v>
      </c>
      <c r="B497" s="14">
        <v>44986</v>
      </c>
      <c r="C497" s="6">
        <v>44960</v>
      </c>
      <c r="D497" s="6">
        <v>45011</v>
      </c>
      <c r="E497" s="6">
        <v>45015</v>
      </c>
      <c r="F497" s="115">
        <v>23439</v>
      </c>
      <c r="G497" s="8" t="s">
        <v>2645</v>
      </c>
      <c r="H497" s="8" t="s">
        <v>2167</v>
      </c>
      <c r="I497" s="8">
        <v>14753.1</v>
      </c>
      <c r="J497" s="8">
        <v>12680</v>
      </c>
      <c r="K497" s="9">
        <f>Tabla156798[[#This Row],[CANTIDAD PUBLICA]]*0.05</f>
        <v>737.65500000000009</v>
      </c>
      <c r="L497" s="10">
        <f>Tabla156798[[#This Row],[COMISION AGENCIA]]*0.05</f>
        <v>36.882750000000009</v>
      </c>
      <c r="M497" s="7">
        <v>3481096172</v>
      </c>
      <c r="N497" s="7" t="s">
        <v>2646</v>
      </c>
      <c r="O497" s="7" t="s">
        <v>6</v>
      </c>
      <c r="P497" s="7"/>
    </row>
    <row r="498" spans="1:16" x14ac:dyDescent="0.25">
      <c r="A498" s="14">
        <f>Tabla156798[[#This Row],[FECHA IN]]-15</f>
        <v>44996</v>
      </c>
      <c r="B498" s="14">
        <v>44986</v>
      </c>
      <c r="C498" s="6">
        <v>44960</v>
      </c>
      <c r="D498" s="6">
        <v>45011</v>
      </c>
      <c r="E498" s="6">
        <v>45015</v>
      </c>
      <c r="F498" s="115">
        <v>23439</v>
      </c>
      <c r="G498" s="8" t="s">
        <v>2647</v>
      </c>
      <c r="H498" s="158" t="s">
        <v>2167</v>
      </c>
      <c r="I498" s="8">
        <v>14753.1</v>
      </c>
      <c r="J498" s="8">
        <v>12680</v>
      </c>
      <c r="K498" s="9">
        <f>Tabla156798[[#This Row],[CANTIDAD PUBLICA]]*0.05</f>
        <v>737.65500000000009</v>
      </c>
      <c r="L498" s="10">
        <f>Tabla156798[[#This Row],[COMISION AGENCIA]]*0.05</f>
        <v>36.882750000000009</v>
      </c>
      <c r="M498" s="7">
        <v>3481096172</v>
      </c>
      <c r="N498" s="7" t="s">
        <v>2648</v>
      </c>
      <c r="O498" s="7" t="s">
        <v>6</v>
      </c>
      <c r="P498" s="7"/>
    </row>
    <row r="499" spans="1:16" x14ac:dyDescent="0.25">
      <c r="A499" s="14">
        <f>Tabla156798[[#This Row],[FECHA IN]]-15</f>
        <v>44997</v>
      </c>
      <c r="B499" s="14">
        <v>44992</v>
      </c>
      <c r="C499" s="6">
        <v>44891</v>
      </c>
      <c r="D499" s="6">
        <v>45012</v>
      </c>
      <c r="E499" s="6">
        <v>45016</v>
      </c>
      <c r="F499" s="115">
        <v>22811</v>
      </c>
      <c r="G499" s="8" t="s">
        <v>2649</v>
      </c>
      <c r="H499" s="7" t="s">
        <v>2650</v>
      </c>
      <c r="I499" s="66">
        <v>36998.050000000003</v>
      </c>
      <c r="J499" s="8">
        <v>32190</v>
      </c>
      <c r="K499" s="9">
        <f>Tabla156798[[#This Row],[CANTIDAD PUBLICA]]*0.05</f>
        <v>1849.9025000000001</v>
      </c>
      <c r="L499" s="10">
        <f>Tabla156798[[#This Row],[COMISION AGENCIA]]*0.05</f>
        <v>92.495125000000016</v>
      </c>
      <c r="M499" s="7">
        <v>5103144619</v>
      </c>
      <c r="N499" s="7" t="s">
        <v>2651</v>
      </c>
      <c r="O499" s="7" t="s">
        <v>6</v>
      </c>
      <c r="P499" s="7"/>
    </row>
    <row r="500" spans="1:16" x14ac:dyDescent="0.25">
      <c r="A500" s="14">
        <f>Tabla156798[[#This Row],[FECHA IN]]-15</f>
        <v>44997</v>
      </c>
      <c r="B500" s="14">
        <v>44992</v>
      </c>
      <c r="C500" s="6">
        <v>44891</v>
      </c>
      <c r="D500" s="6">
        <v>45012</v>
      </c>
      <c r="E500" s="6">
        <v>45016</v>
      </c>
      <c r="F500" s="115">
        <v>22811</v>
      </c>
      <c r="G500" s="8" t="s">
        <v>2649</v>
      </c>
      <c r="H500" s="7" t="s">
        <v>2652</v>
      </c>
      <c r="I500" s="66">
        <v>1292.8499999999999</v>
      </c>
      <c r="J500" s="8">
        <v>3000</v>
      </c>
      <c r="K500" s="9">
        <f>Tabla156798[[#This Row],[PRECIO CLIENTE]]-Tabla156798[[#This Row],[CANTIDAD PUBLICA]]</f>
        <v>1707.15</v>
      </c>
      <c r="L500" s="10">
        <f>Tabla156798[[#This Row],[COMISION AGENCIA]]*0.05</f>
        <v>85.357500000000016</v>
      </c>
      <c r="M500" s="7">
        <v>5103144619</v>
      </c>
      <c r="N500" s="7"/>
      <c r="O500" s="7"/>
      <c r="P500" s="7"/>
    </row>
    <row r="501" spans="1:16" x14ac:dyDescent="0.25">
      <c r="A501" s="14">
        <v>44997</v>
      </c>
      <c r="B501" s="14">
        <v>44997</v>
      </c>
      <c r="C501" s="6">
        <v>44997</v>
      </c>
      <c r="D501" s="6">
        <v>45161</v>
      </c>
      <c r="E501" s="6">
        <v>45172</v>
      </c>
      <c r="F501" s="115">
        <v>23951</v>
      </c>
      <c r="G501" s="8" t="s">
        <v>2653</v>
      </c>
      <c r="H501" s="8" t="s">
        <v>2037</v>
      </c>
      <c r="I501" s="8">
        <v>11520</v>
      </c>
      <c r="J501" s="8">
        <v>12645</v>
      </c>
      <c r="K501" s="9">
        <f>Tabla156798[[#This Row],[PRECIO CLIENTE]]-Tabla156798[[#This Row],[CANTIDAD PUBLICA]]</f>
        <v>1125</v>
      </c>
      <c r="L501" s="10">
        <f>Tabla156798[[#This Row],[COMISION AGENCIA]]*0.05</f>
        <v>56.25</v>
      </c>
      <c r="M501" s="7"/>
      <c r="N501" s="7" t="s">
        <v>2654</v>
      </c>
      <c r="O501" s="7" t="s">
        <v>47</v>
      </c>
      <c r="P501" s="7"/>
    </row>
    <row r="502" spans="1:16" x14ac:dyDescent="0.25">
      <c r="A502" s="14">
        <v>44997</v>
      </c>
      <c r="B502" s="14">
        <v>44997</v>
      </c>
      <c r="C502" s="6">
        <v>44997</v>
      </c>
      <c r="D502" s="6">
        <v>45003</v>
      </c>
      <c r="E502" s="7"/>
      <c r="F502" s="115">
        <v>23955</v>
      </c>
      <c r="G502" s="8" t="s">
        <v>2587</v>
      </c>
      <c r="H502" s="8" t="s">
        <v>1541</v>
      </c>
      <c r="I502" s="8">
        <v>7744</v>
      </c>
      <c r="J502" s="8">
        <v>9030</v>
      </c>
      <c r="K502" s="9">
        <f>Tabla156798[[#This Row],[PRECIO CLIENTE]]-Tabla156798[[#This Row],[CANTIDAD PUBLICA]]</f>
        <v>1286</v>
      </c>
      <c r="L502" s="10">
        <f>Tabla156798[[#This Row],[COMISION AGENCIA]]*0.05</f>
        <v>64.3</v>
      </c>
      <c r="M502" s="7"/>
      <c r="N502" s="7" t="s">
        <v>2655</v>
      </c>
      <c r="O502" s="7" t="s">
        <v>47</v>
      </c>
      <c r="P502" s="7"/>
    </row>
    <row r="503" spans="1:16" x14ac:dyDescent="0.25">
      <c r="A503" s="14">
        <v>44997</v>
      </c>
      <c r="B503" s="14">
        <v>44997</v>
      </c>
      <c r="C503" s="6">
        <v>44997</v>
      </c>
      <c r="D503" s="6">
        <v>45085</v>
      </c>
      <c r="E503" s="6">
        <v>45104</v>
      </c>
      <c r="F503" s="115">
        <v>23957</v>
      </c>
      <c r="G503" s="8" t="s">
        <v>2656</v>
      </c>
      <c r="H503" s="8" t="s">
        <v>1837</v>
      </c>
      <c r="I503" s="8">
        <v>5915</v>
      </c>
      <c r="J503" s="8">
        <v>6280</v>
      </c>
      <c r="K503" s="9">
        <f>Tabla156798[[#This Row],[PRECIO CLIENTE]]-Tabla156798[[#This Row],[CANTIDAD PUBLICA]]</f>
        <v>365</v>
      </c>
      <c r="L503" s="10">
        <f>Tabla156798[[#This Row],[COMISION AGENCIA]]*0.05</f>
        <v>18.25</v>
      </c>
      <c r="M503" s="7"/>
      <c r="N503" s="7" t="s">
        <v>2657</v>
      </c>
      <c r="O503" s="7" t="s">
        <v>47</v>
      </c>
      <c r="P503" s="7"/>
    </row>
    <row r="504" spans="1:16" x14ac:dyDescent="0.25">
      <c r="A504" s="14">
        <v>44997</v>
      </c>
      <c r="B504" s="14">
        <v>44997</v>
      </c>
      <c r="C504" s="6">
        <v>44997</v>
      </c>
      <c r="D504" s="6">
        <v>45200</v>
      </c>
      <c r="E504" s="6">
        <v>44844</v>
      </c>
      <c r="F504" s="115">
        <v>24170</v>
      </c>
      <c r="G504" s="8" t="s">
        <v>2658</v>
      </c>
      <c r="H504" s="8" t="s">
        <v>2277</v>
      </c>
      <c r="I504" s="8">
        <v>7785</v>
      </c>
      <c r="J504" s="8">
        <v>8657</v>
      </c>
      <c r="K504" s="9">
        <f>Tabla156798[[#This Row],[PRECIO CLIENTE]]-Tabla156798[[#This Row],[CANTIDAD PUBLICA]]</f>
        <v>872</v>
      </c>
      <c r="L504" s="10">
        <f>Tabla156798[[#This Row],[COMISION AGENCIA]]*0.05</f>
        <v>43.6</v>
      </c>
      <c r="M504" s="7"/>
      <c r="N504" s="7" t="s">
        <v>2659</v>
      </c>
      <c r="O504" s="7" t="s">
        <v>47</v>
      </c>
      <c r="P504" s="7"/>
    </row>
    <row r="505" spans="1:16" x14ac:dyDescent="0.25">
      <c r="A505" s="14">
        <v>44998</v>
      </c>
      <c r="B505" s="14">
        <v>44998</v>
      </c>
      <c r="C505" s="6">
        <v>44998</v>
      </c>
      <c r="D505" s="6">
        <v>45277</v>
      </c>
      <c r="E505" s="6">
        <v>44935</v>
      </c>
      <c r="F505" s="115">
        <v>23973</v>
      </c>
      <c r="G505" s="8" t="s">
        <v>2656</v>
      </c>
      <c r="H505" s="8" t="s">
        <v>1837</v>
      </c>
      <c r="I505" s="8">
        <v>4425</v>
      </c>
      <c r="J505" s="8">
        <v>4905</v>
      </c>
      <c r="K505" s="9">
        <f>Tabla156798[[#This Row],[PRECIO CLIENTE]]-Tabla156798[[#This Row],[CANTIDAD PUBLICA]]</f>
        <v>480</v>
      </c>
      <c r="L505" s="10">
        <f>Tabla156798[[#This Row],[COMISION AGENCIA]]*0.05</f>
        <v>24</v>
      </c>
      <c r="M505" s="7"/>
      <c r="N505" s="7" t="s">
        <v>2660</v>
      </c>
      <c r="O505" s="7" t="s">
        <v>47</v>
      </c>
      <c r="P505" s="7"/>
    </row>
    <row r="506" spans="1:16" x14ac:dyDescent="0.25">
      <c r="A506" s="14">
        <v>44998</v>
      </c>
      <c r="B506" s="14">
        <v>44998</v>
      </c>
      <c r="C506" s="6">
        <v>44998</v>
      </c>
      <c r="D506" s="6">
        <v>45213</v>
      </c>
      <c r="E506" s="6">
        <v>45217</v>
      </c>
      <c r="F506" s="115" t="s">
        <v>2661</v>
      </c>
      <c r="G506" s="8" t="s">
        <v>2662</v>
      </c>
      <c r="H506" s="8" t="s">
        <v>1290</v>
      </c>
      <c r="I506" s="8">
        <v>17028</v>
      </c>
      <c r="J506" s="8">
        <v>19035</v>
      </c>
      <c r="K506" s="9">
        <f>Tabla156798[[#This Row],[PRECIO CLIENTE]]-Tabla156798[[#This Row],[CANTIDAD PUBLICA]]</f>
        <v>2007</v>
      </c>
      <c r="L506" s="10">
        <f>Tabla156798[[#This Row],[COMISION AGENCIA]]*0.05</f>
        <v>100.35000000000001</v>
      </c>
      <c r="M506" s="7"/>
      <c r="N506" s="7" t="s">
        <v>2663</v>
      </c>
      <c r="O506" s="7" t="s">
        <v>47</v>
      </c>
      <c r="P506" s="7"/>
    </row>
    <row r="507" spans="1:16" x14ac:dyDescent="0.25">
      <c r="A507" s="14">
        <v>44998</v>
      </c>
      <c r="B507" s="14">
        <v>44998</v>
      </c>
      <c r="C507" s="6">
        <v>44998</v>
      </c>
      <c r="D507" s="6">
        <v>45213</v>
      </c>
      <c r="E507" s="6">
        <v>45217</v>
      </c>
      <c r="F507" s="115" t="s">
        <v>2661</v>
      </c>
      <c r="G507" s="8" t="s">
        <v>2664</v>
      </c>
      <c r="H507" s="8" t="s">
        <v>1290</v>
      </c>
      <c r="I507" s="8">
        <v>17667</v>
      </c>
      <c r="J507" s="8">
        <v>21240</v>
      </c>
      <c r="K507" s="9">
        <f>Tabla156798[[#This Row],[PRECIO CLIENTE]]-Tabla156798[[#This Row],[CANTIDAD PUBLICA]]</f>
        <v>3573</v>
      </c>
      <c r="L507" s="10">
        <f>Tabla156798[[#This Row],[COMISION AGENCIA]]*0.05</f>
        <v>178.65</v>
      </c>
      <c r="M507" s="7"/>
      <c r="N507" s="7" t="s">
        <v>2665</v>
      </c>
      <c r="O507" s="7" t="s">
        <v>47</v>
      </c>
      <c r="P507" s="7"/>
    </row>
    <row r="508" spans="1:16" x14ac:dyDescent="0.25">
      <c r="A508" s="14">
        <v>44998</v>
      </c>
      <c r="B508" s="14">
        <v>44998</v>
      </c>
      <c r="C508" s="6">
        <v>44998</v>
      </c>
      <c r="D508" s="6">
        <v>45213</v>
      </c>
      <c r="E508" s="6">
        <v>45217</v>
      </c>
      <c r="F508" s="115" t="s">
        <v>2661</v>
      </c>
      <c r="G508" s="8" t="s">
        <v>2666</v>
      </c>
      <c r="H508" s="8" t="s">
        <v>1290</v>
      </c>
      <c r="I508" s="8">
        <v>13741</v>
      </c>
      <c r="J508" s="8">
        <v>15890</v>
      </c>
      <c r="K508" s="9">
        <f>Tabla156798[[#This Row],[PRECIO CLIENTE]]-Tabla156798[[#This Row],[CANTIDAD PUBLICA]]</f>
        <v>2149</v>
      </c>
      <c r="L508" s="10">
        <f>Tabla156798[[#This Row],[COMISION AGENCIA]]*0.05</f>
        <v>107.45</v>
      </c>
      <c r="M508" s="7"/>
      <c r="N508" s="7" t="s">
        <v>2667</v>
      </c>
      <c r="O508" s="7" t="s">
        <v>47</v>
      </c>
      <c r="P508" s="7"/>
    </row>
    <row r="509" spans="1:16" x14ac:dyDescent="0.25">
      <c r="A509" s="14">
        <v>44998</v>
      </c>
      <c r="B509" s="14">
        <v>44998</v>
      </c>
      <c r="C509" s="6">
        <v>44998</v>
      </c>
      <c r="D509" s="6">
        <v>45006</v>
      </c>
      <c r="E509" s="7"/>
      <c r="F509" s="115">
        <v>23981</v>
      </c>
      <c r="G509" s="8" t="s">
        <v>2668</v>
      </c>
      <c r="H509" s="8" t="s">
        <v>2159</v>
      </c>
      <c r="I509" s="8">
        <v>3831</v>
      </c>
      <c r="J509" s="8">
        <v>4510</v>
      </c>
      <c r="K509" s="9">
        <f>Tabla156798[[#This Row],[PRECIO CLIENTE]]-Tabla156798[[#This Row],[CANTIDAD PUBLICA]]</f>
        <v>679</v>
      </c>
      <c r="L509" s="10">
        <f>Tabla156798[[#This Row],[COMISION AGENCIA]]*0.05</f>
        <v>33.950000000000003</v>
      </c>
      <c r="M509" s="7"/>
      <c r="N509" s="7" t="s">
        <v>2669</v>
      </c>
      <c r="O509" s="7" t="s">
        <v>47</v>
      </c>
      <c r="P509" s="7"/>
    </row>
    <row r="510" spans="1:16" x14ac:dyDescent="0.25">
      <c r="A510" s="14">
        <f>Tabla156798[[#This Row],[FECHA IN]]-15</f>
        <v>44999</v>
      </c>
      <c r="B510" s="14">
        <v>44994</v>
      </c>
      <c r="C510" s="6">
        <v>44923</v>
      </c>
      <c r="D510" s="6">
        <v>45014</v>
      </c>
      <c r="E510" s="6">
        <v>45017</v>
      </c>
      <c r="F510" s="115">
        <v>23035</v>
      </c>
      <c r="G510" s="8" t="s">
        <v>2199</v>
      </c>
      <c r="H510" s="8" t="s">
        <v>1447</v>
      </c>
      <c r="I510" s="8">
        <v>16342.05</v>
      </c>
      <c r="J510" s="8">
        <v>14220</v>
      </c>
      <c r="K510" s="9">
        <f>Tabla156798[[#This Row],[CANTIDAD PUBLICA]]*0.05</f>
        <v>817.10249999999996</v>
      </c>
      <c r="L510" s="10">
        <f>Tabla156798[[#This Row],[COMISION AGENCIA]]*0.05</f>
        <v>40.855125000000001</v>
      </c>
      <c r="M510" s="7">
        <v>4775905472</v>
      </c>
      <c r="N510" s="7" t="s">
        <v>2670</v>
      </c>
      <c r="O510" s="7" t="s">
        <v>6</v>
      </c>
      <c r="P510" s="7"/>
    </row>
    <row r="511" spans="1:16" x14ac:dyDescent="0.25">
      <c r="A511" s="14">
        <f>Tabla156798[[#This Row],[FECHA IN]]-15</f>
        <v>44999</v>
      </c>
      <c r="B511" s="14">
        <v>44994</v>
      </c>
      <c r="C511" s="6">
        <v>44923</v>
      </c>
      <c r="D511" s="6">
        <v>45014</v>
      </c>
      <c r="E511" s="6">
        <v>45017</v>
      </c>
      <c r="F511" s="115">
        <v>23035</v>
      </c>
      <c r="G511" s="8" t="s">
        <v>2199</v>
      </c>
      <c r="H511" s="8" t="s">
        <v>2671</v>
      </c>
      <c r="I511" s="8">
        <v>385.4</v>
      </c>
      <c r="J511" s="8">
        <v>700</v>
      </c>
      <c r="K511" s="9">
        <f>Tabla156798[[#This Row],[PRECIO CLIENTE]]-Tabla156798[[#This Row],[CANTIDAD PUBLICA]]</f>
        <v>314.60000000000002</v>
      </c>
      <c r="L511" s="10">
        <f>Tabla156798[[#This Row],[COMISION AGENCIA]]*0.05</f>
        <v>15.730000000000002</v>
      </c>
      <c r="M511" s="7"/>
      <c r="N511" s="7"/>
      <c r="O511" s="7" t="s">
        <v>6</v>
      </c>
      <c r="P511" s="7"/>
    </row>
    <row r="512" spans="1:16" x14ac:dyDescent="0.25">
      <c r="A512" s="14">
        <v>44999</v>
      </c>
      <c r="B512" s="14">
        <v>44999</v>
      </c>
      <c r="C512" s="6">
        <v>44999</v>
      </c>
      <c r="D512" s="6">
        <v>45087</v>
      </c>
      <c r="E512" s="6">
        <v>45111</v>
      </c>
      <c r="F512" s="115">
        <v>23983</v>
      </c>
      <c r="G512" s="8" t="s">
        <v>2672</v>
      </c>
      <c r="H512" s="8" t="s">
        <v>2159</v>
      </c>
      <c r="I512" s="8">
        <v>31548</v>
      </c>
      <c r="J512" s="8">
        <v>34790</v>
      </c>
      <c r="K512" s="9">
        <f>Tabla156798[[#This Row],[PRECIO CLIENTE]]-Tabla156798[[#This Row],[CANTIDAD PUBLICA]]</f>
        <v>3242</v>
      </c>
      <c r="L512" s="10">
        <f>Tabla156798[[#This Row],[COMISION AGENCIA]]*0.05</f>
        <v>162.10000000000002</v>
      </c>
      <c r="M512" s="7"/>
      <c r="N512" s="7" t="s">
        <v>2673</v>
      </c>
      <c r="O512" s="7" t="s">
        <v>47</v>
      </c>
      <c r="P512" s="7"/>
    </row>
    <row r="513" spans="1:16" x14ac:dyDescent="0.25">
      <c r="A513" s="14">
        <v>44999</v>
      </c>
      <c r="B513" s="14">
        <v>44999</v>
      </c>
      <c r="C513" s="6">
        <v>44999</v>
      </c>
      <c r="D513" s="6">
        <v>45068</v>
      </c>
      <c r="E513" s="6">
        <v>45087</v>
      </c>
      <c r="F513" s="115">
        <v>23983</v>
      </c>
      <c r="G513" s="8" t="s">
        <v>2674</v>
      </c>
      <c r="H513" s="8" t="s">
        <v>2253</v>
      </c>
      <c r="I513" s="8">
        <v>18704</v>
      </c>
      <c r="J513" s="8">
        <v>20620</v>
      </c>
      <c r="K513" s="9">
        <f>Tabla156798[[#This Row],[PRECIO CLIENTE]]-Tabla156798[[#This Row],[CANTIDAD PUBLICA]]</f>
        <v>1916</v>
      </c>
      <c r="L513" s="10">
        <f>Tabla156798[[#This Row],[COMISION AGENCIA]]*0.05</f>
        <v>95.800000000000011</v>
      </c>
      <c r="M513" s="7"/>
      <c r="N513" s="7" t="s">
        <v>2675</v>
      </c>
      <c r="O513" s="7" t="s">
        <v>47</v>
      </c>
      <c r="P513" s="7"/>
    </row>
    <row r="514" spans="1:16" x14ac:dyDescent="0.25">
      <c r="A514" s="14">
        <v>44999</v>
      </c>
      <c r="B514" s="14">
        <v>44999</v>
      </c>
      <c r="C514" s="6">
        <v>44999</v>
      </c>
      <c r="D514" s="6">
        <v>45094</v>
      </c>
      <c r="E514" s="6">
        <v>45111</v>
      </c>
      <c r="F514" s="115">
        <v>23983</v>
      </c>
      <c r="G514" s="8" t="s">
        <v>2676</v>
      </c>
      <c r="H514" s="8" t="s">
        <v>2159</v>
      </c>
      <c r="I514" s="8">
        <v>4552</v>
      </c>
      <c r="J514" s="8">
        <v>4925</v>
      </c>
      <c r="K514" s="9">
        <f>Tabla156798[[#This Row],[PRECIO CLIENTE]]-Tabla156798[[#This Row],[CANTIDAD PUBLICA]]</f>
        <v>373</v>
      </c>
      <c r="L514" s="10">
        <f>Tabla156798[[#This Row],[COMISION AGENCIA]]*0.05</f>
        <v>18.650000000000002</v>
      </c>
      <c r="M514" s="7"/>
      <c r="N514" s="7" t="s">
        <v>2677</v>
      </c>
      <c r="O514" s="7" t="s">
        <v>47</v>
      </c>
      <c r="P514" s="7"/>
    </row>
    <row r="515" spans="1:16" x14ac:dyDescent="0.25">
      <c r="A515" s="14">
        <v>44999</v>
      </c>
      <c r="B515" s="14">
        <v>44999</v>
      </c>
      <c r="C515" s="6">
        <v>44999</v>
      </c>
      <c r="D515" s="6">
        <v>45034</v>
      </c>
      <c r="E515" s="7"/>
      <c r="F515" s="115">
        <v>23983</v>
      </c>
      <c r="G515" s="8" t="s">
        <v>2678</v>
      </c>
      <c r="H515" s="8" t="s">
        <v>2159</v>
      </c>
      <c r="I515" s="8">
        <v>1871</v>
      </c>
      <c r="J515" s="8">
        <v>2300</v>
      </c>
      <c r="K515" s="9">
        <f>Tabla156798[[#This Row],[PRECIO CLIENTE]]-Tabla156798[[#This Row],[CANTIDAD PUBLICA]]</f>
        <v>429</v>
      </c>
      <c r="L515" s="10">
        <f>Tabla156798[[#This Row],[COMISION AGENCIA]]*0.05</f>
        <v>21.450000000000003</v>
      </c>
      <c r="M515" s="7"/>
      <c r="N515" s="7" t="s">
        <v>2679</v>
      </c>
      <c r="O515" s="7" t="s">
        <v>47</v>
      </c>
      <c r="P515" s="7"/>
    </row>
    <row r="516" spans="1:16" x14ac:dyDescent="0.25">
      <c r="A516" s="14">
        <v>44999</v>
      </c>
      <c r="B516" s="14">
        <v>44999</v>
      </c>
      <c r="C516" s="6">
        <v>44999</v>
      </c>
      <c r="D516" s="6">
        <v>45095</v>
      </c>
      <c r="E516" s="6">
        <v>45155</v>
      </c>
      <c r="F516" s="115">
        <v>23986</v>
      </c>
      <c r="G516" s="8" t="s">
        <v>2680</v>
      </c>
      <c r="H516" s="8" t="s">
        <v>2074</v>
      </c>
      <c r="I516" s="8">
        <v>34376</v>
      </c>
      <c r="J516" s="8">
        <v>38220</v>
      </c>
      <c r="K516" s="9">
        <f>Tabla156798[[#This Row],[PRECIO CLIENTE]]-Tabla156798[[#This Row],[CANTIDAD PUBLICA]]</f>
        <v>3844</v>
      </c>
      <c r="L516" s="10">
        <f>Tabla156798[[#This Row],[COMISION AGENCIA]]*0.05</f>
        <v>192.20000000000002</v>
      </c>
      <c r="M516" s="7"/>
      <c r="N516" s="7" t="s">
        <v>2681</v>
      </c>
      <c r="O516" s="7" t="s">
        <v>47</v>
      </c>
      <c r="P516" s="7"/>
    </row>
    <row r="517" spans="1:16" x14ac:dyDescent="0.25">
      <c r="A517" s="14">
        <v>44999</v>
      </c>
      <c r="B517" s="14">
        <v>44999</v>
      </c>
      <c r="C517" s="6">
        <v>44999</v>
      </c>
      <c r="D517" s="6">
        <v>45139</v>
      </c>
      <c r="E517" s="6">
        <v>45167</v>
      </c>
      <c r="F517" s="115">
        <v>23989</v>
      </c>
      <c r="G517" s="8" t="s">
        <v>2682</v>
      </c>
      <c r="H517" s="8" t="s">
        <v>2683</v>
      </c>
      <c r="I517" s="8">
        <v>12591</v>
      </c>
      <c r="J517" s="8">
        <v>13995</v>
      </c>
      <c r="K517" s="9">
        <f>Tabla156798[[#This Row],[PRECIO CLIENTE]]-Tabla156798[[#This Row],[CANTIDAD PUBLICA]]</f>
        <v>1404</v>
      </c>
      <c r="L517" s="10">
        <f>Tabla156798[[#This Row],[COMISION AGENCIA]]*0.05</f>
        <v>70.2</v>
      </c>
      <c r="M517" s="7"/>
      <c r="N517" s="7" t="s">
        <v>2684</v>
      </c>
      <c r="O517" s="7" t="s">
        <v>47</v>
      </c>
      <c r="P517" s="7"/>
    </row>
    <row r="518" spans="1:16" x14ac:dyDescent="0.25">
      <c r="A518" s="14">
        <v>44999</v>
      </c>
      <c r="B518" s="14">
        <v>44999</v>
      </c>
      <c r="C518" s="6">
        <v>44999</v>
      </c>
      <c r="D518" s="6">
        <v>45169</v>
      </c>
      <c r="E518" s="6">
        <v>45176</v>
      </c>
      <c r="F518" s="115">
        <v>24158</v>
      </c>
      <c r="G518" s="8" t="s">
        <v>2685</v>
      </c>
      <c r="H518" s="8" t="s">
        <v>2121</v>
      </c>
      <c r="I518" s="8">
        <v>7650</v>
      </c>
      <c r="J518" s="8">
        <v>8400</v>
      </c>
      <c r="K518" s="9">
        <f>Tabla156798[[#This Row],[PRECIO CLIENTE]]-Tabla156798[[#This Row],[CANTIDAD PUBLICA]]</f>
        <v>750</v>
      </c>
      <c r="L518" s="10">
        <f>Tabla156798[[#This Row],[COMISION AGENCIA]]*0.05</f>
        <v>37.5</v>
      </c>
      <c r="M518" s="7"/>
      <c r="N518" s="7" t="s">
        <v>2686</v>
      </c>
      <c r="O518" s="7" t="s">
        <v>47</v>
      </c>
      <c r="P518" s="7"/>
    </row>
    <row r="519" spans="1:16" x14ac:dyDescent="0.25">
      <c r="A519" s="14">
        <v>44999</v>
      </c>
      <c r="B519" s="14">
        <v>44999</v>
      </c>
      <c r="C519" s="6">
        <v>44999</v>
      </c>
      <c r="D519" s="6">
        <v>45083</v>
      </c>
      <c r="E519" s="6">
        <v>45096</v>
      </c>
      <c r="F519" s="115">
        <v>24157</v>
      </c>
      <c r="G519" s="8" t="s">
        <v>2103</v>
      </c>
      <c r="H519" s="8" t="s">
        <v>1788</v>
      </c>
      <c r="I519" s="8">
        <v>8225</v>
      </c>
      <c r="J519" s="8">
        <v>8990</v>
      </c>
      <c r="K519" s="9">
        <f>Tabla156798[[#This Row],[PRECIO CLIENTE]]-Tabla156798[[#This Row],[CANTIDAD PUBLICA]]</f>
        <v>765</v>
      </c>
      <c r="L519" s="10">
        <f>Tabla156798[[#This Row],[COMISION AGENCIA]]*0.05</f>
        <v>38.25</v>
      </c>
      <c r="M519" s="7"/>
      <c r="N519" s="7" t="s">
        <v>2687</v>
      </c>
      <c r="O519" s="7" t="s">
        <v>47</v>
      </c>
      <c r="P519" s="7"/>
    </row>
    <row r="520" spans="1:16" x14ac:dyDescent="0.25">
      <c r="A520" s="14">
        <v>44999</v>
      </c>
      <c r="B520" s="14">
        <v>44999</v>
      </c>
      <c r="C520" s="6">
        <v>44999</v>
      </c>
      <c r="D520" s="6">
        <v>45080</v>
      </c>
      <c r="E520" s="6">
        <v>45107</v>
      </c>
      <c r="F520" s="115" t="s">
        <v>2688</v>
      </c>
      <c r="G520" s="8" t="s">
        <v>2689</v>
      </c>
      <c r="H520" s="8" t="s">
        <v>1788</v>
      </c>
      <c r="I520" s="8">
        <v>15981</v>
      </c>
      <c r="J520" s="8">
        <v>17670</v>
      </c>
      <c r="K520" s="9">
        <f>Tabla156798[[#This Row],[PRECIO CLIENTE]]-Tabla156798[[#This Row],[CANTIDAD PUBLICA]]</f>
        <v>1689</v>
      </c>
      <c r="L520" s="10">
        <f>Tabla156798[[#This Row],[COMISION AGENCIA]]*0.05</f>
        <v>84.45</v>
      </c>
      <c r="M520" s="7"/>
      <c r="N520" s="7" t="s">
        <v>2690</v>
      </c>
      <c r="O520" s="7" t="s">
        <v>47</v>
      </c>
      <c r="P520" s="7"/>
    </row>
    <row r="521" spans="1:16" x14ac:dyDescent="0.25">
      <c r="A521" s="14">
        <v>44999</v>
      </c>
      <c r="B521" s="14">
        <v>44999</v>
      </c>
      <c r="C521" s="6">
        <v>44999</v>
      </c>
      <c r="D521" s="6">
        <v>45024</v>
      </c>
      <c r="E521" s="6">
        <v>45027</v>
      </c>
      <c r="F521" s="115" t="s">
        <v>2688</v>
      </c>
      <c r="G521" s="8" t="s">
        <v>2689</v>
      </c>
      <c r="H521" s="8" t="s">
        <v>1788</v>
      </c>
      <c r="I521" s="8">
        <v>5309</v>
      </c>
      <c r="J521" s="8">
        <v>5830</v>
      </c>
      <c r="K521" s="9">
        <f>Tabla156798[[#This Row],[PRECIO CLIENTE]]-Tabla156798[[#This Row],[CANTIDAD PUBLICA]]</f>
        <v>521</v>
      </c>
      <c r="L521" s="10">
        <f>Tabla156798[[#This Row],[COMISION AGENCIA]]*0.05</f>
        <v>26.05</v>
      </c>
      <c r="M521" s="7"/>
      <c r="N521" s="7" t="s">
        <v>2691</v>
      </c>
      <c r="O521" s="7" t="s">
        <v>47</v>
      </c>
      <c r="P521" s="7"/>
    </row>
    <row r="522" spans="1:16" x14ac:dyDescent="0.25">
      <c r="A522" s="14">
        <v>44999</v>
      </c>
      <c r="B522" s="14">
        <v>44999</v>
      </c>
      <c r="C522" s="6">
        <v>44999</v>
      </c>
      <c r="D522" s="6">
        <v>45293</v>
      </c>
      <c r="E522" s="6">
        <v>45317</v>
      </c>
      <c r="F522" s="115">
        <v>24162</v>
      </c>
      <c r="G522" s="8" t="s">
        <v>2692</v>
      </c>
      <c r="H522" s="8" t="s">
        <v>1788</v>
      </c>
      <c r="I522" s="8">
        <v>13088</v>
      </c>
      <c r="J522" s="8">
        <v>15570</v>
      </c>
      <c r="K522" s="9">
        <f>Tabla156798[[#This Row],[PRECIO CLIENTE]]-Tabla156798[[#This Row],[CANTIDAD PUBLICA]]</f>
        <v>2482</v>
      </c>
      <c r="L522" s="10">
        <f>Tabla156798[[#This Row],[COMISION AGENCIA]]*0.05</f>
        <v>124.10000000000001</v>
      </c>
      <c r="M522" s="7"/>
      <c r="N522" s="7" t="s">
        <v>2693</v>
      </c>
      <c r="O522" s="7" t="s">
        <v>47</v>
      </c>
      <c r="P522" s="7"/>
    </row>
    <row r="523" spans="1:16" x14ac:dyDescent="0.25">
      <c r="A523" s="14">
        <v>44999</v>
      </c>
      <c r="B523" s="14">
        <v>44999</v>
      </c>
      <c r="C523" s="6">
        <v>44999</v>
      </c>
      <c r="D523" s="6">
        <v>45126</v>
      </c>
      <c r="E523" s="6">
        <v>45139</v>
      </c>
      <c r="F523" s="115">
        <v>24163</v>
      </c>
      <c r="G523" s="8" t="s">
        <v>2103</v>
      </c>
      <c r="H523" s="8" t="s">
        <v>1788</v>
      </c>
      <c r="I523" s="8">
        <v>10859</v>
      </c>
      <c r="J523" s="8">
        <v>11850</v>
      </c>
      <c r="K523" s="9">
        <f>Tabla156798[[#This Row],[PRECIO CLIENTE]]-Tabla156798[[#This Row],[CANTIDAD PUBLICA]]</f>
        <v>991</v>
      </c>
      <c r="L523" s="10">
        <f>Tabla156798[[#This Row],[COMISION AGENCIA]]*0.05</f>
        <v>49.550000000000004</v>
      </c>
      <c r="M523" s="7"/>
      <c r="N523" s="7" t="s">
        <v>2694</v>
      </c>
      <c r="O523" s="7" t="s">
        <v>47</v>
      </c>
      <c r="P523" s="7"/>
    </row>
    <row r="524" spans="1:16" x14ac:dyDescent="0.25">
      <c r="A524" s="14">
        <v>44999</v>
      </c>
      <c r="B524" s="14">
        <v>44999</v>
      </c>
      <c r="C524" s="6">
        <v>44999</v>
      </c>
      <c r="D524" s="6">
        <v>45048</v>
      </c>
      <c r="E524" s="6">
        <v>45053</v>
      </c>
      <c r="F524" s="115">
        <v>24339</v>
      </c>
      <c r="G524" s="8" t="s">
        <v>2695</v>
      </c>
      <c r="H524" s="8" t="s">
        <v>1290</v>
      </c>
      <c r="I524" s="8">
        <v>81000</v>
      </c>
      <c r="J524" s="8">
        <v>84000</v>
      </c>
      <c r="K524" s="9">
        <f>Tabla156798[[#This Row],[PRECIO CLIENTE]]-Tabla156798[[#This Row],[CANTIDAD PUBLICA]]</f>
        <v>3000</v>
      </c>
      <c r="L524" s="10">
        <f>Tabla156798[[#This Row],[COMISION AGENCIA]]*0.05</f>
        <v>150</v>
      </c>
      <c r="M524" s="7"/>
      <c r="N524" s="7" t="s">
        <v>2696</v>
      </c>
      <c r="O524" s="7" t="s">
        <v>47</v>
      </c>
      <c r="P524" s="7"/>
    </row>
    <row r="525" spans="1:16" x14ac:dyDescent="0.25">
      <c r="A525" s="14">
        <v>45000</v>
      </c>
      <c r="B525" s="14">
        <v>45000</v>
      </c>
      <c r="C525" s="6">
        <v>45000</v>
      </c>
      <c r="D525" s="6">
        <v>45066</v>
      </c>
      <c r="E525" s="6">
        <v>45080</v>
      </c>
      <c r="F525" s="115">
        <v>24013</v>
      </c>
      <c r="G525" s="8" t="s">
        <v>2697</v>
      </c>
      <c r="H525" s="8" t="s">
        <v>2159</v>
      </c>
      <c r="I525" s="8">
        <v>9281</v>
      </c>
      <c r="J525" s="8">
        <v>10090</v>
      </c>
      <c r="K525" s="9">
        <f>Tabla156798[[#This Row],[PRECIO CLIENTE]]-Tabla156798[[#This Row],[CANTIDAD PUBLICA]]</f>
        <v>809</v>
      </c>
      <c r="L525" s="10">
        <f>Tabla156798[[#This Row],[COMISION AGENCIA]]*0.05</f>
        <v>40.450000000000003</v>
      </c>
      <c r="M525" s="7"/>
      <c r="N525" s="7" t="s">
        <v>2698</v>
      </c>
      <c r="O525" s="7" t="s">
        <v>47</v>
      </c>
      <c r="P525" s="7"/>
    </row>
    <row r="526" spans="1:16" x14ac:dyDescent="0.25">
      <c r="A526" s="14">
        <v>45000</v>
      </c>
      <c r="B526" s="14">
        <v>45000</v>
      </c>
      <c r="C526" s="6">
        <v>45000</v>
      </c>
      <c r="D526" s="6">
        <v>45071</v>
      </c>
      <c r="E526" s="6">
        <v>45078</v>
      </c>
      <c r="F526" s="115">
        <v>24013</v>
      </c>
      <c r="G526" s="8" t="s">
        <v>2699</v>
      </c>
      <c r="H526" s="8" t="s">
        <v>2159</v>
      </c>
      <c r="I526" s="8">
        <v>4778</v>
      </c>
      <c r="J526" s="8">
        <v>5155</v>
      </c>
      <c r="K526" s="9">
        <f>Tabla156798[[#This Row],[PRECIO CLIENTE]]-Tabla156798[[#This Row],[CANTIDAD PUBLICA]]</f>
        <v>377</v>
      </c>
      <c r="L526" s="10">
        <f>Tabla156798[[#This Row],[COMISION AGENCIA]]*0.05</f>
        <v>18.850000000000001</v>
      </c>
      <c r="M526" s="7"/>
      <c r="N526" s="7" t="s">
        <v>2700</v>
      </c>
      <c r="O526" s="7" t="s">
        <v>47</v>
      </c>
      <c r="P526" s="7"/>
    </row>
    <row r="527" spans="1:16" x14ac:dyDescent="0.25">
      <c r="A527" s="14">
        <v>45000</v>
      </c>
      <c r="B527" s="14">
        <v>45000</v>
      </c>
      <c r="C527" s="6">
        <v>45000</v>
      </c>
      <c r="D527" s="6">
        <v>45085</v>
      </c>
      <c r="E527" s="6">
        <v>45115</v>
      </c>
      <c r="F527" s="115">
        <v>24013</v>
      </c>
      <c r="G527" s="8" t="s">
        <v>2701</v>
      </c>
      <c r="H527" s="8" t="s">
        <v>2159</v>
      </c>
      <c r="I527" s="8">
        <v>4640</v>
      </c>
      <c r="J527" s="8">
        <v>5050</v>
      </c>
      <c r="K527" s="9">
        <f>Tabla156798[[#This Row],[PRECIO CLIENTE]]-Tabla156798[[#This Row],[CANTIDAD PUBLICA]]</f>
        <v>410</v>
      </c>
      <c r="L527" s="10">
        <f>Tabla156798[[#This Row],[COMISION AGENCIA]]*0.05</f>
        <v>20.5</v>
      </c>
      <c r="M527" s="7"/>
      <c r="N527" s="7" t="s">
        <v>2702</v>
      </c>
      <c r="O527" s="7" t="s">
        <v>47</v>
      </c>
      <c r="P527" s="7"/>
    </row>
    <row r="528" spans="1:16" x14ac:dyDescent="0.25">
      <c r="A528" s="14">
        <v>45000</v>
      </c>
      <c r="B528" s="14">
        <v>45000</v>
      </c>
      <c r="C528" s="6">
        <v>45000</v>
      </c>
      <c r="D528" s="6">
        <v>45007</v>
      </c>
      <c r="E528" s="6">
        <v>44980</v>
      </c>
      <c r="F528" s="115" t="s">
        <v>2703</v>
      </c>
      <c r="G528" s="8" t="s">
        <v>2704</v>
      </c>
      <c r="H528" s="8" t="s">
        <v>1544</v>
      </c>
      <c r="I528" s="8">
        <v>13288</v>
      </c>
      <c r="J528" s="8">
        <v>14060</v>
      </c>
      <c r="K528" s="9">
        <f>Tabla156798[[#This Row],[PRECIO CLIENTE]]-Tabla156798[[#This Row],[CANTIDAD PUBLICA]]</f>
        <v>772</v>
      </c>
      <c r="L528" s="10">
        <f>Tabla156798[[#This Row],[COMISION AGENCIA]]*0.05</f>
        <v>38.6</v>
      </c>
      <c r="M528" s="7"/>
      <c r="N528" s="7" t="s">
        <v>2705</v>
      </c>
      <c r="O528" s="7" t="s">
        <v>47</v>
      </c>
      <c r="P528" s="7"/>
    </row>
    <row r="529" spans="1:16" x14ac:dyDescent="0.25">
      <c r="A529" s="14">
        <v>45000</v>
      </c>
      <c r="B529" s="14">
        <v>45000</v>
      </c>
      <c r="C529" s="6">
        <v>45000</v>
      </c>
      <c r="D529" s="6">
        <v>45100</v>
      </c>
      <c r="E529" s="6">
        <v>45103</v>
      </c>
      <c r="F529" s="115">
        <v>24164</v>
      </c>
      <c r="G529" s="8" t="s">
        <v>2706</v>
      </c>
      <c r="H529" s="8" t="s">
        <v>1625</v>
      </c>
      <c r="I529" s="8">
        <v>20637</v>
      </c>
      <c r="J529" s="8">
        <v>22680</v>
      </c>
      <c r="K529" s="9">
        <f>Tabla156798[[#This Row],[PRECIO CLIENTE]]-Tabla156798[[#This Row],[CANTIDAD PUBLICA]]</f>
        <v>2043</v>
      </c>
      <c r="L529" s="10">
        <f>Tabla156798[[#This Row],[COMISION AGENCIA]]*0.05</f>
        <v>102.15</v>
      </c>
      <c r="M529" s="7"/>
      <c r="N529" s="7" t="s">
        <v>2707</v>
      </c>
      <c r="O529" s="7" t="s">
        <v>47</v>
      </c>
      <c r="P529" s="7"/>
    </row>
    <row r="530" spans="1:16" x14ac:dyDescent="0.25">
      <c r="A530" s="14">
        <v>45000</v>
      </c>
      <c r="B530" s="14">
        <v>45000</v>
      </c>
      <c r="C530" s="6">
        <v>45000</v>
      </c>
      <c r="D530" s="6">
        <v>45030</v>
      </c>
      <c r="E530" s="6">
        <v>45059</v>
      </c>
      <c r="F530" s="115">
        <v>24020</v>
      </c>
      <c r="G530" s="8" t="s">
        <v>2708</v>
      </c>
      <c r="H530" s="8" t="s">
        <v>1808</v>
      </c>
      <c r="I530" s="8">
        <v>6124</v>
      </c>
      <c r="J530" s="8">
        <v>7660</v>
      </c>
      <c r="K530" s="9">
        <f>Tabla156798[[#This Row],[PRECIO CLIENTE]]-Tabla156798[[#This Row],[CANTIDAD PUBLICA]]</f>
        <v>1536</v>
      </c>
      <c r="L530" s="10">
        <f>Tabla156798[[#This Row],[COMISION AGENCIA]]*0.05</f>
        <v>76.800000000000011</v>
      </c>
      <c r="M530" s="7"/>
      <c r="N530" s="7" t="s">
        <v>2709</v>
      </c>
      <c r="O530" s="7" t="s">
        <v>47</v>
      </c>
      <c r="P530" s="7"/>
    </row>
    <row r="531" spans="1:16" x14ac:dyDescent="0.25">
      <c r="A531" s="14">
        <v>45000</v>
      </c>
      <c r="B531" s="14">
        <v>45000</v>
      </c>
      <c r="C531" s="6">
        <v>45000</v>
      </c>
      <c r="D531" s="6">
        <v>45058</v>
      </c>
      <c r="E531" s="6">
        <v>45070</v>
      </c>
      <c r="F531" s="115">
        <v>24165</v>
      </c>
      <c r="G531" s="8" t="s">
        <v>2710</v>
      </c>
      <c r="H531" s="8" t="s">
        <v>1625</v>
      </c>
      <c r="I531" s="8">
        <v>1773</v>
      </c>
      <c r="J531" s="8">
        <v>2130</v>
      </c>
      <c r="K531" s="9">
        <f>Tabla156798[[#This Row],[PRECIO CLIENTE]]-Tabla156798[[#This Row],[CANTIDAD PUBLICA]]</f>
        <v>357</v>
      </c>
      <c r="L531" s="10">
        <f>Tabla156798[[#This Row],[COMISION AGENCIA]]*0.05</f>
        <v>17.850000000000001</v>
      </c>
      <c r="M531" s="7"/>
      <c r="N531" s="7" t="s">
        <v>2711</v>
      </c>
      <c r="O531" s="7" t="s">
        <v>47</v>
      </c>
      <c r="P531" s="7"/>
    </row>
    <row r="532" spans="1:16" x14ac:dyDescent="0.25">
      <c r="A532" s="14">
        <v>45000</v>
      </c>
      <c r="B532" s="14">
        <v>45000</v>
      </c>
      <c r="C532" s="6">
        <v>45000</v>
      </c>
      <c r="D532" s="6">
        <v>45005</v>
      </c>
      <c r="E532" s="7"/>
      <c r="F532" s="115">
        <v>24032</v>
      </c>
      <c r="G532" s="8" t="s">
        <v>2712</v>
      </c>
      <c r="H532" s="8" t="s">
        <v>1743</v>
      </c>
      <c r="I532" s="8">
        <v>2017</v>
      </c>
      <c r="J532" s="8">
        <v>2440</v>
      </c>
      <c r="K532" s="9">
        <f>Tabla156798[[#This Row],[PRECIO CLIENTE]]-Tabla156798[[#This Row],[CANTIDAD PUBLICA]]</f>
        <v>423</v>
      </c>
      <c r="L532" s="10">
        <f>Tabla156798[[#This Row],[COMISION AGENCIA]]*0.05</f>
        <v>21.150000000000002</v>
      </c>
      <c r="M532" s="7"/>
      <c r="N532" s="7" t="s">
        <v>2713</v>
      </c>
      <c r="O532" s="7" t="s">
        <v>47</v>
      </c>
      <c r="P532" s="7"/>
    </row>
    <row r="533" spans="1:16" x14ac:dyDescent="0.25">
      <c r="A533" s="14">
        <v>45000</v>
      </c>
      <c r="B533" s="14">
        <v>45000</v>
      </c>
      <c r="C533" s="6">
        <v>45000</v>
      </c>
      <c r="D533" s="6">
        <v>45004</v>
      </c>
      <c r="E533" s="7"/>
      <c r="F533" s="115"/>
      <c r="G533" s="8" t="s">
        <v>2714</v>
      </c>
      <c r="H533" s="8" t="s">
        <v>1930</v>
      </c>
      <c r="I533" s="8">
        <v>10569</v>
      </c>
      <c r="J533" s="8">
        <v>12180</v>
      </c>
      <c r="K533" s="9">
        <f>Tabla156798[[#This Row],[PRECIO CLIENTE]]-Tabla156798[[#This Row],[CANTIDAD PUBLICA]]</f>
        <v>1611</v>
      </c>
      <c r="L533" s="10">
        <f>Tabla156798[[#This Row],[COMISION AGENCIA]]*0.05</f>
        <v>80.550000000000011</v>
      </c>
      <c r="M533" s="7"/>
      <c r="N533" s="7" t="s">
        <v>2715</v>
      </c>
      <c r="O533" s="7" t="s">
        <v>47</v>
      </c>
      <c r="P533" s="7"/>
    </row>
    <row r="534" spans="1:16" x14ac:dyDescent="0.25">
      <c r="A534" s="14">
        <v>45000</v>
      </c>
      <c r="B534" s="14">
        <v>45000</v>
      </c>
      <c r="C534" s="6">
        <v>45000</v>
      </c>
      <c r="D534" s="6">
        <v>45026</v>
      </c>
      <c r="E534" s="6">
        <v>45051</v>
      </c>
      <c r="F534" s="115">
        <v>24034</v>
      </c>
      <c r="G534" s="8" t="s">
        <v>2716</v>
      </c>
      <c r="H534" s="8" t="s">
        <v>2159</v>
      </c>
      <c r="I534" s="8">
        <v>9286</v>
      </c>
      <c r="J534" s="8">
        <v>10120</v>
      </c>
      <c r="K534" s="9">
        <f>Tabla156798[[#This Row],[PRECIO CLIENTE]]-Tabla156798[[#This Row],[CANTIDAD PUBLICA]]</f>
        <v>834</v>
      </c>
      <c r="L534" s="10">
        <f>Tabla156798[[#This Row],[COMISION AGENCIA]]*0.05</f>
        <v>41.7</v>
      </c>
      <c r="M534" s="7"/>
      <c r="N534" s="7" t="s">
        <v>2717</v>
      </c>
      <c r="O534" s="7" t="s">
        <v>47</v>
      </c>
      <c r="P534" s="7"/>
    </row>
    <row r="535" spans="1:16" x14ac:dyDescent="0.25">
      <c r="A535" s="14">
        <v>45000</v>
      </c>
      <c r="B535" s="14">
        <v>45000</v>
      </c>
      <c r="C535" s="6">
        <v>45000</v>
      </c>
      <c r="D535" s="6">
        <v>45172</v>
      </c>
      <c r="E535" s="6">
        <v>45175</v>
      </c>
      <c r="F535" s="115">
        <v>24037</v>
      </c>
      <c r="G535" s="8" t="s">
        <v>2718</v>
      </c>
      <c r="H535" s="8" t="s">
        <v>2719</v>
      </c>
      <c r="I535" s="8">
        <v>5187</v>
      </c>
      <c r="J535" s="8">
        <v>6210</v>
      </c>
      <c r="K535" s="9">
        <f>Tabla156798[[#This Row],[PRECIO CLIENTE]]-Tabla156798[[#This Row],[CANTIDAD PUBLICA]]</f>
        <v>1023</v>
      </c>
      <c r="L535" s="10">
        <f>Tabla156798[[#This Row],[COMISION AGENCIA]]*0.05</f>
        <v>51.150000000000006</v>
      </c>
      <c r="M535" s="7"/>
      <c r="N535" s="7" t="s">
        <v>2720</v>
      </c>
      <c r="O535" s="7" t="s">
        <v>47</v>
      </c>
      <c r="P535" s="7"/>
    </row>
    <row r="536" spans="1:16" x14ac:dyDescent="0.25">
      <c r="A536" s="14">
        <v>45000</v>
      </c>
      <c r="B536" s="14">
        <v>45000</v>
      </c>
      <c r="C536" s="6">
        <v>45000</v>
      </c>
      <c r="D536" s="6">
        <v>45039</v>
      </c>
      <c r="E536" s="6">
        <v>45040</v>
      </c>
      <c r="F536" s="115">
        <v>24025</v>
      </c>
      <c r="G536" s="8" t="s">
        <v>2721</v>
      </c>
      <c r="H536" s="8" t="s">
        <v>2054</v>
      </c>
      <c r="I536" s="8">
        <v>4383.75</v>
      </c>
      <c r="J536" s="8">
        <v>3815</v>
      </c>
      <c r="K536" s="9">
        <f>Tabla156798[[#This Row],[CANTIDAD PUBLICA]]*0.05</f>
        <v>219.1875</v>
      </c>
      <c r="L536" s="10">
        <f>Tabla156798[[#This Row],[COMISION AGENCIA]]*0.05</f>
        <v>10.959375000000001</v>
      </c>
      <c r="M536" s="7">
        <v>3481161401</v>
      </c>
      <c r="N536" s="7" t="s">
        <v>2722</v>
      </c>
      <c r="O536" s="7" t="s">
        <v>6</v>
      </c>
      <c r="P536" s="7"/>
    </row>
    <row r="537" spans="1:16" x14ac:dyDescent="0.25">
      <c r="A537" s="14">
        <v>45001</v>
      </c>
      <c r="B537" s="14">
        <v>45001</v>
      </c>
      <c r="C537" s="6">
        <v>45001</v>
      </c>
      <c r="D537" s="6">
        <v>45017</v>
      </c>
      <c r="E537" s="7"/>
      <c r="F537" s="115">
        <v>24167</v>
      </c>
      <c r="G537" s="8" t="s">
        <v>2723</v>
      </c>
      <c r="H537" s="8" t="s">
        <v>2724</v>
      </c>
      <c r="I537" s="8">
        <v>3615</v>
      </c>
      <c r="J537" s="8">
        <v>4010</v>
      </c>
      <c r="K537" s="9">
        <f>Tabla156798[[#This Row],[PRECIO CLIENTE]]-Tabla156798[[#This Row],[CANTIDAD PUBLICA]]</f>
        <v>395</v>
      </c>
      <c r="L537" s="10">
        <f>Tabla156798[[#This Row],[COMISION AGENCIA]]*0.05</f>
        <v>19.75</v>
      </c>
      <c r="M537" s="7"/>
      <c r="N537" s="7" t="s">
        <v>2725</v>
      </c>
      <c r="O537" s="7" t="s">
        <v>47</v>
      </c>
      <c r="P537" s="7"/>
    </row>
    <row r="538" spans="1:16" x14ac:dyDescent="0.25">
      <c r="A538" s="14">
        <v>45001</v>
      </c>
      <c r="B538" s="14" t="s">
        <v>2468</v>
      </c>
      <c r="C538" s="6">
        <v>45001</v>
      </c>
      <c r="D538" s="6">
        <v>45011</v>
      </c>
      <c r="E538" s="6">
        <v>45014</v>
      </c>
      <c r="F538" s="115">
        <v>24050</v>
      </c>
      <c r="G538" s="8" t="s">
        <v>2726</v>
      </c>
      <c r="H538" s="8" t="s">
        <v>1628</v>
      </c>
      <c r="I538" s="8">
        <v>22650</v>
      </c>
      <c r="J538" s="8">
        <v>19705</v>
      </c>
      <c r="K538" s="9">
        <f>Tabla156798[[#This Row],[CANTIDAD PUBLICA]]*0.05</f>
        <v>1132.5</v>
      </c>
      <c r="L538" s="10">
        <f>Tabla156798[[#This Row],[COMISION AGENCIA]]*0.05</f>
        <v>56.625</v>
      </c>
      <c r="M538" s="7">
        <v>3481306320</v>
      </c>
      <c r="N538" s="7" t="s">
        <v>2727</v>
      </c>
      <c r="O538" s="7" t="s">
        <v>6</v>
      </c>
      <c r="P538" s="7"/>
    </row>
    <row r="539" spans="1:16" x14ac:dyDescent="0.25">
      <c r="A539" s="14">
        <v>45001</v>
      </c>
      <c r="B539" s="14" t="s">
        <v>2468</v>
      </c>
      <c r="C539" s="6">
        <v>45001</v>
      </c>
      <c r="D539" s="6">
        <v>45016</v>
      </c>
      <c r="E539" s="6">
        <v>45019</v>
      </c>
      <c r="F539" s="115">
        <v>24045</v>
      </c>
      <c r="G539" s="8" t="s">
        <v>2728</v>
      </c>
      <c r="H539" s="8" t="s">
        <v>2167</v>
      </c>
      <c r="I539" s="8">
        <v>61298.25</v>
      </c>
      <c r="J539" s="8">
        <v>53340</v>
      </c>
      <c r="K539" s="9">
        <f>Tabla156798[[#This Row],[CANTIDAD PUBLICA]]*0.05</f>
        <v>3064.9125000000004</v>
      </c>
      <c r="L539" s="10">
        <f>Tabla156798[[#This Row],[COMISION AGENCIA]]*0.05</f>
        <v>153.24562500000002</v>
      </c>
      <c r="M539" s="7">
        <v>9095766239</v>
      </c>
      <c r="N539" s="7" t="s">
        <v>2729</v>
      </c>
      <c r="O539" s="7" t="s">
        <v>6</v>
      </c>
      <c r="P539" s="7"/>
    </row>
    <row r="540" spans="1:16" x14ac:dyDescent="0.25">
      <c r="A540" s="14">
        <v>45001</v>
      </c>
      <c r="B540" s="14">
        <v>45001</v>
      </c>
      <c r="C540" s="6">
        <v>45001</v>
      </c>
      <c r="D540" s="6">
        <v>45004</v>
      </c>
      <c r="E540" s="6">
        <v>45006</v>
      </c>
      <c r="F540" s="115">
        <v>24052</v>
      </c>
      <c r="G540" s="8" t="s">
        <v>2730</v>
      </c>
      <c r="H540" s="8" t="s">
        <v>1539</v>
      </c>
      <c r="I540" s="8">
        <v>2400</v>
      </c>
      <c r="J540" s="8">
        <v>2400</v>
      </c>
      <c r="K540" s="9">
        <f>Tabla156798[[#This Row],[CANTIDAD PUBLICA]]*AGENTES!D10</f>
        <v>480</v>
      </c>
      <c r="L540" s="10">
        <f>Tabla156798[[#This Row],[COMISION AGENCIA]]*0.05</f>
        <v>24</v>
      </c>
      <c r="M540" s="7">
        <v>3481301188</v>
      </c>
      <c r="N540" s="7">
        <v>4321</v>
      </c>
      <c r="O540" s="7" t="s">
        <v>12</v>
      </c>
      <c r="P540" s="7"/>
    </row>
    <row r="541" spans="1:16" x14ac:dyDescent="0.25">
      <c r="A541" s="14">
        <f>Tabla156798[[#This Row],[FECHA IN]]-15</f>
        <v>45002</v>
      </c>
      <c r="B541" s="14">
        <v>44936</v>
      </c>
      <c r="C541" s="6">
        <v>44932</v>
      </c>
      <c r="D541" s="6">
        <v>45017</v>
      </c>
      <c r="E541" s="6">
        <v>45021</v>
      </c>
      <c r="F541" s="115">
        <v>23126</v>
      </c>
      <c r="G541" s="8" t="s">
        <v>2731</v>
      </c>
      <c r="H541" s="8" t="s">
        <v>1683</v>
      </c>
      <c r="I541" s="8">
        <v>33803.15</v>
      </c>
      <c r="J541" s="8">
        <v>28675</v>
      </c>
      <c r="K541" s="9">
        <f>Tabla156798[[#This Row],[CANTIDAD PUBLICA]]*0.05</f>
        <v>1690.1575000000003</v>
      </c>
      <c r="L541" s="10">
        <f>Tabla156798[[#This Row],[COMISION AGENCIA]]*0.05</f>
        <v>84.507875000000013</v>
      </c>
      <c r="M541" s="7">
        <v>4424987140</v>
      </c>
      <c r="N541" s="7" t="s">
        <v>2732</v>
      </c>
      <c r="O541" s="7" t="s">
        <v>6</v>
      </c>
      <c r="P541" s="7"/>
    </row>
    <row r="542" spans="1:16" x14ac:dyDescent="0.25">
      <c r="A542" s="14">
        <f>Tabla156798[[#This Row],[FECHA IN]]-15</f>
        <v>45002</v>
      </c>
      <c r="B542" s="14">
        <v>44936</v>
      </c>
      <c r="C542" s="6">
        <v>44932</v>
      </c>
      <c r="D542" s="6">
        <v>45017</v>
      </c>
      <c r="E542" s="6">
        <v>45021</v>
      </c>
      <c r="F542" s="115">
        <v>23126</v>
      </c>
      <c r="G542" s="8" t="s">
        <v>2733</v>
      </c>
      <c r="H542" s="158" t="s">
        <v>1683</v>
      </c>
      <c r="I542" s="8">
        <v>29933.25</v>
      </c>
      <c r="J542" s="8">
        <v>25390</v>
      </c>
      <c r="K542" s="9">
        <f>Tabla156798[[#This Row],[CANTIDAD PUBLICA]]*0.05</f>
        <v>1496.6625000000001</v>
      </c>
      <c r="L542" s="10">
        <f>Tabla156798[[#This Row],[COMISION AGENCIA]]*0.05</f>
        <v>74.83312500000001</v>
      </c>
      <c r="M542" s="7">
        <v>4424987140</v>
      </c>
      <c r="N542" s="7" t="s">
        <v>2734</v>
      </c>
      <c r="O542" s="7" t="s">
        <v>6</v>
      </c>
      <c r="P542" s="7"/>
    </row>
    <row r="543" spans="1:16" x14ac:dyDescent="0.25">
      <c r="A543" s="14">
        <f>Tabla156798[[#This Row],[FECHA IN]]-15</f>
        <v>45002</v>
      </c>
      <c r="B543" s="14">
        <v>44936</v>
      </c>
      <c r="C543" s="6">
        <v>44932</v>
      </c>
      <c r="D543" s="6">
        <v>45017</v>
      </c>
      <c r="E543" s="6">
        <v>45021</v>
      </c>
      <c r="F543" s="115">
        <v>23126</v>
      </c>
      <c r="G543" s="8" t="s">
        <v>2735</v>
      </c>
      <c r="H543" s="158" t="s">
        <v>1683</v>
      </c>
      <c r="I543" s="8">
        <v>36489.89</v>
      </c>
      <c r="J543" s="8">
        <v>30955</v>
      </c>
      <c r="K543" s="9">
        <f>Tabla156798[[#This Row],[CANTIDAD PUBLICA]]*0.05</f>
        <v>1824.4945</v>
      </c>
      <c r="L543" s="10">
        <f>Tabla156798[[#This Row],[COMISION AGENCIA]]*0.05</f>
        <v>91.224725000000007</v>
      </c>
      <c r="M543" s="7">
        <v>4424987140</v>
      </c>
      <c r="N543" s="7" t="s">
        <v>2736</v>
      </c>
      <c r="O543" s="7" t="s">
        <v>6</v>
      </c>
      <c r="P543" s="7"/>
    </row>
    <row r="544" spans="1:16" x14ac:dyDescent="0.25">
      <c r="A544" s="14">
        <f>Tabla156798[[#This Row],[FECHA IN]]-15</f>
        <v>45002</v>
      </c>
      <c r="B544" s="14">
        <v>44936</v>
      </c>
      <c r="C544" s="6">
        <v>44932</v>
      </c>
      <c r="D544" s="6">
        <v>45017</v>
      </c>
      <c r="E544" s="6">
        <v>45021</v>
      </c>
      <c r="F544" s="115">
        <v>23126</v>
      </c>
      <c r="G544" s="8" t="s">
        <v>2737</v>
      </c>
      <c r="H544" s="158" t="s">
        <v>1683</v>
      </c>
      <c r="I544" s="8">
        <v>29718.46</v>
      </c>
      <c r="J544" s="8">
        <v>25210</v>
      </c>
      <c r="K544" s="9">
        <f>Tabla156798[[#This Row],[CANTIDAD PUBLICA]]*0.05</f>
        <v>1485.923</v>
      </c>
      <c r="L544" s="10">
        <f>Tabla156798[[#This Row],[COMISION AGENCIA]]*0.05</f>
        <v>74.296149999999997</v>
      </c>
      <c r="M544" s="7">
        <v>4424987140</v>
      </c>
      <c r="N544" s="7" t="s">
        <v>2738</v>
      </c>
      <c r="O544" s="7" t="s">
        <v>6</v>
      </c>
      <c r="P544" s="7"/>
    </row>
    <row r="545" spans="1:16" x14ac:dyDescent="0.25">
      <c r="A545" s="14">
        <f>Tabla156798[[#This Row],[FECHA IN]]-15</f>
        <v>45002</v>
      </c>
      <c r="B545" s="14">
        <v>44936</v>
      </c>
      <c r="C545" s="6">
        <v>44932</v>
      </c>
      <c r="D545" s="6">
        <v>45017</v>
      </c>
      <c r="E545" s="6">
        <v>45021</v>
      </c>
      <c r="F545" s="115">
        <v>23126</v>
      </c>
      <c r="G545" s="8" t="s">
        <v>2739</v>
      </c>
      <c r="H545" s="158" t="s">
        <v>1683</v>
      </c>
      <c r="I545" s="8">
        <v>25848.55</v>
      </c>
      <c r="J545" s="8">
        <v>21930</v>
      </c>
      <c r="K545" s="9">
        <f>Tabla156798[[#This Row],[CANTIDAD PUBLICA]]*0.05</f>
        <v>1292.4275</v>
      </c>
      <c r="L545" s="10">
        <f>Tabla156798[[#This Row],[COMISION AGENCIA]]*0.05</f>
        <v>64.621375</v>
      </c>
      <c r="M545" s="7">
        <v>4424987140</v>
      </c>
      <c r="N545" s="7" t="s">
        <v>2740</v>
      </c>
      <c r="O545" s="7" t="s">
        <v>6</v>
      </c>
      <c r="P545" s="7"/>
    </row>
    <row r="546" spans="1:16" x14ac:dyDescent="0.25">
      <c r="A546" s="14">
        <f>Tabla156798[[#This Row],[FECHA IN]]-15</f>
        <v>45002</v>
      </c>
      <c r="B546" s="14">
        <v>44936</v>
      </c>
      <c r="C546" s="6">
        <v>44932</v>
      </c>
      <c r="D546" s="6">
        <v>45017</v>
      </c>
      <c r="E546" s="6">
        <v>45021</v>
      </c>
      <c r="F546" s="115">
        <v>23126</v>
      </c>
      <c r="G546" s="8" t="s">
        <v>2741</v>
      </c>
      <c r="H546" s="158" t="s">
        <v>1683</v>
      </c>
      <c r="I546" s="8">
        <v>25848.55</v>
      </c>
      <c r="J546" s="8">
        <v>21930</v>
      </c>
      <c r="K546" s="9">
        <f>Tabla156798[[#This Row],[CANTIDAD PUBLICA]]*0.05</f>
        <v>1292.4275</v>
      </c>
      <c r="L546" s="10">
        <f>Tabla156798[[#This Row],[COMISION AGENCIA]]*0.05</f>
        <v>64.621375</v>
      </c>
      <c r="M546" s="7">
        <v>4424987140</v>
      </c>
      <c r="N546" s="7" t="s">
        <v>2742</v>
      </c>
      <c r="O546" s="7" t="s">
        <v>6</v>
      </c>
      <c r="P546" s="7"/>
    </row>
    <row r="547" spans="1:16" x14ac:dyDescent="0.25">
      <c r="A547" s="14">
        <f>Tabla156798[[#This Row],[FECHA IN]]-15</f>
        <v>45002</v>
      </c>
      <c r="B547" s="14">
        <v>44936</v>
      </c>
      <c r="C547" s="6">
        <v>44932</v>
      </c>
      <c r="D547" s="6">
        <v>45017</v>
      </c>
      <c r="E547" s="6">
        <v>45021</v>
      </c>
      <c r="F547" s="115">
        <v>23126</v>
      </c>
      <c r="G547" s="8" t="s">
        <v>2743</v>
      </c>
      <c r="H547" s="158" t="s">
        <v>1683</v>
      </c>
      <c r="I547" s="8">
        <v>28640.880000000001</v>
      </c>
      <c r="J547" s="8">
        <v>24295</v>
      </c>
      <c r="K547" s="9">
        <f>Tabla156798[[#This Row],[CANTIDAD PUBLICA]]*0.05</f>
        <v>1432.0440000000001</v>
      </c>
      <c r="L547" s="10">
        <f>Tabla156798[[#This Row],[COMISION AGENCIA]]*0.05</f>
        <v>71.602200000000011</v>
      </c>
      <c r="M547" s="7">
        <v>4424987140</v>
      </c>
      <c r="N547" s="7" t="s">
        <v>2744</v>
      </c>
      <c r="O547" s="7" t="s">
        <v>6</v>
      </c>
      <c r="P547" s="7"/>
    </row>
    <row r="548" spans="1:16" x14ac:dyDescent="0.25">
      <c r="A548" s="14">
        <v>45002</v>
      </c>
      <c r="B548" s="14">
        <v>45002</v>
      </c>
      <c r="C548" s="6">
        <v>45002</v>
      </c>
      <c r="D548" s="6">
        <v>45090</v>
      </c>
      <c r="E548" s="6">
        <v>45094</v>
      </c>
      <c r="F548" s="115">
        <v>24057</v>
      </c>
      <c r="G548" s="8" t="s">
        <v>2745</v>
      </c>
      <c r="H548" s="8" t="s">
        <v>2010</v>
      </c>
      <c r="I548" s="8">
        <v>2812</v>
      </c>
      <c r="J548" s="8">
        <v>3500</v>
      </c>
      <c r="K548" s="9">
        <f>Tabla156798[[#This Row],[PRECIO CLIENTE]]-Tabla156798[[#This Row],[CANTIDAD PUBLICA]]</f>
        <v>688</v>
      </c>
      <c r="L548" s="10">
        <f>Tabla156798[[#This Row],[COMISION AGENCIA]]*0.05</f>
        <v>34.4</v>
      </c>
      <c r="M548" s="7"/>
      <c r="N548" s="7" t="s">
        <v>2746</v>
      </c>
      <c r="O548" s="7" t="s">
        <v>47</v>
      </c>
      <c r="P548" s="7"/>
    </row>
    <row r="549" spans="1:16" x14ac:dyDescent="0.25">
      <c r="A549" s="14">
        <v>45002</v>
      </c>
      <c r="B549" s="14">
        <v>45002</v>
      </c>
      <c r="C549" s="6">
        <v>45002</v>
      </c>
      <c r="D549" s="6">
        <v>45093</v>
      </c>
      <c r="E549" s="6">
        <v>45097</v>
      </c>
      <c r="F549" s="115">
        <v>24057</v>
      </c>
      <c r="G549" s="8" t="s">
        <v>2747</v>
      </c>
      <c r="H549" s="8" t="s">
        <v>2010</v>
      </c>
      <c r="I549" s="8">
        <v>13959</v>
      </c>
      <c r="J549" s="8">
        <v>21510</v>
      </c>
      <c r="K549" s="9">
        <f>Tabla156798[[#This Row],[PRECIO CLIENTE]]-Tabla156798[[#This Row],[CANTIDAD PUBLICA]]</f>
        <v>7551</v>
      </c>
      <c r="L549" s="10">
        <f>Tabla156798[[#This Row],[COMISION AGENCIA]]*0.05</f>
        <v>377.55</v>
      </c>
      <c r="M549" s="7"/>
      <c r="N549" s="7" t="s">
        <v>2748</v>
      </c>
      <c r="O549" s="7" t="s">
        <v>47</v>
      </c>
      <c r="P549" s="7"/>
    </row>
    <row r="550" spans="1:16" x14ac:dyDescent="0.25">
      <c r="A550" s="14">
        <v>45002</v>
      </c>
      <c r="B550" s="14">
        <v>45002</v>
      </c>
      <c r="C550" s="6">
        <v>45002</v>
      </c>
      <c r="D550" s="6">
        <v>45093</v>
      </c>
      <c r="E550" s="6">
        <v>45097</v>
      </c>
      <c r="F550" s="115">
        <v>24057</v>
      </c>
      <c r="G550" s="8" t="s">
        <v>2749</v>
      </c>
      <c r="H550" s="8" t="s">
        <v>2010</v>
      </c>
      <c r="I550" s="8">
        <v>9306</v>
      </c>
      <c r="J550" s="8">
        <v>14340</v>
      </c>
      <c r="K550" s="9">
        <f>Tabla156798[[#This Row],[PRECIO CLIENTE]]-Tabla156798[[#This Row],[CANTIDAD PUBLICA]]</f>
        <v>5034</v>
      </c>
      <c r="L550" s="10">
        <f>Tabla156798[[#This Row],[COMISION AGENCIA]]*0.05</f>
        <v>251.70000000000002</v>
      </c>
      <c r="M550" s="7"/>
      <c r="N550" s="7" t="s">
        <v>2750</v>
      </c>
      <c r="O550" s="7" t="s">
        <v>47</v>
      </c>
      <c r="P550" s="7"/>
    </row>
    <row r="551" spans="1:16" x14ac:dyDescent="0.25">
      <c r="A551" s="14">
        <v>45002</v>
      </c>
      <c r="B551" s="14">
        <v>45002</v>
      </c>
      <c r="C551" s="6">
        <v>45002</v>
      </c>
      <c r="D551" s="6">
        <v>45054</v>
      </c>
      <c r="E551" s="6">
        <v>45060</v>
      </c>
      <c r="F551" s="115">
        <v>24318</v>
      </c>
      <c r="G551" s="8" t="s">
        <v>2751</v>
      </c>
      <c r="H551" s="8" t="s">
        <v>2159</v>
      </c>
      <c r="I551" s="8">
        <v>4960</v>
      </c>
      <c r="J551" s="8">
        <v>5360</v>
      </c>
      <c r="K551" s="9">
        <f>Tabla156798[[#This Row],[PRECIO CLIENTE]]-Tabla156798[[#This Row],[CANTIDAD PUBLICA]]</f>
        <v>400</v>
      </c>
      <c r="L551" s="10">
        <f>Tabla156798[[#This Row],[COMISION AGENCIA]]*0.05</f>
        <v>20</v>
      </c>
      <c r="M551" s="7"/>
      <c r="N551" s="7" t="s">
        <v>2752</v>
      </c>
      <c r="O551" s="7" t="s">
        <v>47</v>
      </c>
      <c r="P551" s="7"/>
    </row>
    <row r="552" spans="1:16" x14ac:dyDescent="0.25">
      <c r="A552" s="14">
        <v>45002</v>
      </c>
      <c r="B552" s="14">
        <v>45002</v>
      </c>
      <c r="C552" s="6">
        <v>45002</v>
      </c>
      <c r="D552" s="6">
        <v>45010</v>
      </c>
      <c r="E552" s="7"/>
      <c r="F552" s="115">
        <v>24065</v>
      </c>
      <c r="G552" s="8" t="s">
        <v>2252</v>
      </c>
      <c r="H552" s="8" t="s">
        <v>2159</v>
      </c>
      <c r="I552" s="8">
        <v>1939</v>
      </c>
      <c r="J552" s="8">
        <v>2280</v>
      </c>
      <c r="K552" s="9">
        <f>Tabla156798[[#This Row],[PRECIO CLIENTE]]-Tabla156798[[#This Row],[CANTIDAD PUBLICA]]</f>
        <v>341</v>
      </c>
      <c r="L552" s="10">
        <f>Tabla156798[[#This Row],[COMISION AGENCIA]]*0.05</f>
        <v>17.05</v>
      </c>
      <c r="M552" s="7"/>
      <c r="N552" s="7" t="s">
        <v>2753</v>
      </c>
      <c r="O552" s="7" t="s">
        <v>47</v>
      </c>
      <c r="P552" s="7"/>
    </row>
    <row r="553" spans="1:16" x14ac:dyDescent="0.25">
      <c r="A553" s="14">
        <v>45002</v>
      </c>
      <c r="B553" s="14">
        <v>45002</v>
      </c>
      <c r="C553" s="6">
        <v>45002</v>
      </c>
      <c r="D553" s="6">
        <v>45081</v>
      </c>
      <c r="E553" s="6">
        <v>45097</v>
      </c>
      <c r="F553" s="115">
        <v>24319</v>
      </c>
      <c r="G553" s="8" t="s">
        <v>2754</v>
      </c>
      <c r="H553" s="8" t="s">
        <v>1541</v>
      </c>
      <c r="I553" s="8">
        <v>10484</v>
      </c>
      <c r="J553" s="8">
        <v>11450</v>
      </c>
      <c r="K553" s="9">
        <f>Tabla156798[[#This Row],[PRECIO CLIENTE]]-Tabla156798[[#This Row],[CANTIDAD PUBLICA]]</f>
        <v>966</v>
      </c>
      <c r="L553" s="10">
        <f>Tabla156798[[#This Row],[COMISION AGENCIA]]*0.05</f>
        <v>48.300000000000004</v>
      </c>
      <c r="M553" s="7"/>
      <c r="N553" s="7" t="s">
        <v>2755</v>
      </c>
      <c r="O553" s="7" t="s">
        <v>47</v>
      </c>
      <c r="P553" s="7"/>
    </row>
    <row r="554" spans="1:16" x14ac:dyDescent="0.25">
      <c r="A554" s="14">
        <v>45002</v>
      </c>
      <c r="B554" s="14">
        <v>45002</v>
      </c>
      <c r="C554" s="6">
        <v>45002</v>
      </c>
      <c r="D554" s="6">
        <v>45108</v>
      </c>
      <c r="E554" s="6">
        <v>45145</v>
      </c>
      <c r="F554" s="115">
        <v>24068</v>
      </c>
      <c r="G554" s="8" t="s">
        <v>2756</v>
      </c>
      <c r="H554" s="8" t="s">
        <v>1808</v>
      </c>
      <c r="I554" s="8">
        <v>7344</v>
      </c>
      <c r="J554" s="8">
        <v>8685</v>
      </c>
      <c r="K554" s="9">
        <f>Tabla156798[[#This Row],[PRECIO CLIENTE]]-Tabla156798[[#This Row],[CANTIDAD PUBLICA]]</f>
        <v>1341</v>
      </c>
      <c r="L554" s="10">
        <f>Tabla156798[[#This Row],[COMISION AGENCIA]]*0.05</f>
        <v>67.05</v>
      </c>
      <c r="M554" s="7"/>
      <c r="N554" s="7" t="s">
        <v>2757</v>
      </c>
      <c r="O554" s="7" t="s">
        <v>47</v>
      </c>
      <c r="P554" s="7"/>
    </row>
    <row r="555" spans="1:16" x14ac:dyDescent="0.25">
      <c r="A555" s="14">
        <v>45002</v>
      </c>
      <c r="B555" s="14">
        <v>45002</v>
      </c>
      <c r="C555" s="6">
        <v>45002</v>
      </c>
      <c r="D555" s="6">
        <v>45122</v>
      </c>
      <c r="E555" s="6">
        <v>45145</v>
      </c>
      <c r="F555" s="115">
        <v>24068</v>
      </c>
      <c r="G555" s="8" t="s">
        <v>2758</v>
      </c>
      <c r="H555" s="8" t="s">
        <v>1808</v>
      </c>
      <c r="I555" s="8">
        <v>2337</v>
      </c>
      <c r="J555" s="8">
        <v>2860</v>
      </c>
      <c r="K555" s="9">
        <f>Tabla156798[[#This Row],[PRECIO CLIENTE]]-Tabla156798[[#This Row],[CANTIDAD PUBLICA]]</f>
        <v>523</v>
      </c>
      <c r="L555" s="10">
        <f>Tabla156798[[#This Row],[COMISION AGENCIA]]*0.05</f>
        <v>26.150000000000002</v>
      </c>
      <c r="M555" s="7"/>
      <c r="N555" s="7" t="s">
        <v>2759</v>
      </c>
      <c r="O555" s="7" t="s">
        <v>47</v>
      </c>
      <c r="P555" s="7"/>
    </row>
    <row r="556" spans="1:16" x14ac:dyDescent="0.25">
      <c r="A556" s="14">
        <f>Tabla156798[[#This Row],[FECHA IN]]-15</f>
        <v>45003</v>
      </c>
      <c r="B556" s="14">
        <v>44901</v>
      </c>
      <c r="C556" s="6">
        <v>44891</v>
      </c>
      <c r="D556" s="6">
        <v>45018</v>
      </c>
      <c r="E556" s="6">
        <v>45022</v>
      </c>
      <c r="F556" s="115">
        <v>22795</v>
      </c>
      <c r="G556" s="8" t="s">
        <v>2760</v>
      </c>
      <c r="H556" s="158" t="s">
        <v>1643</v>
      </c>
      <c r="I556" s="66">
        <v>18214.8</v>
      </c>
      <c r="J556" s="8">
        <v>15850</v>
      </c>
      <c r="K556" s="9">
        <f>Tabla156798[[#This Row],[CANTIDAD PUBLICA]]*0.05</f>
        <v>910.74</v>
      </c>
      <c r="L556" s="10">
        <f>Tabla156798[[#This Row],[COMISION AGENCIA]]*0.05</f>
        <v>45.537000000000006</v>
      </c>
      <c r="M556" s="7">
        <v>3312372426</v>
      </c>
      <c r="N556" s="7" t="s">
        <v>2761</v>
      </c>
      <c r="O556" s="7" t="s">
        <v>6</v>
      </c>
      <c r="P556" s="7"/>
    </row>
    <row r="557" spans="1:16" x14ac:dyDescent="0.25">
      <c r="A557" s="14">
        <f>Tabla156798[[#This Row],[FECHA IN]]-15</f>
        <v>45003</v>
      </c>
      <c r="B557" s="14">
        <v>44901</v>
      </c>
      <c r="C557" s="6">
        <v>44891</v>
      </c>
      <c r="D557" s="6">
        <v>45018</v>
      </c>
      <c r="E557" s="6">
        <v>45022</v>
      </c>
      <c r="F557" s="115">
        <v>22794</v>
      </c>
      <c r="G557" s="8" t="s">
        <v>2762</v>
      </c>
      <c r="H557" s="8" t="s">
        <v>1643</v>
      </c>
      <c r="I557" s="66">
        <v>21249.599999999999</v>
      </c>
      <c r="J557" s="8">
        <v>18490</v>
      </c>
      <c r="K557" s="9">
        <f>Tabla156798[[#This Row],[CANTIDAD PUBLICA]]*0.05</f>
        <v>1062.48</v>
      </c>
      <c r="L557" s="10">
        <f>Tabla156798[[#This Row],[COMISION AGENCIA]]*0.05</f>
        <v>53.124000000000002</v>
      </c>
      <c r="M557" s="7">
        <v>3312372426</v>
      </c>
      <c r="N557" s="7" t="s">
        <v>2763</v>
      </c>
      <c r="O557" s="7" t="s">
        <v>6</v>
      </c>
      <c r="P557" s="7"/>
    </row>
    <row r="558" spans="1:16" x14ac:dyDescent="0.25">
      <c r="A558" s="14">
        <f>Tabla156798[[#This Row],[FECHA IN]]-15</f>
        <v>45003</v>
      </c>
      <c r="B558" s="14">
        <v>44996</v>
      </c>
      <c r="C558" s="6">
        <v>44973</v>
      </c>
      <c r="D558" s="6">
        <v>45018</v>
      </c>
      <c r="E558" s="6">
        <v>45021</v>
      </c>
      <c r="F558" s="115">
        <v>23603</v>
      </c>
      <c r="G558" s="8" t="s">
        <v>2764</v>
      </c>
      <c r="H558" s="8" t="s">
        <v>2765</v>
      </c>
      <c r="I558" s="8">
        <v>16646.099999999999</v>
      </c>
      <c r="J558" s="8">
        <v>14490</v>
      </c>
      <c r="K558" s="9">
        <f>Tabla156798[[#This Row],[CANTIDAD PUBLICA]]*0.05</f>
        <v>832.30499999999995</v>
      </c>
      <c r="L558" s="10">
        <f>Tabla156798[[#This Row],[COMISION AGENCIA]]*0.05</f>
        <v>41.615250000000003</v>
      </c>
      <c r="M558" s="7">
        <v>3481077247</v>
      </c>
      <c r="N558" s="7" t="s">
        <v>2766</v>
      </c>
      <c r="O558" s="7" t="s">
        <v>6</v>
      </c>
      <c r="P558" s="7"/>
    </row>
    <row r="559" spans="1:16" x14ac:dyDescent="0.25">
      <c r="A559" s="14">
        <f>Tabla156798[[#This Row],[FECHA IN]]-15</f>
        <v>45003</v>
      </c>
      <c r="B559" s="14">
        <v>44996</v>
      </c>
      <c r="C559" s="6">
        <v>44973</v>
      </c>
      <c r="D559" s="6">
        <v>45018</v>
      </c>
      <c r="E559" s="6">
        <v>45021</v>
      </c>
      <c r="F559" s="115">
        <v>23603</v>
      </c>
      <c r="G559" s="8" t="s">
        <v>2767</v>
      </c>
      <c r="H559" s="8" t="s">
        <v>2765</v>
      </c>
      <c r="I559" s="8">
        <v>11681.44</v>
      </c>
      <c r="J559" s="8">
        <v>10170</v>
      </c>
      <c r="K559" s="9">
        <f>Tabla156798[[#This Row],[CANTIDAD PUBLICA]]*0.05</f>
        <v>584.072</v>
      </c>
      <c r="L559" s="10">
        <f>Tabla156798[[#This Row],[COMISION AGENCIA]]*0.05</f>
        <v>29.203600000000002</v>
      </c>
      <c r="M559" s="7">
        <v>3481077247</v>
      </c>
      <c r="N559" s="7" t="s">
        <v>2768</v>
      </c>
      <c r="O559" s="7" t="s">
        <v>6</v>
      </c>
      <c r="P559" s="7"/>
    </row>
    <row r="560" spans="1:16" x14ac:dyDescent="0.25">
      <c r="A560" s="14">
        <v>45004</v>
      </c>
      <c r="B560" s="14">
        <v>45004</v>
      </c>
      <c r="C560" s="6">
        <v>45004</v>
      </c>
      <c r="D560" s="6">
        <v>45049</v>
      </c>
      <c r="E560" s="7"/>
      <c r="F560" s="115">
        <v>24341</v>
      </c>
      <c r="G560" s="8" t="s">
        <v>2769</v>
      </c>
      <c r="H560" s="8" t="s">
        <v>2770</v>
      </c>
      <c r="I560" s="8">
        <v>1941</v>
      </c>
      <c r="J560" s="8">
        <v>2290</v>
      </c>
      <c r="K560" s="9">
        <f>Tabla156798[[#This Row],[PRECIO CLIENTE]]-Tabla156798[[#This Row],[CANTIDAD PUBLICA]]</f>
        <v>349</v>
      </c>
      <c r="L560" s="10">
        <f>Tabla156798[[#This Row],[COMISION AGENCIA]]*0.05</f>
        <v>17.45</v>
      </c>
      <c r="M560" s="7"/>
      <c r="N560" s="7" t="s">
        <v>2771</v>
      </c>
      <c r="O560" s="7" t="s">
        <v>47</v>
      </c>
      <c r="P560" s="7"/>
    </row>
    <row r="561" spans="1:16" x14ac:dyDescent="0.25">
      <c r="A561" s="14">
        <v>45004</v>
      </c>
      <c r="B561" s="14">
        <v>45004</v>
      </c>
      <c r="C561" s="6">
        <v>45004</v>
      </c>
      <c r="D561" s="6">
        <v>45087</v>
      </c>
      <c r="E561" s="7"/>
      <c r="F561" s="115">
        <v>24341</v>
      </c>
      <c r="G561" s="8" t="s">
        <v>2769</v>
      </c>
      <c r="H561" s="8" t="s">
        <v>2253</v>
      </c>
      <c r="I561" s="8">
        <v>2917</v>
      </c>
      <c r="J561" s="8">
        <v>3255</v>
      </c>
      <c r="K561" s="9">
        <f>Tabla156798[[#This Row],[PRECIO CLIENTE]]-Tabla156798[[#This Row],[CANTIDAD PUBLICA]]</f>
        <v>338</v>
      </c>
      <c r="L561" s="10">
        <f>Tabla156798[[#This Row],[COMISION AGENCIA]]*0.05</f>
        <v>16.900000000000002</v>
      </c>
      <c r="M561" s="7"/>
      <c r="N561" s="7" t="s">
        <v>2772</v>
      </c>
      <c r="O561" s="7" t="s">
        <v>47</v>
      </c>
      <c r="P561" s="7"/>
    </row>
    <row r="562" spans="1:16" x14ac:dyDescent="0.25">
      <c r="A562" s="14">
        <v>45004</v>
      </c>
      <c r="B562" s="14">
        <v>45004</v>
      </c>
      <c r="C562" s="6">
        <v>45004</v>
      </c>
      <c r="D562" s="6">
        <v>45034</v>
      </c>
      <c r="E562" s="6">
        <v>45037</v>
      </c>
      <c r="F562" s="115">
        <v>24340</v>
      </c>
      <c r="G562" s="8" t="s">
        <v>2773</v>
      </c>
      <c r="H562" s="8" t="s">
        <v>2277</v>
      </c>
      <c r="I562" s="8">
        <v>4638</v>
      </c>
      <c r="J562" s="8">
        <v>5050</v>
      </c>
      <c r="K562" s="9">
        <f>Tabla156798[[#This Row],[PRECIO CLIENTE]]-Tabla156798[[#This Row],[CANTIDAD PUBLICA]]</f>
        <v>412</v>
      </c>
      <c r="L562" s="10">
        <f>Tabla156798[[#This Row],[COMISION AGENCIA]]*0.05</f>
        <v>20.6</v>
      </c>
      <c r="M562" s="7"/>
      <c r="N562" s="7" t="s">
        <v>2774</v>
      </c>
      <c r="O562" s="7" t="s">
        <v>47</v>
      </c>
      <c r="P562" s="7"/>
    </row>
    <row r="563" spans="1:16" x14ac:dyDescent="0.25">
      <c r="A563" s="14">
        <v>45005</v>
      </c>
      <c r="B563" s="14">
        <v>45005</v>
      </c>
      <c r="C563" s="6">
        <v>45005</v>
      </c>
      <c r="D563" s="6">
        <v>45006</v>
      </c>
      <c r="E563" s="7"/>
      <c r="F563" s="115">
        <v>24080</v>
      </c>
      <c r="G563" s="8" t="s">
        <v>2775</v>
      </c>
      <c r="H563" s="8" t="s">
        <v>1811</v>
      </c>
      <c r="I563" s="8">
        <v>2403</v>
      </c>
      <c r="J563" s="8">
        <v>2745</v>
      </c>
      <c r="K563" s="9">
        <f>Tabla156798[[#This Row],[PRECIO CLIENTE]]-Tabla156798[[#This Row],[CANTIDAD PUBLICA]]</f>
        <v>342</v>
      </c>
      <c r="L563" s="10">
        <f>Tabla156798[[#This Row],[COMISION AGENCIA]]*0.05</f>
        <v>17.100000000000001</v>
      </c>
      <c r="M563" s="7"/>
      <c r="N563" s="7" t="s">
        <v>2776</v>
      </c>
      <c r="O563" s="7" t="s">
        <v>47</v>
      </c>
      <c r="P563" s="7"/>
    </row>
    <row r="564" spans="1:16" x14ac:dyDescent="0.25">
      <c r="A564" s="14">
        <v>45005</v>
      </c>
      <c r="B564" s="14">
        <v>45005</v>
      </c>
      <c r="C564" s="6">
        <v>45005</v>
      </c>
      <c r="D564" s="6">
        <v>45011</v>
      </c>
      <c r="E564" s="6">
        <v>44656</v>
      </c>
      <c r="F564" s="115">
        <v>24084</v>
      </c>
      <c r="G564" s="8" t="s">
        <v>2777</v>
      </c>
      <c r="H564" s="8" t="s">
        <v>1541</v>
      </c>
      <c r="I564" s="8">
        <v>8193</v>
      </c>
      <c r="J564" s="8">
        <v>8700</v>
      </c>
      <c r="K564" s="9">
        <f>Tabla156798[[#This Row],[PRECIO CLIENTE]]-Tabla156798[[#This Row],[CANTIDAD PUBLICA]]</f>
        <v>507</v>
      </c>
      <c r="L564" s="10">
        <f>Tabla156798[[#This Row],[COMISION AGENCIA]]*0.05</f>
        <v>25.35</v>
      </c>
      <c r="M564" s="7"/>
      <c r="N564" s="7" t="s">
        <v>2778</v>
      </c>
      <c r="O564" s="7" t="s">
        <v>47</v>
      </c>
      <c r="P564" s="7"/>
    </row>
    <row r="565" spans="1:16" x14ac:dyDescent="0.25">
      <c r="A565" s="14">
        <v>45005</v>
      </c>
      <c r="B565" s="14">
        <v>45005</v>
      </c>
      <c r="C565" s="6">
        <v>45005</v>
      </c>
      <c r="D565" s="6">
        <v>45175</v>
      </c>
      <c r="E565" s="6">
        <v>45181</v>
      </c>
      <c r="F565" s="115">
        <v>24091</v>
      </c>
      <c r="G565" s="8" t="s">
        <v>2779</v>
      </c>
      <c r="H565" s="8" t="s">
        <v>1290</v>
      </c>
      <c r="I565" s="8">
        <v>17118</v>
      </c>
      <c r="J565" s="8">
        <v>20475</v>
      </c>
      <c r="K565" s="9">
        <f>Tabla156798[[#This Row],[PRECIO CLIENTE]]-Tabla156798[[#This Row],[CANTIDAD PUBLICA]]</f>
        <v>3357</v>
      </c>
      <c r="L565" s="10">
        <f>Tabla156798[[#This Row],[COMISION AGENCIA]]*0.05</f>
        <v>167.85000000000002</v>
      </c>
      <c r="M565" s="7"/>
      <c r="N565" s="7" t="s">
        <v>2780</v>
      </c>
      <c r="O565" s="7" t="s">
        <v>47</v>
      </c>
      <c r="P565" s="7"/>
    </row>
    <row r="566" spans="1:16" x14ac:dyDescent="0.25">
      <c r="A566" s="14">
        <v>45006</v>
      </c>
      <c r="B566" s="14">
        <v>45006</v>
      </c>
      <c r="C566" s="6">
        <v>45006</v>
      </c>
      <c r="D566" s="6">
        <v>45010</v>
      </c>
      <c r="E566" s="6">
        <v>45013</v>
      </c>
      <c r="F566" s="115">
        <v>24186</v>
      </c>
      <c r="G566" s="8" t="s">
        <v>2781</v>
      </c>
      <c r="H566" s="8" t="s">
        <v>2782</v>
      </c>
      <c r="I566" s="8">
        <v>4516</v>
      </c>
      <c r="J566" s="8">
        <v>4678</v>
      </c>
      <c r="K566" s="9">
        <f>Tabla156798[[#This Row],[PRECIO CLIENTE]]-Tabla156798[[#This Row],[CANTIDAD PUBLICA]]</f>
        <v>162</v>
      </c>
      <c r="L566" s="10">
        <f>Tabla156798[[#This Row],[COMISION AGENCIA]]*0.05</f>
        <v>8.1</v>
      </c>
      <c r="M566" s="7"/>
      <c r="N566" s="7" t="s">
        <v>2783</v>
      </c>
      <c r="O566" s="7" t="s">
        <v>1266</v>
      </c>
      <c r="P566" s="7"/>
    </row>
    <row r="567" spans="1:16" x14ac:dyDescent="0.25">
      <c r="A567" s="14">
        <v>45006</v>
      </c>
      <c r="B567" s="14">
        <v>45006</v>
      </c>
      <c r="C567" s="6">
        <v>45006</v>
      </c>
      <c r="D567" s="6">
        <v>45119</v>
      </c>
      <c r="E567" s="6">
        <v>45124</v>
      </c>
      <c r="F567" s="115" t="s">
        <v>2784</v>
      </c>
      <c r="G567" s="8" t="s">
        <v>2785</v>
      </c>
      <c r="H567" s="8" t="s">
        <v>1290</v>
      </c>
      <c r="I567" s="8">
        <v>12515</v>
      </c>
      <c r="J567" s="8">
        <v>14225</v>
      </c>
      <c r="K567" s="9">
        <f>Tabla156798[[#This Row],[PRECIO CLIENTE]]-Tabla156798[[#This Row],[CANTIDAD PUBLICA]]</f>
        <v>1710</v>
      </c>
      <c r="L567" s="10">
        <f>Tabla156798[[#This Row],[COMISION AGENCIA]]*0.05</f>
        <v>85.5</v>
      </c>
      <c r="M567" s="7"/>
      <c r="N567" s="7" t="s">
        <v>2786</v>
      </c>
      <c r="O567" s="7" t="s">
        <v>47</v>
      </c>
      <c r="P567" s="7"/>
    </row>
    <row r="568" spans="1:16" x14ac:dyDescent="0.25">
      <c r="A568" s="14">
        <v>45007</v>
      </c>
      <c r="B568" s="14">
        <v>45007</v>
      </c>
      <c r="C568" s="6">
        <v>45007</v>
      </c>
      <c r="D568" s="6">
        <v>45100</v>
      </c>
      <c r="E568" s="6">
        <v>45103</v>
      </c>
      <c r="F568" s="115">
        <v>24187</v>
      </c>
      <c r="G568" s="8" t="s">
        <v>2787</v>
      </c>
      <c r="H568" s="8" t="s">
        <v>1625</v>
      </c>
      <c r="I568" s="8">
        <v>2610</v>
      </c>
      <c r="J568" s="8">
        <v>2970</v>
      </c>
      <c r="K568" s="9">
        <f>Tabla156798[[#This Row],[PRECIO CLIENTE]]-Tabla156798[[#This Row],[CANTIDAD PUBLICA]]</f>
        <v>360</v>
      </c>
      <c r="L568" s="10">
        <f>Tabla156798[[#This Row],[COMISION AGENCIA]]*0.05</f>
        <v>18</v>
      </c>
      <c r="M568" s="7"/>
      <c r="N568" s="7" t="s">
        <v>2788</v>
      </c>
      <c r="O568" s="7" t="s">
        <v>47</v>
      </c>
      <c r="P568" s="7"/>
    </row>
    <row r="569" spans="1:16" x14ac:dyDescent="0.25">
      <c r="A569" s="14">
        <v>45007</v>
      </c>
      <c r="B569" s="14">
        <v>45007</v>
      </c>
      <c r="C569" s="6">
        <v>45007</v>
      </c>
      <c r="D569" s="6">
        <v>45099</v>
      </c>
      <c r="E569" s="6">
        <v>45124</v>
      </c>
      <c r="F569" s="115">
        <v>24188</v>
      </c>
      <c r="G569" s="8" t="s">
        <v>2789</v>
      </c>
      <c r="H569" s="8" t="s">
        <v>2790</v>
      </c>
      <c r="I569" s="8">
        <v>30366</v>
      </c>
      <c r="J569" s="8">
        <v>33191</v>
      </c>
      <c r="K569" s="9">
        <f>Tabla156798[[#This Row],[PRECIO CLIENTE]]-Tabla156798[[#This Row],[CANTIDAD PUBLICA]]</f>
        <v>2825</v>
      </c>
      <c r="L569" s="10">
        <f>Tabla156798[[#This Row],[COMISION AGENCIA]]*0.05</f>
        <v>141.25</v>
      </c>
      <c r="M569" s="7"/>
      <c r="N569" s="7" t="s">
        <v>2791</v>
      </c>
      <c r="O569" s="7" t="s">
        <v>47</v>
      </c>
      <c r="P569" s="7"/>
    </row>
    <row r="570" spans="1:16" x14ac:dyDescent="0.25">
      <c r="A570" s="14">
        <v>45007</v>
      </c>
      <c r="B570" s="14">
        <v>45007</v>
      </c>
      <c r="C570" s="6">
        <v>45007</v>
      </c>
      <c r="D570" s="6">
        <v>44643</v>
      </c>
      <c r="E570" s="6">
        <v>45011</v>
      </c>
      <c r="F570" s="115">
        <v>24126</v>
      </c>
      <c r="G570" s="8" t="s">
        <v>2792</v>
      </c>
      <c r="H570" s="8" t="s">
        <v>2597</v>
      </c>
      <c r="I570" s="8">
        <v>17390.330000000002</v>
      </c>
      <c r="J570" s="8">
        <v>15130</v>
      </c>
      <c r="K570" s="9">
        <f>Tabla156798[[#This Row],[CANTIDAD PUBLICA]]*0.05</f>
        <v>869.51650000000018</v>
      </c>
      <c r="L570" s="10">
        <f>Tabla156798[[#This Row],[COMISION AGENCIA]]*0.05</f>
        <v>43.475825000000015</v>
      </c>
      <c r="M570" s="7">
        <v>3481948930</v>
      </c>
      <c r="N570" s="7" t="s">
        <v>2793</v>
      </c>
      <c r="O570" s="7" t="s">
        <v>6</v>
      </c>
      <c r="P570" s="7"/>
    </row>
    <row r="571" spans="1:16" x14ac:dyDescent="0.25">
      <c r="A571" s="14">
        <v>45007</v>
      </c>
      <c r="B571" s="14" t="s">
        <v>2468</v>
      </c>
      <c r="C571" s="6">
        <v>45007</v>
      </c>
      <c r="D571" s="6">
        <v>45020</v>
      </c>
      <c r="E571" s="6">
        <v>45025</v>
      </c>
      <c r="F571" s="115">
        <v>24117</v>
      </c>
      <c r="G571" s="8" t="s">
        <v>2794</v>
      </c>
      <c r="H571" s="8" t="s">
        <v>2795</v>
      </c>
      <c r="I571" s="8">
        <v>10903.19</v>
      </c>
      <c r="J571" s="8">
        <v>9815</v>
      </c>
      <c r="K571" s="9">
        <f>Tabla156798[[#This Row],[CANTIDAD PUBLICA]]*0.05</f>
        <v>545.15950000000009</v>
      </c>
      <c r="L571" s="10">
        <f>Tabla156798[[#This Row],[COMISION AGENCIA]]*0.05</f>
        <v>27.257975000000005</v>
      </c>
      <c r="M571" s="7">
        <v>3481107142</v>
      </c>
      <c r="N571" s="7" t="s">
        <v>2796</v>
      </c>
      <c r="O571" s="7" t="s">
        <v>5</v>
      </c>
      <c r="P571" s="7"/>
    </row>
    <row r="572" spans="1:16" x14ac:dyDescent="0.25">
      <c r="A572" s="14">
        <v>45008</v>
      </c>
      <c r="B572" s="14">
        <v>45008</v>
      </c>
      <c r="C572" s="6">
        <v>45008</v>
      </c>
      <c r="D572" s="6">
        <v>45102</v>
      </c>
      <c r="E572" s="7"/>
      <c r="F572" s="115">
        <v>24136</v>
      </c>
      <c r="G572" s="8" t="s">
        <v>2797</v>
      </c>
      <c r="H572" s="8" t="s">
        <v>1625</v>
      </c>
      <c r="I572" s="8">
        <v>4436</v>
      </c>
      <c r="J572" s="8">
        <v>5180</v>
      </c>
      <c r="K572" s="9">
        <f>Tabla156798[[#This Row],[PRECIO CLIENTE]]-Tabla156798[[#This Row],[CANTIDAD PUBLICA]]</f>
        <v>744</v>
      </c>
      <c r="L572" s="10">
        <f>Tabla156798[[#This Row],[COMISION AGENCIA]]*0.05</f>
        <v>37.200000000000003</v>
      </c>
      <c r="M572" s="7"/>
      <c r="N572" s="7" t="s">
        <v>2798</v>
      </c>
      <c r="O572" s="7" t="s">
        <v>47</v>
      </c>
      <c r="P572" s="7"/>
    </row>
    <row r="573" spans="1:16" x14ac:dyDescent="0.25">
      <c r="A573" s="14">
        <v>45008</v>
      </c>
      <c r="B573" s="14">
        <v>45008</v>
      </c>
      <c r="C573" s="6">
        <v>45008</v>
      </c>
      <c r="D573" s="6">
        <v>45014</v>
      </c>
      <c r="E573" s="7"/>
      <c r="F573" s="115">
        <v>24134</v>
      </c>
      <c r="G573" s="8" t="s">
        <v>2799</v>
      </c>
      <c r="H573" s="8" t="s">
        <v>1731</v>
      </c>
      <c r="I573" s="8">
        <v>3675</v>
      </c>
      <c r="J573" s="8">
        <v>4125</v>
      </c>
      <c r="K573" s="9">
        <f>Tabla156798[[#This Row],[PRECIO CLIENTE]]-Tabla156798[[#This Row],[CANTIDAD PUBLICA]]</f>
        <v>450</v>
      </c>
      <c r="L573" s="10">
        <f>Tabla156798[[#This Row],[COMISION AGENCIA]]*0.05</f>
        <v>22.5</v>
      </c>
      <c r="M573" s="7"/>
      <c r="N573" s="7" t="s">
        <v>2800</v>
      </c>
      <c r="O573" s="7" t="s">
        <v>86</v>
      </c>
      <c r="P573" s="7"/>
    </row>
    <row r="574" spans="1:16" x14ac:dyDescent="0.25">
      <c r="A574" s="14">
        <v>45008</v>
      </c>
      <c r="B574" s="14">
        <v>45008</v>
      </c>
      <c r="C574" s="6">
        <v>45008</v>
      </c>
      <c r="D574" s="6">
        <v>45015</v>
      </c>
      <c r="E574" s="7"/>
      <c r="F574" s="115" t="s">
        <v>2801</v>
      </c>
      <c r="G574" s="8" t="s">
        <v>2802</v>
      </c>
      <c r="H574" s="8" t="s">
        <v>1549</v>
      </c>
      <c r="I574" s="8">
        <v>11162</v>
      </c>
      <c r="J574" s="8">
        <v>11315</v>
      </c>
      <c r="K574" s="9">
        <f>Tabla156798[[#This Row],[PRECIO CLIENTE]]-Tabla156798[[#This Row],[CANTIDAD PUBLICA]]</f>
        <v>153</v>
      </c>
      <c r="L574" s="10">
        <f>Tabla156798[[#This Row],[COMISION AGENCIA]]*0.05</f>
        <v>7.65</v>
      </c>
      <c r="M574" s="7"/>
      <c r="N574" s="7" t="s">
        <v>2803</v>
      </c>
      <c r="O574" s="7" t="s">
        <v>2804</v>
      </c>
      <c r="P574" s="7"/>
    </row>
    <row r="575" spans="1:16" x14ac:dyDescent="0.25">
      <c r="A575" s="14">
        <v>45008</v>
      </c>
      <c r="B575" s="14">
        <v>45008</v>
      </c>
      <c r="C575" s="6">
        <v>45008</v>
      </c>
      <c r="D575" s="6">
        <v>45008</v>
      </c>
      <c r="E575" s="7"/>
      <c r="F575" s="115" t="s">
        <v>2805</v>
      </c>
      <c r="G575" s="8" t="s">
        <v>2806</v>
      </c>
      <c r="H575" s="8" t="s">
        <v>1906</v>
      </c>
      <c r="I575" s="8">
        <v>4418</v>
      </c>
      <c r="J575" s="8">
        <v>5035</v>
      </c>
      <c r="K575" s="9">
        <f>Tabla156798[[#This Row],[PRECIO CLIENTE]]-Tabla156798[[#This Row],[CANTIDAD PUBLICA]]</f>
        <v>617</v>
      </c>
      <c r="L575" s="10">
        <f>Tabla156798[[#This Row],[COMISION AGENCIA]]*0.05</f>
        <v>30.85</v>
      </c>
      <c r="M575" s="7"/>
      <c r="N575" s="7" t="s">
        <v>2807</v>
      </c>
      <c r="O575" s="7" t="s">
        <v>47</v>
      </c>
      <c r="P575" s="7"/>
    </row>
    <row r="576" spans="1:16" x14ac:dyDescent="0.25">
      <c r="A576" s="14">
        <v>45008</v>
      </c>
      <c r="B576" s="14">
        <v>45008</v>
      </c>
      <c r="C576" s="6">
        <v>45008</v>
      </c>
      <c r="D576" s="6">
        <v>45018</v>
      </c>
      <c r="E576" s="7"/>
      <c r="F576" s="115">
        <v>24192</v>
      </c>
      <c r="G576" s="8" t="s">
        <v>2808</v>
      </c>
      <c r="H576" s="8" t="s">
        <v>2809</v>
      </c>
      <c r="I576" s="8">
        <v>5876</v>
      </c>
      <c r="J576" s="8">
        <v>6075</v>
      </c>
      <c r="K576" s="9">
        <f>Tabla156798[[#This Row],[PRECIO CLIENTE]]-Tabla156798[[#This Row],[CANTIDAD PUBLICA]]</f>
        <v>199</v>
      </c>
      <c r="L576" s="10">
        <f>Tabla156798[[#This Row],[COMISION AGENCIA]]*0.05</f>
        <v>9.9500000000000011</v>
      </c>
      <c r="M576" s="7"/>
      <c r="N576" s="7" t="s">
        <v>2810</v>
      </c>
      <c r="O576" s="7" t="s">
        <v>2804</v>
      </c>
      <c r="P576" s="7"/>
    </row>
    <row r="577" spans="1:16" x14ac:dyDescent="0.25">
      <c r="A577" s="14">
        <v>45008</v>
      </c>
      <c r="B577" s="14">
        <v>45008</v>
      </c>
      <c r="C577" s="6">
        <v>45008</v>
      </c>
      <c r="D577" s="6">
        <v>45009</v>
      </c>
      <c r="E577" s="6">
        <v>45011</v>
      </c>
      <c r="F577" s="115" t="s">
        <v>2805</v>
      </c>
      <c r="G577" s="8" t="s">
        <v>2811</v>
      </c>
      <c r="H577" s="8" t="s">
        <v>1906</v>
      </c>
      <c r="I577" s="8">
        <v>20745</v>
      </c>
      <c r="J577" s="8">
        <v>21200</v>
      </c>
      <c r="K577" s="9">
        <f>Tabla156798[[#This Row],[PRECIO CLIENTE]]-Tabla156798[[#This Row],[CANTIDAD PUBLICA]]</f>
        <v>455</v>
      </c>
      <c r="L577" s="10">
        <f>Tabla156798[[#This Row],[COMISION AGENCIA]]*0.05</f>
        <v>22.75</v>
      </c>
      <c r="M577" s="7"/>
      <c r="N577" s="7" t="s">
        <v>2812</v>
      </c>
      <c r="O577" s="7" t="s">
        <v>47</v>
      </c>
      <c r="P577" s="7"/>
    </row>
    <row r="578" spans="1:16" x14ac:dyDescent="0.25">
      <c r="A578" s="14">
        <v>45008</v>
      </c>
      <c r="B578" s="14">
        <v>45008</v>
      </c>
      <c r="C578" s="6">
        <v>45008</v>
      </c>
      <c r="D578" s="6">
        <v>45009</v>
      </c>
      <c r="E578" s="6">
        <v>45011</v>
      </c>
      <c r="F578" s="115" t="s">
        <v>2805</v>
      </c>
      <c r="G578" s="8" t="s">
        <v>2813</v>
      </c>
      <c r="H578" s="8" t="s">
        <v>1906</v>
      </c>
      <c r="I578" s="8">
        <v>10372</v>
      </c>
      <c r="J578" s="8">
        <v>10600</v>
      </c>
      <c r="K578" s="9">
        <f>Tabla156798[[#This Row],[PRECIO CLIENTE]]-Tabla156798[[#This Row],[CANTIDAD PUBLICA]]</f>
        <v>228</v>
      </c>
      <c r="L578" s="10">
        <f>Tabla156798[[#This Row],[COMISION AGENCIA]]*0.05</f>
        <v>11.4</v>
      </c>
      <c r="M578" s="7"/>
      <c r="N578" s="7" t="s">
        <v>2814</v>
      </c>
      <c r="O578" s="7" t="s">
        <v>47</v>
      </c>
      <c r="P578" s="7"/>
    </row>
    <row r="579" spans="1:16" x14ac:dyDescent="0.25">
      <c r="A579" s="14">
        <f>Tabla156798[[#This Row],[FECHA IN]]-15</f>
        <v>45008</v>
      </c>
      <c r="B579" s="14" t="s">
        <v>2468</v>
      </c>
      <c r="C579" s="6">
        <v>44977</v>
      </c>
      <c r="D579" s="6">
        <v>45023</v>
      </c>
      <c r="E579" s="6">
        <v>45026</v>
      </c>
      <c r="F579" s="115">
        <v>23650</v>
      </c>
      <c r="G579" s="8" t="s">
        <v>2496</v>
      </c>
      <c r="H579" s="8" t="s">
        <v>2815</v>
      </c>
      <c r="I579" s="8">
        <v>27978.240000000002</v>
      </c>
      <c r="J579" s="8">
        <v>24345</v>
      </c>
      <c r="K579" s="9">
        <f>Tabla156798[[#This Row],[CANTIDAD PUBLICA]]*0.05</f>
        <v>1398.9120000000003</v>
      </c>
      <c r="L579" s="10">
        <f>Tabla156798[[#This Row],[COMISION AGENCIA]]*0.05</f>
        <v>69.945600000000013</v>
      </c>
      <c r="M579" s="7">
        <v>3781451678</v>
      </c>
      <c r="N579" s="7" t="s">
        <v>2816</v>
      </c>
      <c r="O579" s="7" t="s">
        <v>6</v>
      </c>
      <c r="P579" s="7"/>
    </row>
    <row r="580" spans="1:16" x14ac:dyDescent="0.25">
      <c r="A580" s="14">
        <f>Tabla156798[[#This Row],[FECHA IN]]-15</f>
        <v>45008</v>
      </c>
      <c r="B580" s="14">
        <f>Tabla156798[[#This Row],[FECHA IN]]-15</f>
        <v>45008</v>
      </c>
      <c r="C580" s="6">
        <v>44977</v>
      </c>
      <c r="D580" s="6">
        <v>45023</v>
      </c>
      <c r="E580" s="6">
        <v>45026</v>
      </c>
      <c r="F580" s="115">
        <v>23650</v>
      </c>
      <c r="G580" s="8" t="s">
        <v>2496</v>
      </c>
      <c r="H580" s="8" t="s">
        <v>2817</v>
      </c>
      <c r="I580" s="8"/>
      <c r="J580" s="8">
        <v>2250</v>
      </c>
      <c r="K580" s="9">
        <f>Tabla156798[[#This Row],[PRECIO CLIENTE]]-Tabla156798[[#This Row],[CANTIDAD PUBLICA]]</f>
        <v>2250</v>
      </c>
      <c r="L580" s="10">
        <f>Tabla156798[[#This Row],[COMISION AGENCIA]]*0.05</f>
        <v>112.5</v>
      </c>
      <c r="M580" s="7">
        <v>3781451678</v>
      </c>
      <c r="N580" s="7"/>
      <c r="O580" s="7"/>
      <c r="P580" s="7"/>
    </row>
    <row r="581" spans="1:16" x14ac:dyDescent="0.25">
      <c r="A581" s="14">
        <v>45009</v>
      </c>
      <c r="B581" s="14">
        <v>45009</v>
      </c>
      <c r="C581" s="6">
        <v>45009</v>
      </c>
      <c r="D581" s="6">
        <v>45014</v>
      </c>
      <c r="E581" s="7"/>
      <c r="F581" s="115">
        <v>24342</v>
      </c>
      <c r="G581" s="8" t="s">
        <v>2818</v>
      </c>
      <c r="H581" s="8" t="s">
        <v>2724</v>
      </c>
      <c r="I581" s="8">
        <v>6400</v>
      </c>
      <c r="J581" s="8">
        <v>7170</v>
      </c>
      <c r="K581" s="9">
        <f>Tabla156798[[#This Row],[PRECIO CLIENTE]]-Tabla156798[[#This Row],[CANTIDAD PUBLICA]]</f>
        <v>770</v>
      </c>
      <c r="L581" s="10">
        <f>Tabla156798[[#This Row],[COMISION AGENCIA]]*0.05</f>
        <v>38.5</v>
      </c>
      <c r="M581" s="7"/>
      <c r="N581" s="7" t="s">
        <v>2819</v>
      </c>
      <c r="O581" s="7" t="s">
        <v>47</v>
      </c>
      <c r="P581" s="7"/>
    </row>
    <row r="582" spans="1:16" x14ac:dyDescent="0.25">
      <c r="A582" s="14">
        <v>45009</v>
      </c>
      <c r="B582" s="14">
        <v>45009</v>
      </c>
      <c r="C582" s="6">
        <v>45009</v>
      </c>
      <c r="D582" s="6">
        <v>45017</v>
      </c>
      <c r="E582" s="6">
        <v>45026</v>
      </c>
      <c r="F582" s="115">
        <v>24343</v>
      </c>
      <c r="G582" s="8" t="s">
        <v>2276</v>
      </c>
      <c r="H582" s="8" t="s">
        <v>1614</v>
      </c>
      <c r="I582" s="8">
        <v>7296</v>
      </c>
      <c r="J582" s="8">
        <v>7790</v>
      </c>
      <c r="K582" s="9">
        <f>Tabla156798[[#This Row],[PRECIO CLIENTE]]-Tabla156798[[#This Row],[CANTIDAD PUBLICA]]</f>
        <v>494</v>
      </c>
      <c r="L582" s="10">
        <f>Tabla156798[[#This Row],[COMISION AGENCIA]]*0.05</f>
        <v>24.700000000000003</v>
      </c>
      <c r="M582" s="7"/>
      <c r="N582" s="7" t="s">
        <v>2820</v>
      </c>
      <c r="O582" s="7" t="s">
        <v>47</v>
      </c>
      <c r="P582" s="7"/>
    </row>
    <row r="583" spans="1:16" x14ac:dyDescent="0.25">
      <c r="A583" s="14">
        <v>45009</v>
      </c>
      <c r="B583" s="14">
        <v>45009</v>
      </c>
      <c r="C583" s="6">
        <v>45009</v>
      </c>
      <c r="D583" s="6">
        <v>45026</v>
      </c>
      <c r="E583" s="6"/>
      <c r="F583" s="115">
        <v>24343</v>
      </c>
      <c r="G583" s="8" t="s">
        <v>2821</v>
      </c>
      <c r="H583" s="8" t="s">
        <v>2822</v>
      </c>
      <c r="I583" s="8">
        <v>5630</v>
      </c>
      <c r="J583" s="8">
        <v>6330</v>
      </c>
      <c r="K583" s="9">
        <f>Tabla156798[[#This Row],[PRECIO CLIENTE]]-Tabla156798[[#This Row],[CANTIDAD PUBLICA]]</f>
        <v>700</v>
      </c>
      <c r="L583" s="10">
        <f>Tabla156798[[#This Row],[COMISION AGENCIA]]*0.05</f>
        <v>35</v>
      </c>
      <c r="M583" s="7"/>
      <c r="N583" s="7" t="s">
        <v>2823</v>
      </c>
      <c r="O583" s="7" t="s">
        <v>47</v>
      </c>
      <c r="P583" s="7"/>
    </row>
    <row r="584" spans="1:16" x14ac:dyDescent="0.25">
      <c r="A584" s="14">
        <v>45009</v>
      </c>
      <c r="B584" s="14">
        <v>45009</v>
      </c>
      <c r="C584" s="6">
        <v>45009</v>
      </c>
      <c r="D584" s="6">
        <v>45081</v>
      </c>
      <c r="E584" s="6">
        <v>45088</v>
      </c>
      <c r="F584" s="115">
        <v>24147</v>
      </c>
      <c r="G584" s="8" t="s">
        <v>2824</v>
      </c>
      <c r="H584" s="8" t="s">
        <v>2825</v>
      </c>
      <c r="I584" s="8">
        <v>20331</v>
      </c>
      <c r="J584" s="8">
        <v>23400</v>
      </c>
      <c r="K584" s="9">
        <f>Tabla156798[[#This Row],[PRECIO CLIENTE]]-Tabla156798[[#This Row],[CANTIDAD PUBLICA]]</f>
        <v>3069</v>
      </c>
      <c r="L584" s="10">
        <f>Tabla156798[[#This Row],[COMISION AGENCIA]]*0.05</f>
        <v>153.45000000000002</v>
      </c>
      <c r="M584" s="7"/>
      <c r="N584" s="7" t="s">
        <v>2826</v>
      </c>
      <c r="O584" s="7" t="s">
        <v>47</v>
      </c>
      <c r="P584" s="7"/>
    </row>
    <row r="585" spans="1:16" x14ac:dyDescent="0.25">
      <c r="A585" s="14">
        <v>45009</v>
      </c>
      <c r="B585" s="14">
        <v>45009</v>
      </c>
      <c r="C585" s="6">
        <v>45009</v>
      </c>
      <c r="D585" s="6">
        <v>45102</v>
      </c>
      <c r="E585" s="7"/>
      <c r="F585" s="115">
        <v>24166</v>
      </c>
      <c r="G585" s="8" t="s">
        <v>2827</v>
      </c>
      <c r="H585" s="8" t="s">
        <v>1541</v>
      </c>
      <c r="I585" s="8">
        <v>2847</v>
      </c>
      <c r="J585" s="8">
        <v>3215</v>
      </c>
      <c r="K585" s="9">
        <f>Tabla156798[[#This Row],[PRECIO CLIENTE]]-Tabla156798[[#This Row],[CANTIDAD PUBLICA]]</f>
        <v>368</v>
      </c>
      <c r="L585" s="10">
        <f>Tabla156798[[#This Row],[COMISION AGENCIA]]*0.05</f>
        <v>18.400000000000002</v>
      </c>
      <c r="M585" s="7"/>
      <c r="N585" s="7" t="s">
        <v>2828</v>
      </c>
      <c r="O585" s="7" t="s">
        <v>47</v>
      </c>
      <c r="P585" s="7"/>
    </row>
    <row r="586" spans="1:16" x14ac:dyDescent="0.25">
      <c r="A586" s="14">
        <v>45011</v>
      </c>
      <c r="B586" s="14">
        <v>45011</v>
      </c>
      <c r="C586" s="6">
        <v>45011</v>
      </c>
      <c r="D586" s="6">
        <v>45013</v>
      </c>
      <c r="E586" s="7"/>
      <c r="F586" s="115">
        <v>24196</v>
      </c>
      <c r="G586" s="8" t="s">
        <v>2829</v>
      </c>
      <c r="H586" s="8" t="s">
        <v>1544</v>
      </c>
      <c r="I586" s="8">
        <v>3000</v>
      </c>
      <c r="J586" s="8">
        <v>3365</v>
      </c>
      <c r="K586" s="9">
        <f>Tabla156798[[#This Row],[PRECIO CLIENTE]]-Tabla156798[[#This Row],[CANTIDAD PUBLICA]]</f>
        <v>365</v>
      </c>
      <c r="L586" s="10">
        <f>Tabla156798[[#This Row],[COMISION AGENCIA]]*0.05</f>
        <v>18.25</v>
      </c>
      <c r="M586" s="7"/>
      <c r="N586" s="7" t="s">
        <v>2830</v>
      </c>
      <c r="O586" s="7" t="s">
        <v>47</v>
      </c>
      <c r="P586" s="7"/>
    </row>
    <row r="587" spans="1:16" x14ac:dyDescent="0.25">
      <c r="A587" s="14">
        <v>45011</v>
      </c>
      <c r="B587" s="14">
        <v>45011</v>
      </c>
      <c r="C587" s="6">
        <v>45011</v>
      </c>
      <c r="D587" s="6">
        <v>45013</v>
      </c>
      <c r="E587" s="7"/>
      <c r="F587" s="115">
        <v>24196</v>
      </c>
      <c r="G587" s="8" t="s">
        <v>2831</v>
      </c>
      <c r="H587" s="8" t="s">
        <v>1544</v>
      </c>
      <c r="I587" s="8">
        <v>6390</v>
      </c>
      <c r="J587" s="8">
        <v>6690</v>
      </c>
      <c r="K587" s="9">
        <f>Tabla156798[[#This Row],[PRECIO CLIENTE]]-Tabla156798[[#This Row],[CANTIDAD PUBLICA]]</f>
        <v>300</v>
      </c>
      <c r="L587" s="10">
        <f>Tabla156798[[#This Row],[COMISION AGENCIA]]*0.05</f>
        <v>15</v>
      </c>
      <c r="M587" s="7"/>
      <c r="N587" s="7" t="s">
        <v>2832</v>
      </c>
      <c r="O587" s="7" t="s">
        <v>47</v>
      </c>
      <c r="P587" s="7"/>
    </row>
    <row r="588" spans="1:16" x14ac:dyDescent="0.25">
      <c r="A588" s="14">
        <v>45012</v>
      </c>
      <c r="B588" s="14">
        <v>45012</v>
      </c>
      <c r="C588" s="6">
        <v>45012</v>
      </c>
      <c r="D588" s="6">
        <v>45018</v>
      </c>
      <c r="E588" s="6">
        <v>45022</v>
      </c>
      <c r="F588" s="115">
        <v>24225</v>
      </c>
      <c r="G588" s="8" t="s">
        <v>2833</v>
      </c>
      <c r="H588" s="8" t="s">
        <v>2597</v>
      </c>
      <c r="I588" s="8">
        <v>22659.15</v>
      </c>
      <c r="J588" s="8">
        <v>19715</v>
      </c>
      <c r="K588" s="9">
        <f>Tabla156798[[#This Row],[CANTIDAD PUBLICA]]*0.05</f>
        <v>1132.9575000000002</v>
      </c>
      <c r="L588" s="10">
        <f>Tabla156798[[#This Row],[COMISION AGENCIA]]*0.05</f>
        <v>56.647875000000013</v>
      </c>
      <c r="M588" s="7"/>
      <c r="N588" s="7" t="s">
        <v>2834</v>
      </c>
      <c r="O588" s="7" t="s">
        <v>6</v>
      </c>
      <c r="P588" s="7"/>
    </row>
    <row r="589" spans="1:16" x14ac:dyDescent="0.25">
      <c r="A589" s="14">
        <v>45013</v>
      </c>
      <c r="B589" s="14">
        <v>45013</v>
      </c>
      <c r="C589" s="6">
        <v>45013</v>
      </c>
      <c r="D589" s="6">
        <v>45014</v>
      </c>
      <c r="E589" s="6">
        <v>45017</v>
      </c>
      <c r="F589" s="115">
        <v>24213</v>
      </c>
      <c r="G589" s="8" t="s">
        <v>2835</v>
      </c>
      <c r="H589" s="8" t="s">
        <v>2836</v>
      </c>
      <c r="I589" s="8">
        <v>8480</v>
      </c>
      <c r="J589" s="8">
        <v>8630</v>
      </c>
      <c r="K589" s="9">
        <f>Tabla156798[[#This Row],[PRECIO CLIENTE]]-Tabla156798[[#This Row],[CANTIDAD PUBLICA]]</f>
        <v>150</v>
      </c>
      <c r="L589" s="10">
        <f>Tabla156798[[#This Row],[COMISION AGENCIA]]*0.05</f>
        <v>7.5</v>
      </c>
      <c r="M589" s="7"/>
      <c r="N589" s="7" t="s">
        <v>2837</v>
      </c>
      <c r="O589" s="7" t="s">
        <v>47</v>
      </c>
      <c r="P589" s="7"/>
    </row>
    <row r="590" spans="1:16" x14ac:dyDescent="0.25">
      <c r="A590" s="14">
        <v>45013</v>
      </c>
      <c r="B590" s="14">
        <v>45013</v>
      </c>
      <c r="C590" s="6">
        <v>45013</v>
      </c>
      <c r="D590" s="6">
        <v>45013</v>
      </c>
      <c r="E590" s="6">
        <v>45017</v>
      </c>
      <c r="F590" s="115">
        <v>24213</v>
      </c>
      <c r="G590" s="8" t="s">
        <v>2835</v>
      </c>
      <c r="H590" s="8" t="s">
        <v>1532</v>
      </c>
      <c r="I590" s="8">
        <v>12367</v>
      </c>
      <c r="J590" s="8">
        <v>13190</v>
      </c>
      <c r="K590" s="9">
        <f>Tabla156798[[#This Row],[PRECIO CLIENTE]]-Tabla156798[[#This Row],[CANTIDAD PUBLICA]]</f>
        <v>823</v>
      </c>
      <c r="L590" s="10">
        <f>Tabla156798[[#This Row],[COMISION AGENCIA]]*0.05</f>
        <v>41.150000000000006</v>
      </c>
      <c r="M590" s="7"/>
      <c r="N590" s="7" t="s">
        <v>2838</v>
      </c>
      <c r="O590" s="7" t="s">
        <v>47</v>
      </c>
      <c r="P590" s="7"/>
    </row>
    <row r="591" spans="1:16" x14ac:dyDescent="0.25">
      <c r="A591" s="14">
        <v>45013</v>
      </c>
      <c r="B591" s="14">
        <v>45013</v>
      </c>
      <c r="C591" s="6">
        <v>45013</v>
      </c>
      <c r="D591" s="6">
        <v>45019</v>
      </c>
      <c r="E591" s="6">
        <v>45031</v>
      </c>
      <c r="F591" s="115">
        <v>24221</v>
      </c>
      <c r="G591" s="8" t="s">
        <v>2839</v>
      </c>
      <c r="H591" s="8" t="s">
        <v>2396</v>
      </c>
      <c r="I591" s="8">
        <v>1697</v>
      </c>
      <c r="J591" s="8">
        <v>2080</v>
      </c>
      <c r="K591" s="9">
        <f>Tabla156798[[#This Row],[PRECIO CLIENTE]]-Tabla156798[[#This Row],[CANTIDAD PUBLICA]]</f>
        <v>383</v>
      </c>
      <c r="L591" s="10">
        <f>Tabla156798[[#This Row],[COMISION AGENCIA]]*0.05</f>
        <v>19.150000000000002</v>
      </c>
      <c r="M591" s="7"/>
      <c r="N591" s="7" t="s">
        <v>2840</v>
      </c>
      <c r="O591" s="7" t="s">
        <v>47</v>
      </c>
      <c r="P591" s="7"/>
    </row>
    <row r="592" spans="1:16" x14ac:dyDescent="0.25">
      <c r="A592" s="14">
        <v>45013</v>
      </c>
      <c r="B592" s="14">
        <v>45013</v>
      </c>
      <c r="C592" s="6">
        <v>45013</v>
      </c>
      <c r="D592" s="6">
        <v>45037</v>
      </c>
      <c r="E592" s="7"/>
      <c r="F592" s="115">
        <v>24223</v>
      </c>
      <c r="G592" s="8" t="s">
        <v>2841</v>
      </c>
      <c r="H592" s="8" t="s">
        <v>2842</v>
      </c>
      <c r="I592" s="8">
        <v>3061</v>
      </c>
      <c r="J592" s="8">
        <v>3440</v>
      </c>
      <c r="K592" s="9">
        <f>Tabla156798[[#This Row],[PRECIO CLIENTE]]-Tabla156798[[#This Row],[CANTIDAD PUBLICA]]</f>
        <v>379</v>
      </c>
      <c r="L592" s="10">
        <f>Tabla156798[[#This Row],[COMISION AGENCIA]]*0.05</f>
        <v>18.95</v>
      </c>
      <c r="M592" s="7"/>
      <c r="N592" s="7" t="s">
        <v>2843</v>
      </c>
      <c r="O592" s="7" t="s">
        <v>47</v>
      </c>
      <c r="P592" s="7"/>
    </row>
    <row r="593" spans="1:16" x14ac:dyDescent="0.25">
      <c r="A593" s="14">
        <v>45014</v>
      </c>
      <c r="B593" s="14">
        <v>45014</v>
      </c>
      <c r="C593" s="6">
        <v>45014</v>
      </c>
      <c r="D593" s="6">
        <v>45087</v>
      </c>
      <c r="E593" s="6">
        <v>45101</v>
      </c>
      <c r="F593" s="115">
        <v>24344</v>
      </c>
      <c r="G593" s="8" t="s">
        <v>2844</v>
      </c>
      <c r="H593" s="8" t="s">
        <v>2253</v>
      </c>
      <c r="I593" s="8">
        <v>6046</v>
      </c>
      <c r="J593" s="8">
        <v>6922</v>
      </c>
      <c r="K593" s="9">
        <f>Tabla156798[[#This Row],[PRECIO CLIENTE]]-Tabla156798[[#This Row],[CANTIDAD PUBLICA]]</f>
        <v>876</v>
      </c>
      <c r="L593" s="10">
        <f>Tabla156798[[#This Row],[COMISION AGENCIA]]*0.05</f>
        <v>43.800000000000004</v>
      </c>
      <c r="M593" s="7"/>
      <c r="N593" s="7" t="s">
        <v>2845</v>
      </c>
      <c r="O593" s="7" t="s">
        <v>47</v>
      </c>
      <c r="P593" s="7"/>
    </row>
    <row r="594" spans="1:16" x14ac:dyDescent="0.25">
      <c r="A594" s="14">
        <v>45014</v>
      </c>
      <c r="B594" s="14">
        <v>45014</v>
      </c>
      <c r="C594" s="6">
        <v>45014</v>
      </c>
      <c r="D594" s="6">
        <v>45057</v>
      </c>
      <c r="E594" s="7"/>
      <c r="F594" s="115">
        <v>24234</v>
      </c>
      <c r="G594" s="8" t="s">
        <v>2846</v>
      </c>
      <c r="H594" s="8" t="s">
        <v>1811</v>
      </c>
      <c r="I594" s="8">
        <v>5938</v>
      </c>
      <c r="J594" s="8">
        <v>6820</v>
      </c>
      <c r="K594" s="9">
        <f>Tabla156798[[#This Row],[PRECIO CLIENTE]]-Tabla156798[[#This Row],[CANTIDAD PUBLICA]]</f>
        <v>882</v>
      </c>
      <c r="L594" s="10">
        <f>Tabla156798[[#This Row],[COMISION AGENCIA]]*0.05</f>
        <v>44.1</v>
      </c>
      <c r="M594" s="7"/>
      <c r="N594" s="7" t="s">
        <v>2847</v>
      </c>
      <c r="O594" s="7" t="s">
        <v>47</v>
      </c>
      <c r="P594" s="7"/>
    </row>
    <row r="595" spans="1:16" x14ac:dyDescent="0.25">
      <c r="A595" s="14">
        <v>45016</v>
      </c>
      <c r="B595" s="14">
        <v>45016</v>
      </c>
      <c r="C595" s="6">
        <v>45016</v>
      </c>
      <c r="D595" s="6">
        <v>45095</v>
      </c>
      <c r="E595" s="6">
        <v>45144</v>
      </c>
      <c r="F595" s="115">
        <v>24264</v>
      </c>
      <c r="G595" s="8" t="s">
        <v>2848</v>
      </c>
      <c r="H595" s="8" t="s">
        <v>2074</v>
      </c>
      <c r="I595" s="8">
        <v>10480</v>
      </c>
      <c r="J595" s="8">
        <v>10855</v>
      </c>
      <c r="K595" s="9">
        <f>Tabla156798[[#This Row],[PRECIO CLIENTE]]-Tabla156798[[#This Row],[CANTIDAD PUBLICA]]</f>
        <v>375</v>
      </c>
      <c r="L595" s="10">
        <f>Tabla156798[[#This Row],[COMISION AGENCIA]]*0.05</f>
        <v>18.75</v>
      </c>
      <c r="M595" s="7"/>
      <c r="N595" s="7" t="s">
        <v>2849</v>
      </c>
      <c r="O595" s="7" t="s">
        <v>47</v>
      </c>
      <c r="P595" s="7"/>
    </row>
    <row r="596" spans="1:16" x14ac:dyDescent="0.25">
      <c r="A596" s="14">
        <v>45016</v>
      </c>
      <c r="B596" s="14">
        <v>45016</v>
      </c>
      <c r="C596" s="6">
        <v>45016</v>
      </c>
      <c r="D596" s="6">
        <v>45147</v>
      </c>
      <c r="E596" s="6">
        <v>45168</v>
      </c>
      <c r="F596" s="115" t="s">
        <v>2850</v>
      </c>
      <c r="G596" s="8" t="s">
        <v>2851</v>
      </c>
      <c r="H596" s="8" t="s">
        <v>2852</v>
      </c>
      <c r="I596" s="8">
        <v>23364</v>
      </c>
      <c r="J596" s="8">
        <v>27040</v>
      </c>
      <c r="K596" s="9">
        <f>Tabla156798[[#This Row],[PRECIO CLIENTE]]-Tabla156798[[#This Row],[CANTIDAD PUBLICA]]</f>
        <v>3676</v>
      </c>
      <c r="L596" s="10">
        <f>Tabla156798[[#This Row],[COMISION AGENCIA]]*0.05</f>
        <v>183.8</v>
      </c>
      <c r="M596" s="7"/>
      <c r="N596" s="7" t="s">
        <v>2853</v>
      </c>
      <c r="O596" s="7" t="s">
        <v>47</v>
      </c>
      <c r="P596" s="7"/>
    </row>
    <row r="597" spans="1:16" x14ac:dyDescent="0.25">
      <c r="A597" s="14">
        <v>45016</v>
      </c>
      <c r="B597" s="14">
        <v>45016</v>
      </c>
      <c r="C597" s="6">
        <v>45016</v>
      </c>
      <c r="D597" s="6">
        <v>45090</v>
      </c>
      <c r="E597" s="6">
        <v>45099</v>
      </c>
      <c r="F597" s="115">
        <v>24272</v>
      </c>
      <c r="G597" s="8" t="s">
        <v>2854</v>
      </c>
      <c r="H597" s="8" t="s">
        <v>2724</v>
      </c>
      <c r="I597" s="8">
        <v>20752</v>
      </c>
      <c r="J597" s="8">
        <v>22240</v>
      </c>
      <c r="K597" s="9">
        <f>Tabla156798[[#This Row],[PRECIO CLIENTE]]-Tabla156798[[#This Row],[CANTIDAD PUBLICA]]</f>
        <v>1488</v>
      </c>
      <c r="L597" s="10">
        <f>Tabla156798[[#This Row],[COMISION AGENCIA]]*0.05</f>
        <v>74.400000000000006</v>
      </c>
      <c r="M597" s="7"/>
      <c r="N597" s="7" t="s">
        <v>2855</v>
      </c>
      <c r="O597" s="7" t="s">
        <v>47</v>
      </c>
      <c r="P597" s="7"/>
    </row>
    <row r="598" spans="1:16" x14ac:dyDescent="0.25">
      <c r="A598" s="14">
        <f>Tabla156798[[#This Row],[FECHA IN]]-15</f>
        <v>45017</v>
      </c>
      <c r="B598" s="14">
        <v>45012</v>
      </c>
      <c r="C598" s="6">
        <v>45001</v>
      </c>
      <c r="D598" s="6">
        <v>45032</v>
      </c>
      <c r="E598" s="6">
        <v>45036</v>
      </c>
      <c r="F598" s="115">
        <v>24112</v>
      </c>
      <c r="G598" s="8" t="s">
        <v>2856</v>
      </c>
      <c r="H598" s="8" t="s">
        <v>2857</v>
      </c>
      <c r="I598" s="8">
        <v>17999</v>
      </c>
      <c r="J598" s="8">
        <v>15660</v>
      </c>
      <c r="K598" s="9">
        <f>Tabla156798[[#This Row],[CANTIDAD PUBLICA]]*0.05</f>
        <v>899.95</v>
      </c>
      <c r="L598" s="10">
        <f>Tabla156798[[#This Row],[COMISION AGENCIA]]*0.05</f>
        <v>44.997500000000002</v>
      </c>
      <c r="M598" s="7">
        <v>3511014207</v>
      </c>
      <c r="N598" s="7" t="s">
        <v>2858</v>
      </c>
      <c r="O598" s="7" t="s">
        <v>6</v>
      </c>
      <c r="P598" s="7"/>
    </row>
    <row r="599" spans="1:16" x14ac:dyDescent="0.25">
      <c r="A599" s="14">
        <f>Tabla156798[[#This Row],[FECHA IN]]-15</f>
        <v>45018</v>
      </c>
      <c r="B599" s="14">
        <v>45021</v>
      </c>
      <c r="C599" s="6">
        <v>44988</v>
      </c>
      <c r="D599" s="6">
        <v>45033</v>
      </c>
      <c r="E599" s="6">
        <v>45038</v>
      </c>
      <c r="F599" s="115">
        <v>23823</v>
      </c>
      <c r="G599" s="8" t="s">
        <v>2593</v>
      </c>
      <c r="H599" s="8" t="s">
        <v>2859</v>
      </c>
      <c r="I599" s="8">
        <v>21624.75</v>
      </c>
      <c r="J599" s="8">
        <v>18815</v>
      </c>
      <c r="K599" s="9">
        <f>Tabla156798[[#This Row],[CANTIDAD PUBLICA]]*0.05</f>
        <v>1081.2375</v>
      </c>
      <c r="L599" s="10">
        <f>Tabla156798[[#This Row],[COMISION AGENCIA]]*0.05</f>
        <v>54.061875000000001</v>
      </c>
      <c r="M599" s="7">
        <v>3481133839</v>
      </c>
      <c r="N599" s="7" t="s">
        <v>2860</v>
      </c>
      <c r="O599" s="7" t="s">
        <v>6</v>
      </c>
      <c r="P599" s="7"/>
    </row>
    <row r="600" spans="1:16" x14ac:dyDescent="0.25">
      <c r="A600" s="14">
        <f>Tabla156798[[#This Row],[FECHA IN]]-15</f>
        <v>45018</v>
      </c>
      <c r="B600" s="14">
        <v>45021</v>
      </c>
      <c r="C600" s="6">
        <v>44988</v>
      </c>
      <c r="D600" s="6">
        <v>45033</v>
      </c>
      <c r="E600" s="6">
        <v>45038</v>
      </c>
      <c r="F600" s="115">
        <v>23823</v>
      </c>
      <c r="G600" s="8" t="s">
        <v>2593</v>
      </c>
      <c r="H600" s="8" t="s">
        <v>2861</v>
      </c>
      <c r="I600" s="8">
        <v>1020</v>
      </c>
      <c r="J600" s="8">
        <v>1500</v>
      </c>
      <c r="K600" s="9">
        <f>Tabla156798[[#This Row],[CANTIDAD PUBLICA]]*0.05</f>
        <v>51</v>
      </c>
      <c r="L600" s="10">
        <f>Tabla156798[[#This Row],[COMISION AGENCIA]]*0.05</f>
        <v>2.5500000000000003</v>
      </c>
      <c r="M600" s="7">
        <v>3481133839</v>
      </c>
      <c r="N600" s="7" t="s">
        <v>2862</v>
      </c>
      <c r="O600" s="7" t="s">
        <v>4</v>
      </c>
      <c r="P600" s="7"/>
    </row>
    <row r="601" spans="1:16" x14ac:dyDescent="0.25">
      <c r="A601" s="14">
        <v>45018</v>
      </c>
      <c r="B601" s="14">
        <v>45018</v>
      </c>
      <c r="C601" s="6">
        <v>45018</v>
      </c>
      <c r="D601" s="6">
        <v>45027</v>
      </c>
      <c r="E601" s="6">
        <v>45068</v>
      </c>
      <c r="F601" s="115">
        <v>24288</v>
      </c>
      <c r="G601" s="8" t="s">
        <v>2863</v>
      </c>
      <c r="H601" s="8" t="s">
        <v>1544</v>
      </c>
      <c r="I601" s="8">
        <v>8510</v>
      </c>
      <c r="J601" s="8">
        <v>9280</v>
      </c>
      <c r="K601" s="9">
        <f>Tabla156798[[#This Row],[PRECIO CLIENTE]]-Tabla156798[[#This Row],[CANTIDAD PUBLICA]]</f>
        <v>770</v>
      </c>
      <c r="L601" s="10">
        <f>Tabla156798[[#This Row],[COMISION AGENCIA]]*0.05</f>
        <v>38.5</v>
      </c>
      <c r="M601" s="7"/>
      <c r="N601" s="7" t="s">
        <v>2864</v>
      </c>
      <c r="O601" s="7" t="s">
        <v>47</v>
      </c>
      <c r="P601" s="7"/>
    </row>
    <row r="602" spans="1:16" x14ac:dyDescent="0.25">
      <c r="A602" s="14">
        <v>45019</v>
      </c>
      <c r="B602" s="14">
        <v>45019</v>
      </c>
      <c r="C602" s="6">
        <v>45019</v>
      </c>
      <c r="D602" s="6">
        <v>45058</v>
      </c>
      <c r="E602" s="6">
        <v>45070</v>
      </c>
      <c r="F602" s="115">
        <v>24294</v>
      </c>
      <c r="G602" s="8" t="s">
        <v>2787</v>
      </c>
      <c r="H602" s="8" t="s">
        <v>1625</v>
      </c>
      <c r="I602" s="8">
        <v>2784</v>
      </c>
      <c r="J602" s="8">
        <v>3205</v>
      </c>
      <c r="K602" s="9">
        <f>Tabla156798[[#This Row],[PRECIO CLIENTE]]-Tabla156798[[#This Row],[CANTIDAD PUBLICA]]</f>
        <v>421</v>
      </c>
      <c r="L602" s="10">
        <f>Tabla156798[[#This Row],[COMISION AGENCIA]]*0.05</f>
        <v>21.05</v>
      </c>
      <c r="M602" s="7"/>
      <c r="N602" s="7" t="s">
        <v>2865</v>
      </c>
      <c r="O602" s="7" t="s">
        <v>47</v>
      </c>
      <c r="P602" s="7"/>
    </row>
    <row r="603" spans="1:16" x14ac:dyDescent="0.25">
      <c r="A603" s="14">
        <v>45019</v>
      </c>
      <c r="B603" s="14">
        <v>45019</v>
      </c>
      <c r="C603" s="6">
        <v>45019</v>
      </c>
      <c r="D603" s="6">
        <v>45070</v>
      </c>
      <c r="E603" s="7"/>
      <c r="F603" s="115">
        <v>24294</v>
      </c>
      <c r="G603" s="8" t="s">
        <v>2866</v>
      </c>
      <c r="H603" s="8" t="s">
        <v>1808</v>
      </c>
      <c r="I603" s="8">
        <v>1428</v>
      </c>
      <c r="J603" s="8">
        <v>1790</v>
      </c>
      <c r="K603" s="9">
        <f>Tabla156798[[#This Row],[PRECIO CLIENTE]]-Tabla156798[[#This Row],[CANTIDAD PUBLICA]]</f>
        <v>362</v>
      </c>
      <c r="L603" s="10">
        <f>Tabla156798[[#This Row],[COMISION AGENCIA]]*0.05</f>
        <v>18.100000000000001</v>
      </c>
      <c r="M603" s="7"/>
      <c r="N603" s="7" t="s">
        <v>2867</v>
      </c>
      <c r="O603" s="7" t="s">
        <v>47</v>
      </c>
      <c r="P603" s="7"/>
    </row>
    <row r="604" spans="1:16" x14ac:dyDescent="0.25">
      <c r="A604" s="14">
        <v>45019</v>
      </c>
      <c r="B604" s="14">
        <v>45019</v>
      </c>
      <c r="C604" s="6">
        <v>45019</v>
      </c>
      <c r="D604" s="6">
        <v>45087</v>
      </c>
      <c r="E604" s="6">
        <v>45096</v>
      </c>
      <c r="F604" s="115" t="s">
        <v>2634</v>
      </c>
      <c r="G604" s="8" t="s">
        <v>2868</v>
      </c>
      <c r="H604" s="8" t="s">
        <v>1743</v>
      </c>
      <c r="I604" s="8">
        <v>29950</v>
      </c>
      <c r="J604" s="8">
        <v>33200</v>
      </c>
      <c r="K604" s="9">
        <f>Tabla156798[[#This Row],[PRECIO CLIENTE]]-Tabla156798[[#This Row],[CANTIDAD PUBLICA]]</f>
        <v>3250</v>
      </c>
      <c r="L604" s="10">
        <f>Tabla156798[[#This Row],[COMISION AGENCIA]]*0.05</f>
        <v>162.5</v>
      </c>
      <c r="M604" s="7"/>
      <c r="N604" s="7" t="s">
        <v>2869</v>
      </c>
      <c r="O604" s="7" t="s">
        <v>47</v>
      </c>
      <c r="P604" s="7"/>
    </row>
    <row r="605" spans="1:16" x14ac:dyDescent="0.25">
      <c r="A605" s="94">
        <v>45020</v>
      </c>
      <c r="B605" s="94">
        <v>45020</v>
      </c>
      <c r="C605" s="94">
        <v>45020</v>
      </c>
      <c r="D605" s="94">
        <v>45039</v>
      </c>
      <c r="E605" s="94">
        <v>45040</v>
      </c>
      <c r="F605" s="116" t="s">
        <v>2870</v>
      </c>
      <c r="G605" s="22" t="s">
        <v>2871</v>
      </c>
      <c r="H605" s="22" t="s">
        <v>2872</v>
      </c>
      <c r="I605" s="22"/>
      <c r="J605" s="22"/>
      <c r="K605" s="95"/>
      <c r="L605" s="96"/>
      <c r="M605" s="54">
        <v>3334894925</v>
      </c>
      <c r="N605" s="54">
        <v>10708390</v>
      </c>
      <c r="O605" s="54" t="s">
        <v>5</v>
      </c>
      <c r="P605" s="54"/>
    </row>
    <row r="606" spans="1:16" x14ac:dyDescent="0.25">
      <c r="A606" s="14">
        <v>45020</v>
      </c>
      <c r="B606" s="14">
        <v>45020</v>
      </c>
      <c r="C606" s="6">
        <v>45020</v>
      </c>
      <c r="D606" s="6">
        <v>45039</v>
      </c>
      <c r="E606" s="6">
        <v>45040</v>
      </c>
      <c r="F606" s="115" t="s">
        <v>2870</v>
      </c>
      <c r="G606" s="8" t="s">
        <v>2871</v>
      </c>
      <c r="H606" s="8" t="s">
        <v>2873</v>
      </c>
      <c r="I606" s="8">
        <f>1138*18.59</f>
        <v>21155.42</v>
      </c>
      <c r="J606" s="8">
        <v>21155</v>
      </c>
      <c r="K606" s="9">
        <f>Tabla156798[[#This Row],[CANTIDAD PUBLICA]]*0.05</f>
        <v>1057.771</v>
      </c>
      <c r="L606" s="10">
        <f>Tabla156798[[#This Row],[COMISION AGENCIA]]*0.05</f>
        <v>52.888550000000002</v>
      </c>
      <c r="M606" s="7">
        <v>3334894925</v>
      </c>
      <c r="N606" s="7"/>
      <c r="O606" s="7" t="s">
        <v>2874</v>
      </c>
      <c r="P606" s="7"/>
    </row>
    <row r="607" spans="1:16" x14ac:dyDescent="0.25">
      <c r="A607" s="14">
        <v>45020</v>
      </c>
      <c r="B607" s="14">
        <v>45020</v>
      </c>
      <c r="C607" s="6">
        <v>45020</v>
      </c>
      <c r="D607" s="6">
        <v>45039</v>
      </c>
      <c r="E607" s="6">
        <v>45040</v>
      </c>
      <c r="F607" s="115" t="s">
        <v>2870</v>
      </c>
      <c r="G607" s="8" t="s">
        <v>2871</v>
      </c>
      <c r="H607" s="8" t="s">
        <v>1544</v>
      </c>
      <c r="I607" s="8">
        <v>17020</v>
      </c>
      <c r="J607" s="8">
        <v>18600</v>
      </c>
      <c r="K607" s="9">
        <f>Tabla156798[[#This Row],[PRECIO CLIENTE]]-Tabla156798[[#This Row],[CANTIDAD PUBLICA]]</f>
        <v>1580</v>
      </c>
      <c r="L607" s="10">
        <f>Tabla156798[[#This Row],[COMISION AGENCIA]]*0.05</f>
        <v>79</v>
      </c>
      <c r="M607" s="7">
        <v>3334894925</v>
      </c>
      <c r="N607" s="7" t="s">
        <v>2875</v>
      </c>
      <c r="O607" s="7" t="s">
        <v>47</v>
      </c>
      <c r="P607" s="7"/>
    </row>
    <row r="608" spans="1:16" x14ac:dyDescent="0.25">
      <c r="A608" s="14">
        <v>45020</v>
      </c>
      <c r="B608" s="14">
        <v>45020</v>
      </c>
      <c r="C608" s="6">
        <v>45020</v>
      </c>
      <c r="D608" s="6">
        <v>45158</v>
      </c>
      <c r="E608" s="7"/>
      <c r="F608" s="115" t="s">
        <v>2876</v>
      </c>
      <c r="G608" s="8" t="s">
        <v>2877</v>
      </c>
      <c r="H608" s="8" t="s">
        <v>1846</v>
      </c>
      <c r="I608" s="8">
        <v>2490</v>
      </c>
      <c r="J608" s="8">
        <v>2960</v>
      </c>
      <c r="K608" s="9">
        <f>Tabla156798[[#This Row],[PRECIO CLIENTE]]-Tabla156798[[#This Row],[CANTIDAD PUBLICA]]</f>
        <v>470</v>
      </c>
      <c r="L608" s="10">
        <f>Tabla156798[[#This Row],[COMISION AGENCIA]]*0.05</f>
        <v>23.5</v>
      </c>
      <c r="M608" s="7"/>
      <c r="N608" s="7" t="s">
        <v>2878</v>
      </c>
      <c r="O608" s="7" t="s">
        <v>47</v>
      </c>
      <c r="P608" s="7"/>
    </row>
    <row r="609" spans="1:16" x14ac:dyDescent="0.25">
      <c r="A609" s="14">
        <v>45020</v>
      </c>
      <c r="B609" s="14">
        <v>45020</v>
      </c>
      <c r="C609" s="6">
        <v>45020</v>
      </c>
      <c r="D609" s="6">
        <v>45025</v>
      </c>
      <c r="E609" s="7"/>
      <c r="F609" s="115">
        <v>24797</v>
      </c>
      <c r="G609" s="8" t="s">
        <v>2879</v>
      </c>
      <c r="H609" s="8" t="s">
        <v>1646</v>
      </c>
      <c r="I609" s="8">
        <v>3871</v>
      </c>
      <c r="J609" s="8">
        <v>4335</v>
      </c>
      <c r="K609" s="9">
        <f>Tabla156798[[#This Row],[PRECIO CLIENTE]]-Tabla156798[[#This Row],[CANTIDAD PUBLICA]]</f>
        <v>464</v>
      </c>
      <c r="L609" s="10">
        <f>Tabla156798[[#This Row],[COMISION AGENCIA]]*0.05</f>
        <v>23.200000000000003</v>
      </c>
      <c r="M609" s="7"/>
      <c r="N609" s="7" t="s">
        <v>2880</v>
      </c>
      <c r="O609" s="7" t="s">
        <v>47</v>
      </c>
      <c r="P609" s="7"/>
    </row>
    <row r="610" spans="1:16" x14ac:dyDescent="0.25">
      <c r="A610" s="14">
        <v>45020</v>
      </c>
      <c r="B610" s="14">
        <v>45020</v>
      </c>
      <c r="C610" s="6">
        <v>45020</v>
      </c>
      <c r="D610" s="6">
        <v>45037</v>
      </c>
      <c r="E610" s="6">
        <v>45052</v>
      </c>
      <c r="F610" s="115" t="s">
        <v>2881</v>
      </c>
      <c r="G610" s="8" t="s">
        <v>2882</v>
      </c>
      <c r="H610" s="8" t="s">
        <v>1541</v>
      </c>
      <c r="I610" s="8">
        <v>6230</v>
      </c>
      <c r="J610" s="8">
        <v>7420</v>
      </c>
      <c r="K610" s="9">
        <f>Tabla156798[[#This Row],[PRECIO CLIENTE]]-Tabla156798[[#This Row],[CANTIDAD PUBLICA]]</f>
        <v>1190</v>
      </c>
      <c r="L610" s="10">
        <f>Tabla156798[[#This Row],[COMISION AGENCIA]]*0.05</f>
        <v>59.5</v>
      </c>
      <c r="M610" s="7"/>
      <c r="N610" s="7" t="s">
        <v>2883</v>
      </c>
      <c r="O610" s="7" t="s">
        <v>47</v>
      </c>
      <c r="P610" s="7"/>
    </row>
    <row r="611" spans="1:16" x14ac:dyDescent="0.25">
      <c r="A611" s="14">
        <v>45020</v>
      </c>
      <c r="B611" s="14">
        <v>45020</v>
      </c>
      <c r="C611" s="6">
        <v>45020</v>
      </c>
      <c r="D611" s="6">
        <v>45052</v>
      </c>
      <c r="E611" s="7"/>
      <c r="F611" s="115" t="s">
        <v>2881</v>
      </c>
      <c r="G611" s="8" t="s">
        <v>2884</v>
      </c>
      <c r="H611" s="8" t="s">
        <v>1788</v>
      </c>
      <c r="I611" s="8">
        <v>3428</v>
      </c>
      <c r="J611" s="8">
        <v>3960</v>
      </c>
      <c r="K611" s="9">
        <f>Tabla156798[[#This Row],[PRECIO CLIENTE]]-Tabla156798[[#This Row],[CANTIDAD PUBLICA]]</f>
        <v>532</v>
      </c>
      <c r="L611" s="10">
        <f>Tabla156798[[#This Row],[COMISION AGENCIA]]*0.05</f>
        <v>26.6</v>
      </c>
      <c r="M611" s="7"/>
      <c r="N611" s="7" t="s">
        <v>2885</v>
      </c>
      <c r="O611" s="7" t="s">
        <v>47</v>
      </c>
      <c r="P611" s="7"/>
    </row>
    <row r="612" spans="1:16" x14ac:dyDescent="0.25">
      <c r="A612" s="14">
        <v>45020</v>
      </c>
      <c r="B612" s="14">
        <v>45020</v>
      </c>
      <c r="C612" s="6">
        <v>45020</v>
      </c>
      <c r="D612" s="6">
        <v>45123</v>
      </c>
      <c r="E612" s="6">
        <v>45127</v>
      </c>
      <c r="F612" s="115">
        <v>24314</v>
      </c>
      <c r="G612" s="8" t="s">
        <v>2886</v>
      </c>
      <c r="H612" s="8" t="s">
        <v>1290</v>
      </c>
      <c r="I612" s="8">
        <v>3714</v>
      </c>
      <c r="J612" s="8">
        <v>4040</v>
      </c>
      <c r="K612" s="9">
        <f>Tabla156798[[#This Row],[PRECIO CLIENTE]]-Tabla156798[[#This Row],[CANTIDAD PUBLICA]]</f>
        <v>326</v>
      </c>
      <c r="L612" s="10">
        <f>Tabla156798[[#This Row],[COMISION AGENCIA]]*0.05</f>
        <v>16.3</v>
      </c>
      <c r="M612" s="7"/>
      <c r="N612" s="7" t="s">
        <v>2887</v>
      </c>
      <c r="O612" s="7" t="s">
        <v>47</v>
      </c>
      <c r="P612" s="7"/>
    </row>
    <row r="613" spans="1:16" x14ac:dyDescent="0.25">
      <c r="A613" s="14">
        <f>Tabla156798[[#This Row],[FECHA IN]]-15</f>
        <v>45021</v>
      </c>
      <c r="B613" s="14">
        <v>44996</v>
      </c>
      <c r="C613" s="6">
        <v>44992</v>
      </c>
      <c r="D613" s="6">
        <v>45036</v>
      </c>
      <c r="E613" s="6">
        <v>45040</v>
      </c>
      <c r="F613" s="115" t="s">
        <v>2888</v>
      </c>
      <c r="G613" s="8" t="s">
        <v>2889</v>
      </c>
      <c r="H613" s="8" t="s">
        <v>2597</v>
      </c>
      <c r="I613" s="8">
        <v>24544.59</v>
      </c>
      <c r="J613" s="8">
        <v>21355</v>
      </c>
      <c r="K613" s="9">
        <f>Tabla156798[[#This Row],[CANTIDAD PUBLICA]]*0.05</f>
        <v>1227.2295000000001</v>
      </c>
      <c r="L613" s="10">
        <f>Tabla156798[[#This Row],[COMISION AGENCIA]]*0.05</f>
        <v>61.361475000000013</v>
      </c>
      <c r="M613" s="7">
        <v>3481148614</v>
      </c>
      <c r="N613" s="7" t="s">
        <v>2890</v>
      </c>
      <c r="O613" s="7" t="s">
        <v>6</v>
      </c>
      <c r="P613" s="7"/>
    </row>
    <row r="614" spans="1:16" x14ac:dyDescent="0.25">
      <c r="A614" s="14">
        <v>45021</v>
      </c>
      <c r="B614" s="14">
        <v>45021</v>
      </c>
      <c r="C614" s="6">
        <v>45021</v>
      </c>
      <c r="D614" s="6">
        <v>45057</v>
      </c>
      <c r="E614" s="7"/>
      <c r="F614" s="115">
        <v>24320</v>
      </c>
      <c r="G614" s="8" t="s">
        <v>2357</v>
      </c>
      <c r="H614" s="8" t="s">
        <v>1541</v>
      </c>
      <c r="I614" s="8">
        <v>2870</v>
      </c>
      <c r="J614" s="8">
        <v>3245</v>
      </c>
      <c r="K614" s="9">
        <f>Tabla156798[[#This Row],[PRECIO CLIENTE]]-Tabla156798[[#This Row],[CANTIDAD PUBLICA]]</f>
        <v>375</v>
      </c>
      <c r="L614" s="10">
        <f>Tabla156798[[#This Row],[COMISION AGENCIA]]*0.05</f>
        <v>18.75</v>
      </c>
      <c r="M614" s="7"/>
      <c r="N614" s="7" t="s">
        <v>2891</v>
      </c>
      <c r="O614" s="7" t="s">
        <v>47</v>
      </c>
      <c r="P614" s="7"/>
    </row>
    <row r="615" spans="1:16" x14ac:dyDescent="0.25">
      <c r="A615" s="14">
        <v>45021</v>
      </c>
      <c r="B615" s="14">
        <v>45021</v>
      </c>
      <c r="C615" s="6">
        <v>45021</v>
      </c>
      <c r="D615" s="6">
        <v>45057</v>
      </c>
      <c r="E615" s="7"/>
      <c r="F615" s="115">
        <v>24320</v>
      </c>
      <c r="G615" s="8" t="s">
        <v>2357</v>
      </c>
      <c r="H615" s="8" t="s">
        <v>2359</v>
      </c>
      <c r="I615" s="8">
        <v>2517</v>
      </c>
      <c r="J615" s="8">
        <v>2670</v>
      </c>
      <c r="K615" s="9">
        <f>Tabla156798[[#This Row],[PRECIO CLIENTE]]-Tabla156798[[#This Row],[CANTIDAD PUBLICA]]</f>
        <v>153</v>
      </c>
      <c r="L615" s="10">
        <f>Tabla156798[[#This Row],[COMISION AGENCIA]]*0.05</f>
        <v>7.65</v>
      </c>
      <c r="M615" s="7"/>
      <c r="N615" s="7" t="s">
        <v>2892</v>
      </c>
      <c r="O615" s="7" t="s">
        <v>2893</v>
      </c>
      <c r="P615" s="7"/>
    </row>
    <row r="616" spans="1:16" x14ac:dyDescent="0.25">
      <c r="A616" s="94">
        <f>Tabla156798[[#This Row],[FECHA IN]]-15</f>
        <v>45023</v>
      </c>
      <c r="B616" s="94">
        <v>45023</v>
      </c>
      <c r="C616" s="94">
        <v>44831</v>
      </c>
      <c r="D616" s="94">
        <v>45038</v>
      </c>
      <c r="E616" s="94">
        <v>45042</v>
      </c>
      <c r="F616" s="116"/>
      <c r="G616" s="22" t="s">
        <v>2894</v>
      </c>
      <c r="H616" s="54" t="s">
        <v>2895</v>
      </c>
      <c r="I616" s="22"/>
      <c r="J616" s="22"/>
      <c r="K616" s="95"/>
      <c r="L616" s="96"/>
      <c r="M616" s="54">
        <v>3481054401</v>
      </c>
      <c r="N616" s="54">
        <v>9855062</v>
      </c>
      <c r="O616" s="54" t="s">
        <v>5</v>
      </c>
      <c r="P616" s="54"/>
    </row>
    <row r="617" spans="1:16" x14ac:dyDescent="0.25">
      <c r="A617" s="14">
        <v>45024</v>
      </c>
      <c r="B617" s="14">
        <v>45024</v>
      </c>
      <c r="C617" s="6">
        <v>45024</v>
      </c>
      <c r="D617" s="6">
        <v>45025</v>
      </c>
      <c r="E617" s="7"/>
      <c r="F617" s="115">
        <v>24345</v>
      </c>
      <c r="G617" s="8" t="s">
        <v>2896</v>
      </c>
      <c r="H617" s="8" t="s">
        <v>1833</v>
      </c>
      <c r="I617" s="8">
        <v>4018</v>
      </c>
      <c r="J617" s="8">
        <v>4490</v>
      </c>
      <c r="K617" s="9">
        <f>Tabla156798[[#This Row],[PRECIO CLIENTE]]-Tabla156798[[#This Row],[CANTIDAD PUBLICA]]</f>
        <v>472</v>
      </c>
      <c r="L617" s="10">
        <f>Tabla156798[[#This Row],[COMISION AGENCIA]]*0.05</f>
        <v>23.6</v>
      </c>
      <c r="M617" s="7"/>
      <c r="N617" s="7" t="s">
        <v>2897</v>
      </c>
      <c r="O617" s="7" t="s">
        <v>47</v>
      </c>
      <c r="P617" s="7"/>
    </row>
    <row r="618" spans="1:16" x14ac:dyDescent="0.25">
      <c r="A618" s="14">
        <v>45024</v>
      </c>
      <c r="B618" s="14">
        <v>45024</v>
      </c>
      <c r="C618" s="6">
        <v>45024</v>
      </c>
      <c r="D618" s="6">
        <v>45038</v>
      </c>
      <c r="E618" s="6">
        <v>45074</v>
      </c>
      <c r="F618" s="115">
        <v>24349</v>
      </c>
      <c r="G618" s="8" t="s">
        <v>2898</v>
      </c>
      <c r="H618" s="8" t="s">
        <v>1906</v>
      </c>
      <c r="I618" s="8">
        <v>8639</v>
      </c>
      <c r="J618" s="8">
        <v>10310</v>
      </c>
      <c r="K618" s="9">
        <f>Tabla156798[[#This Row],[PRECIO CLIENTE]]-Tabla156798[[#This Row],[CANTIDAD PUBLICA]]</f>
        <v>1671</v>
      </c>
      <c r="L618" s="10">
        <f>Tabla156798[[#This Row],[COMISION AGENCIA]]*0.05</f>
        <v>83.550000000000011</v>
      </c>
      <c r="M618" s="7"/>
      <c r="N618" s="7" t="s">
        <v>2899</v>
      </c>
      <c r="O618" s="7" t="s">
        <v>47</v>
      </c>
      <c r="P618" s="7"/>
    </row>
    <row r="619" spans="1:16" x14ac:dyDescent="0.25">
      <c r="A619" s="14">
        <v>45024</v>
      </c>
      <c r="B619" s="14">
        <v>45024</v>
      </c>
      <c r="C619" s="6">
        <v>45024</v>
      </c>
      <c r="D619" s="6">
        <v>45033</v>
      </c>
      <c r="E619" s="6">
        <v>45037</v>
      </c>
      <c r="F619" s="115">
        <v>24348</v>
      </c>
      <c r="G619" s="8" t="s">
        <v>2900</v>
      </c>
      <c r="H619" s="8" t="s">
        <v>2411</v>
      </c>
      <c r="I619" s="8">
        <v>13838.3</v>
      </c>
      <c r="J619" s="8">
        <v>12040</v>
      </c>
      <c r="K619" s="9">
        <f>Tabla156798[[#This Row],[CANTIDAD PUBLICA]]*0.05</f>
        <v>691.91499999999996</v>
      </c>
      <c r="L619" s="10">
        <f>Tabla156798[[#This Row],[COMISION AGENCIA]]*0.05</f>
        <v>34.595750000000002</v>
      </c>
      <c r="M619" s="7">
        <v>3481813397</v>
      </c>
      <c r="N619" s="7" t="s">
        <v>2901</v>
      </c>
      <c r="O619" s="7" t="s">
        <v>6</v>
      </c>
      <c r="P619" s="7"/>
    </row>
    <row r="620" spans="1:16" x14ac:dyDescent="0.25">
      <c r="A620" s="14">
        <f>Tabla156798[[#This Row],[FECHA IN]]-15</f>
        <v>45025</v>
      </c>
      <c r="B620" s="14">
        <v>45022</v>
      </c>
      <c r="C620" s="6">
        <v>44998</v>
      </c>
      <c r="D620" s="6">
        <v>45040</v>
      </c>
      <c r="E620" s="6">
        <v>45044</v>
      </c>
      <c r="F620" s="115">
        <v>23963</v>
      </c>
      <c r="G620" s="8" t="s">
        <v>2902</v>
      </c>
      <c r="H620" s="8" t="s">
        <v>2903</v>
      </c>
      <c r="I620" s="8">
        <v>16092.61</v>
      </c>
      <c r="J620" s="8">
        <v>13650</v>
      </c>
      <c r="K620" s="9">
        <f>Tabla156798[[#This Row],[CANTIDAD PUBLICA]]*0.05</f>
        <v>804.6305000000001</v>
      </c>
      <c r="L620" s="10">
        <f>Tabla156798[[#This Row],[COMISION AGENCIA]]*0.05</f>
        <v>40.231525000000005</v>
      </c>
      <c r="M620" s="7">
        <v>3481244111</v>
      </c>
      <c r="N620" s="7" t="s">
        <v>2904</v>
      </c>
      <c r="O620" s="7" t="s">
        <v>6</v>
      </c>
      <c r="P620" s="7"/>
    </row>
    <row r="621" spans="1:16" x14ac:dyDescent="0.25">
      <c r="A621" s="14">
        <v>45026</v>
      </c>
      <c r="B621" s="14">
        <v>45026</v>
      </c>
      <c r="C621" s="6">
        <v>45026</v>
      </c>
      <c r="D621" s="6">
        <v>45071</v>
      </c>
      <c r="E621" s="7"/>
      <c r="F621" s="115">
        <v>24375</v>
      </c>
      <c r="G621" s="8" t="s">
        <v>2905</v>
      </c>
      <c r="H621" s="8" t="s">
        <v>1544</v>
      </c>
      <c r="I621" s="8">
        <v>2473</v>
      </c>
      <c r="J621" s="8">
        <v>2825</v>
      </c>
      <c r="K621" s="9">
        <f>Tabla156798[[#This Row],[PRECIO CLIENTE]]-Tabla156798[[#This Row],[CANTIDAD PUBLICA]]</f>
        <v>352</v>
      </c>
      <c r="L621" s="10">
        <f>Tabla156798[[#This Row],[COMISION AGENCIA]]*0.05</f>
        <v>17.600000000000001</v>
      </c>
      <c r="M621" s="7"/>
      <c r="N621" s="7" t="s">
        <v>2906</v>
      </c>
      <c r="O621" s="7" t="s">
        <v>47</v>
      </c>
      <c r="P621" s="7"/>
    </row>
    <row r="622" spans="1:16" x14ac:dyDescent="0.25">
      <c r="A622" s="14">
        <v>45026</v>
      </c>
      <c r="B622" s="14">
        <v>45026</v>
      </c>
      <c r="C622" s="6">
        <v>45026</v>
      </c>
      <c r="D622" s="6">
        <v>45068</v>
      </c>
      <c r="E622" s="6">
        <v>45071</v>
      </c>
      <c r="F622" s="115">
        <v>24375</v>
      </c>
      <c r="G622" s="8" t="s">
        <v>2907</v>
      </c>
      <c r="H622" s="8" t="s">
        <v>1906</v>
      </c>
      <c r="I622" s="8">
        <v>3628</v>
      </c>
      <c r="J622" s="8">
        <v>4040</v>
      </c>
      <c r="K622" s="9">
        <f>Tabla156798[[#This Row],[PRECIO CLIENTE]]-Tabla156798[[#This Row],[CANTIDAD PUBLICA]]</f>
        <v>412</v>
      </c>
      <c r="L622" s="10">
        <f>Tabla156798[[#This Row],[COMISION AGENCIA]]*0.05</f>
        <v>20.6</v>
      </c>
      <c r="M622" s="7"/>
      <c r="N622" s="7" t="s">
        <v>2908</v>
      </c>
      <c r="O622" s="7" t="s">
        <v>47</v>
      </c>
      <c r="P622" s="7"/>
    </row>
    <row r="623" spans="1:16" x14ac:dyDescent="0.25">
      <c r="A623" s="14">
        <v>45026</v>
      </c>
      <c r="B623" s="14">
        <v>45026</v>
      </c>
      <c r="C623" s="6">
        <v>45026</v>
      </c>
      <c r="D623" s="6"/>
      <c r="E623" s="6"/>
      <c r="F623" s="115">
        <v>24368</v>
      </c>
      <c r="G623" s="8" t="s">
        <v>2909</v>
      </c>
      <c r="H623" s="8" t="s">
        <v>1661</v>
      </c>
      <c r="I623" s="8">
        <v>300</v>
      </c>
      <c r="J623" s="8">
        <v>300</v>
      </c>
      <c r="K623" s="9">
        <v>300</v>
      </c>
      <c r="L623" s="10">
        <f>Tabla156798[[#This Row],[COMISION AGENCIA]]*0.05</f>
        <v>15</v>
      </c>
      <c r="M623" s="7"/>
      <c r="N623" s="7" t="s">
        <v>2910</v>
      </c>
      <c r="O623" s="7" t="s">
        <v>47</v>
      </c>
      <c r="P623" s="7"/>
    </row>
    <row r="624" spans="1:16" x14ac:dyDescent="0.25">
      <c r="A624" s="14">
        <v>45027</v>
      </c>
      <c r="B624" s="14">
        <v>45027</v>
      </c>
      <c r="C624" s="6">
        <v>45027</v>
      </c>
      <c r="D624" s="6">
        <v>45037</v>
      </c>
      <c r="E624" s="6">
        <v>45041</v>
      </c>
      <c r="F624" s="115">
        <v>24380</v>
      </c>
      <c r="G624" s="8" t="s">
        <v>2911</v>
      </c>
      <c r="H624" s="8" t="s">
        <v>1541</v>
      </c>
      <c r="I624" s="8">
        <v>5050</v>
      </c>
      <c r="J624" s="8">
        <v>5540</v>
      </c>
      <c r="K624" s="9">
        <f>Tabla156798[[#This Row],[PRECIO CLIENTE]]-Tabla156798[[#This Row],[CANTIDAD PUBLICA]]</f>
        <v>490</v>
      </c>
      <c r="L624" s="10">
        <f>Tabla156798[[#This Row],[COMISION AGENCIA]]*0.05</f>
        <v>24.5</v>
      </c>
      <c r="M624" s="7"/>
      <c r="N624" s="7" t="s">
        <v>2912</v>
      </c>
      <c r="O624" s="7" t="s">
        <v>47</v>
      </c>
      <c r="P624" s="7"/>
    </row>
    <row r="625" spans="1:16" x14ac:dyDescent="0.25">
      <c r="A625" s="14">
        <v>45027</v>
      </c>
      <c r="B625" s="14">
        <v>45027</v>
      </c>
      <c r="C625" s="6">
        <v>45027</v>
      </c>
      <c r="D625" s="6">
        <v>45039</v>
      </c>
      <c r="E625" s="6">
        <v>45058</v>
      </c>
      <c r="F625" s="115">
        <v>24396</v>
      </c>
      <c r="G625" s="8" t="s">
        <v>2913</v>
      </c>
      <c r="H625" s="8" t="s">
        <v>2914</v>
      </c>
      <c r="I625" s="8">
        <v>12029</v>
      </c>
      <c r="J625" s="8">
        <v>13120</v>
      </c>
      <c r="K625" s="9">
        <f>Tabla156798[[#This Row],[PRECIO CLIENTE]]-Tabla156798[[#This Row],[CANTIDAD PUBLICA]]</f>
        <v>1091</v>
      </c>
      <c r="L625" s="10">
        <f>Tabla156798[[#This Row],[COMISION AGENCIA]]*0.05</f>
        <v>54.550000000000004</v>
      </c>
      <c r="M625" s="7"/>
      <c r="N625" s="7" t="s">
        <v>2915</v>
      </c>
      <c r="O625" s="7" t="s">
        <v>47</v>
      </c>
      <c r="P625" s="7"/>
    </row>
    <row r="626" spans="1:16" x14ac:dyDescent="0.25">
      <c r="A626" s="14">
        <v>45027</v>
      </c>
      <c r="B626" s="14">
        <v>45027</v>
      </c>
      <c r="C626" s="6">
        <v>45027</v>
      </c>
      <c r="D626" s="6">
        <v>45033</v>
      </c>
      <c r="E626" s="7"/>
      <c r="F626" s="115">
        <v>24392</v>
      </c>
      <c r="G626" s="8" t="s">
        <v>2372</v>
      </c>
      <c r="H626" s="8" t="s">
        <v>1788</v>
      </c>
      <c r="I626" s="8">
        <v>4631</v>
      </c>
      <c r="J626" s="8">
        <v>5500</v>
      </c>
      <c r="K626" s="9">
        <f>Tabla156798[[#This Row],[PRECIO CLIENTE]]-Tabla156798[[#This Row],[CANTIDAD PUBLICA]]</f>
        <v>869</v>
      </c>
      <c r="L626" s="10">
        <f>Tabla156798[[#This Row],[COMISION AGENCIA]]*0.05</f>
        <v>43.45</v>
      </c>
      <c r="M626" s="7"/>
      <c r="N626" s="7" t="s">
        <v>2916</v>
      </c>
      <c r="O626" s="7" t="s">
        <v>47</v>
      </c>
      <c r="P626" s="7"/>
    </row>
    <row r="627" spans="1:16" x14ac:dyDescent="0.25">
      <c r="A627" s="14">
        <v>45027</v>
      </c>
      <c r="B627" s="14">
        <v>45027</v>
      </c>
      <c r="C627" s="6">
        <v>45027</v>
      </c>
      <c r="D627" s="6">
        <v>45027</v>
      </c>
      <c r="E627" s="6">
        <v>45029</v>
      </c>
      <c r="F627" s="115">
        <v>24397</v>
      </c>
      <c r="G627" s="8" t="s">
        <v>2917</v>
      </c>
      <c r="H627" s="8" t="s">
        <v>2480</v>
      </c>
      <c r="I627" s="8">
        <v>18098.57</v>
      </c>
      <c r="J627" s="8">
        <v>17585</v>
      </c>
      <c r="K627" s="9">
        <f>Tabla156798[[#This Row],[CANTIDAD PUBLICA]]*0.05</f>
        <v>904.92849999999999</v>
      </c>
      <c r="L627" s="10">
        <f>Tabla156798[[#This Row],[COMISION AGENCIA]]*0.05</f>
        <v>45.246425000000002</v>
      </c>
      <c r="M627" s="7"/>
      <c r="N627" s="7" t="s">
        <v>2918</v>
      </c>
      <c r="O627" s="7" t="s">
        <v>6</v>
      </c>
      <c r="P627" s="7"/>
    </row>
    <row r="628" spans="1:16" x14ac:dyDescent="0.25">
      <c r="A628" s="14">
        <v>45027</v>
      </c>
      <c r="B628" s="14">
        <v>45027</v>
      </c>
      <c r="C628" s="6">
        <v>45027</v>
      </c>
      <c r="D628" s="6">
        <v>45034</v>
      </c>
      <c r="E628" s="6">
        <v>45036</v>
      </c>
      <c r="F628" s="115">
        <v>24393</v>
      </c>
      <c r="G628" s="8" t="s">
        <v>2919</v>
      </c>
      <c r="H628" s="8" t="s">
        <v>1683</v>
      </c>
      <c r="I628" s="8">
        <v>8509.25</v>
      </c>
      <c r="J628" s="8">
        <v>7405</v>
      </c>
      <c r="K628" s="9">
        <f>Tabla156798[[#This Row],[CANTIDAD PUBLICA]]*0.05</f>
        <v>425.46250000000003</v>
      </c>
      <c r="L628" s="10">
        <f>Tabla156798[[#This Row],[COMISION AGENCIA]]*0.05</f>
        <v>21.273125000000004</v>
      </c>
      <c r="M628" s="7">
        <v>3485934326</v>
      </c>
      <c r="N628" s="7" t="s">
        <v>2920</v>
      </c>
      <c r="O628" s="7" t="s">
        <v>6</v>
      </c>
      <c r="P628" s="7"/>
    </row>
    <row r="629" spans="1:16" x14ac:dyDescent="0.25">
      <c r="A629" s="14">
        <f>Tabla156798[[#This Row],[FECHA IN]]-15</f>
        <v>45028</v>
      </c>
      <c r="B629" s="14">
        <v>45026</v>
      </c>
      <c r="C629" s="6">
        <v>45013</v>
      </c>
      <c r="D629" s="6">
        <v>45043</v>
      </c>
      <c r="E629" s="6">
        <v>45046</v>
      </c>
      <c r="F629" s="115" t="s">
        <v>2921</v>
      </c>
      <c r="G629" s="8" t="s">
        <v>2922</v>
      </c>
      <c r="H629" s="8" t="s">
        <v>1773</v>
      </c>
      <c r="I629" s="8">
        <v>11703.8</v>
      </c>
      <c r="J629" s="8">
        <v>10540</v>
      </c>
      <c r="K629" s="9">
        <f>Tabla156798[[#This Row],[CANTIDAD PUBLICA]]*0.05</f>
        <v>585.18999999999994</v>
      </c>
      <c r="L629" s="10">
        <f>Tabla156798[[#This Row],[COMISION AGENCIA]]*0.05</f>
        <v>29.259499999999999</v>
      </c>
      <c r="M629" s="7">
        <v>3317283038</v>
      </c>
      <c r="N629" s="7">
        <v>10681477</v>
      </c>
      <c r="O629" s="7" t="s">
        <v>5</v>
      </c>
      <c r="P629" s="7"/>
    </row>
    <row r="630" spans="1:16" x14ac:dyDescent="0.25">
      <c r="A630" s="14">
        <v>45028</v>
      </c>
      <c r="B630" s="14">
        <v>45028</v>
      </c>
      <c r="C630" s="6">
        <v>45028</v>
      </c>
      <c r="D630" s="6">
        <v>45087</v>
      </c>
      <c r="E630" s="7"/>
      <c r="F630" s="115">
        <v>24404</v>
      </c>
      <c r="G630" s="8" t="s">
        <v>2923</v>
      </c>
      <c r="H630" s="8" t="s">
        <v>2159</v>
      </c>
      <c r="I630" s="8">
        <v>2763</v>
      </c>
      <c r="J630" s="8">
        <v>3100</v>
      </c>
      <c r="K630" s="9">
        <f>Tabla156798[[#This Row],[PRECIO CLIENTE]]-Tabla156798[[#This Row],[CANTIDAD PUBLICA]]</f>
        <v>337</v>
      </c>
      <c r="L630" s="10">
        <f>Tabla156798[[#This Row],[COMISION AGENCIA]]*0.05</f>
        <v>16.850000000000001</v>
      </c>
      <c r="M630" s="7"/>
      <c r="N630" s="7" t="s">
        <v>2924</v>
      </c>
      <c r="O630" s="7" t="s">
        <v>47</v>
      </c>
      <c r="P630" s="7"/>
    </row>
    <row r="631" spans="1:16" x14ac:dyDescent="0.25">
      <c r="A631" s="14">
        <v>45028</v>
      </c>
      <c r="B631" s="14">
        <v>45028</v>
      </c>
      <c r="C631" s="6">
        <v>45028</v>
      </c>
      <c r="D631" s="6">
        <v>45261</v>
      </c>
      <c r="E631" s="6">
        <v>45266</v>
      </c>
      <c r="F631" s="115">
        <v>24409</v>
      </c>
      <c r="G631" s="8" t="s">
        <v>2925</v>
      </c>
      <c r="H631" s="8" t="s">
        <v>2010</v>
      </c>
      <c r="I631" s="8">
        <v>3333</v>
      </c>
      <c r="J631" s="8">
        <v>4380</v>
      </c>
      <c r="K631" s="9">
        <f>Tabla156798[[#This Row],[PRECIO CLIENTE]]-Tabla156798[[#This Row],[CANTIDAD PUBLICA]]</f>
        <v>1047</v>
      </c>
      <c r="L631" s="10">
        <f>Tabla156798[[#This Row],[COMISION AGENCIA]]*0.05</f>
        <v>52.35</v>
      </c>
      <c r="M631" s="7"/>
      <c r="N631" s="7" t="s">
        <v>2926</v>
      </c>
      <c r="O631" s="7" t="s">
        <v>47</v>
      </c>
      <c r="P631" s="7"/>
    </row>
    <row r="632" spans="1:16" x14ac:dyDescent="0.25">
      <c r="A632" s="14">
        <v>45028</v>
      </c>
      <c r="B632" s="14">
        <v>45028</v>
      </c>
      <c r="C632" s="6">
        <v>45028</v>
      </c>
      <c r="D632" s="6">
        <v>45032</v>
      </c>
      <c r="E632" s="7"/>
      <c r="F632" s="115">
        <v>24409</v>
      </c>
      <c r="G632" s="8" t="s">
        <v>2927</v>
      </c>
      <c r="H632" s="8" t="s">
        <v>1861</v>
      </c>
      <c r="I632" s="8">
        <v>150</v>
      </c>
      <c r="J632" s="8">
        <v>150</v>
      </c>
      <c r="K632" s="9">
        <v>150</v>
      </c>
      <c r="L632" s="10">
        <f>Tabla156798[[#This Row],[COMISION AGENCIA]]*0.05</f>
        <v>7.5</v>
      </c>
      <c r="M632" s="7"/>
      <c r="N632" s="7" t="s">
        <v>2928</v>
      </c>
      <c r="O632" s="7" t="s">
        <v>2929</v>
      </c>
      <c r="P632" s="7"/>
    </row>
    <row r="633" spans="1:16" x14ac:dyDescent="0.25">
      <c r="A633" s="14">
        <v>45028</v>
      </c>
      <c r="B633" s="14">
        <v>45028</v>
      </c>
      <c r="C633" s="6">
        <v>45028</v>
      </c>
      <c r="D633" s="6">
        <v>45203</v>
      </c>
      <c r="E633" s="6">
        <v>45207</v>
      </c>
      <c r="F633" s="115">
        <v>24428</v>
      </c>
      <c r="G633" s="8" t="s">
        <v>2930</v>
      </c>
      <c r="H633" s="8" t="s">
        <v>1290</v>
      </c>
      <c r="I633" s="8">
        <v>22785</v>
      </c>
      <c r="J633" s="8">
        <v>26300</v>
      </c>
      <c r="K633" s="9">
        <f>Tabla156798[[#This Row],[PRECIO CLIENTE]]-Tabla156798[[#This Row],[CANTIDAD PUBLICA]]</f>
        <v>3515</v>
      </c>
      <c r="L633" s="10">
        <f>Tabla156798[[#This Row],[COMISION AGENCIA]]*0.05</f>
        <v>175.75</v>
      </c>
      <c r="M633" s="7"/>
      <c r="N633" s="7" t="s">
        <v>2931</v>
      </c>
      <c r="O633" s="7" t="s">
        <v>47</v>
      </c>
      <c r="P633" s="7"/>
    </row>
    <row r="634" spans="1:16" x14ac:dyDescent="0.25">
      <c r="A634" s="14">
        <v>45028</v>
      </c>
      <c r="B634" s="14">
        <v>45028</v>
      </c>
      <c r="C634" s="6">
        <v>45028</v>
      </c>
      <c r="D634" s="6">
        <v>45047</v>
      </c>
      <c r="E634" s="7"/>
      <c r="F634" s="115">
        <v>24413</v>
      </c>
      <c r="G634" s="8" t="s">
        <v>1839</v>
      </c>
      <c r="H634" s="8" t="s">
        <v>1955</v>
      </c>
      <c r="I634" s="8">
        <v>7814</v>
      </c>
      <c r="J634" s="8">
        <v>8630</v>
      </c>
      <c r="K634" s="9">
        <f>Tabla156798[[#This Row],[PRECIO CLIENTE]]-Tabla156798[[#This Row],[CANTIDAD PUBLICA]]</f>
        <v>816</v>
      </c>
      <c r="L634" s="10">
        <f>Tabla156798[[#This Row],[COMISION AGENCIA]]*0.05</f>
        <v>40.800000000000004</v>
      </c>
      <c r="M634" s="7"/>
      <c r="N634" s="7" t="s">
        <v>2932</v>
      </c>
      <c r="O634" s="7" t="s">
        <v>47</v>
      </c>
      <c r="P634" s="7"/>
    </row>
    <row r="635" spans="1:16" x14ac:dyDescent="0.25">
      <c r="A635" s="14">
        <v>45028</v>
      </c>
      <c r="B635" s="14" t="s">
        <v>2468</v>
      </c>
      <c r="C635" s="6">
        <v>45028</v>
      </c>
      <c r="D635" s="6">
        <v>45043</v>
      </c>
      <c r="E635" s="6">
        <v>45045</v>
      </c>
      <c r="F635" s="115">
        <v>24417</v>
      </c>
      <c r="G635" s="8" t="s">
        <v>2933</v>
      </c>
      <c r="H635" s="8" t="s">
        <v>2765</v>
      </c>
      <c r="I635" s="8">
        <v>6324.57</v>
      </c>
      <c r="J635" s="8">
        <v>5395</v>
      </c>
      <c r="K635" s="9">
        <f>Tabla156798[[#This Row],[CANTIDAD PUBLICA]]*0.05</f>
        <v>316.2285</v>
      </c>
      <c r="L635" s="10">
        <f>Tabla156798[[#This Row],[COMISION AGENCIA]]*0.05</f>
        <v>15.811425</v>
      </c>
      <c r="M635" s="7">
        <v>3921287388</v>
      </c>
      <c r="N635" s="7" t="s">
        <v>2934</v>
      </c>
      <c r="O635" s="7" t="s">
        <v>6</v>
      </c>
      <c r="P635" s="7"/>
    </row>
    <row r="636" spans="1:16" x14ac:dyDescent="0.25">
      <c r="A636" s="14">
        <v>45029</v>
      </c>
      <c r="B636" s="14">
        <v>45029</v>
      </c>
      <c r="C636" s="6">
        <v>45029</v>
      </c>
      <c r="D636" s="6">
        <v>45031</v>
      </c>
      <c r="E636" s="7"/>
      <c r="F636" s="115">
        <v>24420</v>
      </c>
      <c r="G636" s="8" t="s">
        <v>2935</v>
      </c>
      <c r="H636" s="8" t="s">
        <v>1833</v>
      </c>
      <c r="I636" s="8">
        <v>2823</v>
      </c>
      <c r="J636" s="8">
        <v>3185</v>
      </c>
      <c r="K636" s="9">
        <f>Tabla156798[[#This Row],[PRECIO CLIENTE]]-Tabla156798[[#This Row],[CANTIDAD PUBLICA]]</f>
        <v>362</v>
      </c>
      <c r="L636" s="10">
        <f>Tabla156798[[#This Row],[COMISION AGENCIA]]*0.05</f>
        <v>18.100000000000001</v>
      </c>
      <c r="M636" s="7"/>
      <c r="N636" s="7" t="s">
        <v>2936</v>
      </c>
      <c r="O636" s="7" t="s">
        <v>47</v>
      </c>
      <c r="P636" s="7"/>
    </row>
    <row r="637" spans="1:16" x14ac:dyDescent="0.25">
      <c r="A637" s="14">
        <v>45029</v>
      </c>
      <c r="B637" s="14">
        <v>45029</v>
      </c>
      <c r="C637" s="6">
        <v>45029</v>
      </c>
      <c r="D637" s="6">
        <v>45046</v>
      </c>
      <c r="E637" s="6">
        <v>45067</v>
      </c>
      <c r="F637" s="115">
        <v>24423</v>
      </c>
      <c r="G637" s="63" t="s">
        <v>2937</v>
      </c>
      <c r="H637" s="8" t="s">
        <v>1788</v>
      </c>
      <c r="I637" s="8">
        <v>5454</v>
      </c>
      <c r="J637" s="8">
        <v>5945</v>
      </c>
      <c r="K637" s="9">
        <f>Tabla156798[[#This Row],[PRECIO CLIENTE]]-Tabla156798[[#This Row],[CANTIDAD PUBLICA]]</f>
        <v>491</v>
      </c>
      <c r="L637" s="10">
        <f>Tabla156798[[#This Row],[COMISION AGENCIA]]*0.05</f>
        <v>24.55</v>
      </c>
      <c r="M637" s="7"/>
      <c r="N637" s="7" t="s">
        <v>2938</v>
      </c>
      <c r="O637" s="7" t="s">
        <v>47</v>
      </c>
      <c r="P637" s="7"/>
    </row>
    <row r="638" spans="1:16" x14ac:dyDescent="0.25">
      <c r="A638" s="14">
        <v>45029</v>
      </c>
      <c r="B638" s="14">
        <v>45029</v>
      </c>
      <c r="C638" s="6">
        <v>45029</v>
      </c>
      <c r="D638" s="6">
        <v>45073</v>
      </c>
      <c r="E638" s="7"/>
      <c r="F638" s="115">
        <v>24433</v>
      </c>
      <c r="G638" s="8" t="s">
        <v>2939</v>
      </c>
      <c r="H638" s="8" t="s">
        <v>2499</v>
      </c>
      <c r="I638" s="8">
        <v>2552</v>
      </c>
      <c r="J638" s="8">
        <v>3880</v>
      </c>
      <c r="K638" s="9">
        <f>Tabla156798[[#This Row],[PRECIO CLIENTE]]-Tabla156798[[#This Row],[CANTIDAD PUBLICA]]</f>
        <v>1328</v>
      </c>
      <c r="L638" s="10">
        <f>Tabla156798[[#This Row],[COMISION AGENCIA]]*0.05</f>
        <v>66.400000000000006</v>
      </c>
      <c r="M638" s="7"/>
      <c r="N638" s="7" t="s">
        <v>2940</v>
      </c>
      <c r="O638" s="7" t="s">
        <v>47</v>
      </c>
      <c r="P638" s="7"/>
    </row>
    <row r="639" spans="1:16" x14ac:dyDescent="0.25">
      <c r="A639" s="14">
        <v>45029</v>
      </c>
      <c r="B639" s="14">
        <v>45029</v>
      </c>
      <c r="C639" s="6">
        <v>45029</v>
      </c>
      <c r="D639" s="6">
        <v>45077</v>
      </c>
      <c r="E639" s="7"/>
      <c r="F639" s="115">
        <v>24433</v>
      </c>
      <c r="G639" s="8" t="s">
        <v>2939</v>
      </c>
      <c r="H639" s="8" t="s">
        <v>2941</v>
      </c>
      <c r="I639" s="8">
        <v>3668</v>
      </c>
      <c r="J639" s="8">
        <v>5040</v>
      </c>
      <c r="K639" s="9">
        <f>Tabla156798[[#This Row],[PRECIO CLIENTE]]-Tabla156798[[#This Row],[CANTIDAD PUBLICA]]</f>
        <v>1372</v>
      </c>
      <c r="L639" s="10">
        <f>Tabla156798[[#This Row],[COMISION AGENCIA]]*0.05</f>
        <v>68.600000000000009</v>
      </c>
      <c r="M639" s="7"/>
      <c r="N639" s="7" t="s">
        <v>2942</v>
      </c>
      <c r="O639" s="7" t="s">
        <v>47</v>
      </c>
      <c r="P639" s="7"/>
    </row>
    <row r="640" spans="1:16" x14ac:dyDescent="0.25">
      <c r="A640" s="14">
        <v>45029</v>
      </c>
      <c r="B640" s="14">
        <v>45029</v>
      </c>
      <c r="C640" s="6">
        <v>45029</v>
      </c>
      <c r="D640" s="6">
        <v>45041</v>
      </c>
      <c r="E640" s="6">
        <v>45043</v>
      </c>
      <c r="F640" s="115">
        <v>24630</v>
      </c>
      <c r="G640" s="8" t="s">
        <v>2943</v>
      </c>
      <c r="H640" s="8" t="s">
        <v>2286</v>
      </c>
      <c r="I640" s="8">
        <v>3452</v>
      </c>
      <c r="J640" s="8">
        <v>4020</v>
      </c>
      <c r="K640" s="9">
        <f>Tabla156798[[#This Row],[PRECIO CLIENTE]]-Tabla156798[[#This Row],[CANTIDAD PUBLICA]]</f>
        <v>568</v>
      </c>
      <c r="L640" s="10">
        <f>Tabla156798[[#This Row],[COMISION AGENCIA]]*0.05</f>
        <v>28.400000000000002</v>
      </c>
      <c r="M640" s="7"/>
      <c r="N640" s="7" t="s">
        <v>2944</v>
      </c>
      <c r="O640" s="7" t="s">
        <v>86</v>
      </c>
      <c r="P640" s="7"/>
    </row>
    <row r="641" spans="1:16" x14ac:dyDescent="0.25">
      <c r="A641" s="14">
        <v>45029</v>
      </c>
      <c r="B641" s="14" t="s">
        <v>2468</v>
      </c>
      <c r="C641" s="6">
        <v>45029</v>
      </c>
      <c r="D641" s="6">
        <v>45041</v>
      </c>
      <c r="E641" s="6">
        <v>45043</v>
      </c>
      <c r="F641" s="115">
        <v>24630</v>
      </c>
      <c r="G641" s="8" t="s">
        <v>1839</v>
      </c>
      <c r="H641" s="8" t="s">
        <v>2945</v>
      </c>
      <c r="I641" s="8">
        <v>6855.9</v>
      </c>
      <c r="J641" s="8">
        <v>5965</v>
      </c>
      <c r="K641" s="9">
        <f>Tabla156798[[#This Row],[CANTIDAD PUBLICA]]*0.05</f>
        <v>342.79500000000002</v>
      </c>
      <c r="L641" s="10">
        <f>Tabla156798[[#This Row],[COMISION AGENCIA]]*0.05</f>
        <v>17.139750000000003</v>
      </c>
      <c r="M641" s="7">
        <v>15107065530</v>
      </c>
      <c r="N641" s="7" t="s">
        <v>2946</v>
      </c>
      <c r="O641" s="7" t="s">
        <v>6</v>
      </c>
      <c r="P641" s="7"/>
    </row>
    <row r="642" spans="1:16" x14ac:dyDescent="0.25">
      <c r="A642" s="14">
        <v>45030</v>
      </c>
      <c r="B642" s="14">
        <v>45030</v>
      </c>
      <c r="C642" s="6">
        <v>45030</v>
      </c>
      <c r="D642" s="6">
        <v>45093</v>
      </c>
      <c r="E642" s="6">
        <v>45097</v>
      </c>
      <c r="F642" s="115">
        <v>24449</v>
      </c>
      <c r="G642" s="8" t="s">
        <v>2947</v>
      </c>
      <c r="H642" s="8" t="s">
        <v>2010</v>
      </c>
      <c r="I642" s="8">
        <v>1930</v>
      </c>
      <c r="J642" s="8">
        <v>2375</v>
      </c>
      <c r="K642" s="9">
        <f>Tabla156798[[#This Row],[PRECIO CLIENTE]]-Tabla156798[[#This Row],[CANTIDAD PUBLICA]]</f>
        <v>445</v>
      </c>
      <c r="L642" s="10">
        <f>Tabla156798[[#This Row],[COMISION AGENCIA]]*0.05</f>
        <v>22.25</v>
      </c>
      <c r="M642" s="7"/>
      <c r="N642" s="7" t="s">
        <v>2948</v>
      </c>
      <c r="O642" s="7" t="s">
        <v>47</v>
      </c>
      <c r="P642" s="7"/>
    </row>
    <row r="643" spans="1:16" x14ac:dyDescent="0.25">
      <c r="A643" s="14">
        <v>45030</v>
      </c>
      <c r="B643" s="14">
        <v>45030</v>
      </c>
      <c r="C643" s="6">
        <v>45030</v>
      </c>
      <c r="D643" s="6">
        <v>45032</v>
      </c>
      <c r="E643" s="7"/>
      <c r="F643" s="115">
        <v>24471</v>
      </c>
      <c r="G643" s="8" t="s">
        <v>2949</v>
      </c>
      <c r="H643" s="8" t="s">
        <v>1625</v>
      </c>
      <c r="I643" s="8">
        <v>13940</v>
      </c>
      <c r="J643" s="8">
        <v>14700</v>
      </c>
      <c r="K643" s="9">
        <f>Tabla156798[[#This Row],[PRECIO CLIENTE]]-Tabla156798[[#This Row],[CANTIDAD PUBLICA]]</f>
        <v>760</v>
      </c>
      <c r="L643" s="10">
        <f>Tabla156798[[#This Row],[COMISION AGENCIA]]*0.05</f>
        <v>38</v>
      </c>
      <c r="M643" s="7"/>
      <c r="N643" s="7" t="s">
        <v>2950</v>
      </c>
      <c r="O643" s="7" t="s">
        <v>86</v>
      </c>
      <c r="P643" s="7"/>
    </row>
    <row r="644" spans="1:16" x14ac:dyDescent="0.25">
      <c r="A644" s="14">
        <v>45030</v>
      </c>
      <c r="B644" s="14">
        <v>45030</v>
      </c>
      <c r="C644" s="6">
        <v>45030</v>
      </c>
      <c r="D644" s="6">
        <v>45040</v>
      </c>
      <c r="E644" s="7"/>
      <c r="F644" s="115">
        <v>24452</v>
      </c>
      <c r="G644" s="8" t="s">
        <v>2951</v>
      </c>
      <c r="H644" s="8" t="s">
        <v>1906</v>
      </c>
      <c r="I644" s="8">
        <v>1435</v>
      </c>
      <c r="J644" s="8">
        <v>1795</v>
      </c>
      <c r="K644" s="9">
        <f>Tabla156798[[#This Row],[PRECIO CLIENTE]]-Tabla156798[[#This Row],[CANTIDAD PUBLICA]]</f>
        <v>360</v>
      </c>
      <c r="L644" s="10">
        <f>Tabla156798[[#This Row],[COMISION AGENCIA]]*0.05</f>
        <v>18</v>
      </c>
      <c r="M644" s="7"/>
      <c r="N644" s="7" t="s">
        <v>2952</v>
      </c>
      <c r="O644" s="7" t="s">
        <v>47</v>
      </c>
      <c r="P644" s="7"/>
    </row>
    <row r="645" spans="1:16" x14ac:dyDescent="0.25">
      <c r="A645" s="14">
        <v>45030</v>
      </c>
      <c r="B645" s="14" t="s">
        <v>2468</v>
      </c>
      <c r="C645" s="6">
        <v>45030</v>
      </c>
      <c r="D645" s="6">
        <v>45057</v>
      </c>
      <c r="E645" s="6">
        <v>45064</v>
      </c>
      <c r="F645" s="115">
        <v>24442</v>
      </c>
      <c r="G645" s="8" t="s">
        <v>2953</v>
      </c>
      <c r="H645" s="8" t="s">
        <v>2954</v>
      </c>
      <c r="I645" s="8">
        <f>918*18.58</f>
        <v>17056.439999999999</v>
      </c>
      <c r="J645" s="8">
        <f>826*18.58</f>
        <v>15347.079999999998</v>
      </c>
      <c r="K645" s="9">
        <f>Tabla156798[[#This Row],[CANTIDAD PUBLICA]]*0.05</f>
        <v>852.822</v>
      </c>
      <c r="L645" s="10">
        <f>Tabla156798[[#This Row],[COMISION AGENCIA]]*0.05</f>
        <v>42.641100000000002</v>
      </c>
      <c r="M645" s="7">
        <v>3481461345</v>
      </c>
      <c r="N645" s="7">
        <v>28811712</v>
      </c>
      <c r="O645" s="7" t="s">
        <v>5</v>
      </c>
      <c r="P645" s="7"/>
    </row>
    <row r="646" spans="1:16" x14ac:dyDescent="0.25">
      <c r="A646" s="14">
        <f>Tabla156798[[#This Row],[FECHA IN]]-15</f>
        <v>45032</v>
      </c>
      <c r="B646" s="14">
        <v>45031</v>
      </c>
      <c r="C646" s="6">
        <v>44964</v>
      </c>
      <c r="D646" s="6">
        <v>45047</v>
      </c>
      <c r="E646" s="6">
        <v>45052</v>
      </c>
      <c r="F646" s="115" t="s">
        <v>2955</v>
      </c>
      <c r="G646" s="8" t="s">
        <v>2956</v>
      </c>
      <c r="H646" s="8" t="s">
        <v>2957</v>
      </c>
      <c r="I646" s="8">
        <v>24964.83</v>
      </c>
      <c r="J646" s="8">
        <v>22470</v>
      </c>
      <c r="K646" s="9">
        <f>Tabla156798[[#This Row],[CANTIDAD PUBLICA]]*0.05</f>
        <v>1248.2415000000001</v>
      </c>
      <c r="L646" s="10">
        <f>Tabla156798[[#This Row],[COMISION AGENCIA]]*0.05</f>
        <v>62.412075000000009</v>
      </c>
      <c r="M646" s="7">
        <v>3788852870</v>
      </c>
      <c r="N646" s="7">
        <v>10434863</v>
      </c>
      <c r="O646" s="7" t="s">
        <v>5</v>
      </c>
      <c r="P646" s="7"/>
    </row>
    <row r="647" spans="1:16" x14ac:dyDescent="0.25">
      <c r="A647" s="14">
        <f>Tabla156798[[#This Row],[FECHA IN]]-15</f>
        <v>45032</v>
      </c>
      <c r="B647" s="14">
        <v>45031</v>
      </c>
      <c r="C647" s="6">
        <v>44964</v>
      </c>
      <c r="D647" s="6">
        <v>45047</v>
      </c>
      <c r="E647" s="6">
        <v>45052</v>
      </c>
      <c r="F647" s="115" t="s">
        <v>2955</v>
      </c>
      <c r="G647" s="8" t="s">
        <v>2958</v>
      </c>
      <c r="H647" s="8" t="s">
        <v>2957</v>
      </c>
      <c r="I647" s="8">
        <v>24964.83</v>
      </c>
      <c r="J647" s="8">
        <v>22470</v>
      </c>
      <c r="K647" s="9">
        <f>Tabla156798[[#This Row],[CANTIDAD PUBLICA]]*0.05</f>
        <v>1248.2415000000001</v>
      </c>
      <c r="L647" s="10">
        <f>Tabla156798[[#This Row],[COMISION AGENCIA]]*0.05</f>
        <v>62.412075000000009</v>
      </c>
      <c r="M647" s="7">
        <v>3788852870</v>
      </c>
      <c r="N647" s="7">
        <v>10434967</v>
      </c>
      <c r="O647" s="7" t="s">
        <v>5</v>
      </c>
      <c r="P647" s="7"/>
    </row>
    <row r="648" spans="1:16" x14ac:dyDescent="0.25">
      <c r="A648" s="14">
        <f>Tabla156798[[#This Row],[FECHA IN]]-15</f>
        <v>45032</v>
      </c>
      <c r="B648" s="14">
        <v>45052</v>
      </c>
      <c r="C648" s="6">
        <v>44992</v>
      </c>
      <c r="D648" s="6">
        <v>45047</v>
      </c>
      <c r="E648" s="6">
        <v>45051</v>
      </c>
      <c r="F648" s="115">
        <v>23926</v>
      </c>
      <c r="G648" s="8" t="s">
        <v>2959</v>
      </c>
      <c r="H648" s="8" t="s">
        <v>2167</v>
      </c>
      <c r="I648" s="8">
        <v>19059.830000000002</v>
      </c>
      <c r="J648" s="8">
        <v>16585</v>
      </c>
      <c r="K648" s="9">
        <f>Tabla156798[[#This Row],[CANTIDAD PUBLICA]]*0.05</f>
        <v>952.99150000000009</v>
      </c>
      <c r="L648" s="10">
        <f>Tabla156798[[#This Row],[COMISION AGENCIA]]*0.05</f>
        <v>47.649575000000006</v>
      </c>
      <c r="M648" s="7">
        <v>3481130832</v>
      </c>
      <c r="N648" s="7" t="s">
        <v>2960</v>
      </c>
      <c r="O648" s="7" t="s">
        <v>6</v>
      </c>
      <c r="P648" s="7"/>
    </row>
    <row r="649" spans="1:16" x14ac:dyDescent="0.25">
      <c r="A649" s="14">
        <f>Tabla156798[[#This Row],[FECHA IN]]-15</f>
        <v>45032</v>
      </c>
      <c r="B649" s="14">
        <v>45052</v>
      </c>
      <c r="C649" s="6">
        <v>44992</v>
      </c>
      <c r="D649" s="6">
        <v>45047</v>
      </c>
      <c r="E649" s="6">
        <v>45051</v>
      </c>
      <c r="F649" s="115">
        <v>23925</v>
      </c>
      <c r="G649" s="8" t="s">
        <v>2961</v>
      </c>
      <c r="H649" s="8" t="s">
        <v>2167</v>
      </c>
      <c r="I649" s="8">
        <v>19059.830000000002</v>
      </c>
      <c r="J649" s="8">
        <v>16585</v>
      </c>
      <c r="K649" s="9">
        <f>Tabla156798[[#This Row],[CANTIDAD PUBLICA]]*0.05</f>
        <v>952.99150000000009</v>
      </c>
      <c r="L649" s="10">
        <f>Tabla156798[[#This Row],[COMISION AGENCIA]]*0.05</f>
        <v>47.649575000000006</v>
      </c>
      <c r="M649" s="7">
        <v>3481130832</v>
      </c>
      <c r="N649" s="7" t="s">
        <v>2962</v>
      </c>
      <c r="O649" s="7" t="s">
        <v>6</v>
      </c>
      <c r="P649" s="7"/>
    </row>
    <row r="650" spans="1:16" x14ac:dyDescent="0.25">
      <c r="A650" s="14">
        <f>Tabla156798[[#This Row],[FECHA IN]]-15</f>
        <v>45033</v>
      </c>
      <c r="B650" s="14">
        <v>45013</v>
      </c>
      <c r="C650" s="6">
        <v>45000</v>
      </c>
      <c r="D650" s="6">
        <v>45048</v>
      </c>
      <c r="E650" s="6">
        <v>45053</v>
      </c>
      <c r="F650" s="115" t="s">
        <v>2963</v>
      </c>
      <c r="G650" s="8" t="s">
        <v>2964</v>
      </c>
      <c r="H650" s="8" t="s">
        <v>2965</v>
      </c>
      <c r="I650" s="8">
        <v>30569.93</v>
      </c>
      <c r="J650" s="8">
        <v>27250</v>
      </c>
      <c r="K650" s="9">
        <f>Tabla156798[[#This Row],[CANTIDAD PUBLICA]]*0.05</f>
        <v>1528.4965000000002</v>
      </c>
      <c r="L650" s="10">
        <f>Tabla156798[[#This Row],[COMISION AGENCIA]]*0.05</f>
        <v>76.424825000000013</v>
      </c>
      <c r="M650" s="7">
        <v>4495486065</v>
      </c>
      <c r="N650" s="7" t="s">
        <v>2966</v>
      </c>
      <c r="O650" s="7" t="s">
        <v>6</v>
      </c>
      <c r="P650" s="7"/>
    </row>
    <row r="651" spans="1:16" x14ac:dyDescent="0.25">
      <c r="A651" s="14">
        <f>Tabla156798[[#This Row],[FECHA IN]]-15</f>
        <v>45033</v>
      </c>
      <c r="B651" s="14">
        <v>45013</v>
      </c>
      <c r="C651" s="6">
        <v>45000</v>
      </c>
      <c r="D651" s="6">
        <v>45048</v>
      </c>
      <c r="E651" s="6">
        <v>45053</v>
      </c>
      <c r="F651" s="115" t="s">
        <v>2963</v>
      </c>
      <c r="G651" s="8" t="s">
        <v>2967</v>
      </c>
      <c r="H651" s="8" t="s">
        <v>2965</v>
      </c>
      <c r="I651" s="8">
        <v>26195.95</v>
      </c>
      <c r="J651" s="8">
        <v>23355</v>
      </c>
      <c r="K651" s="9">
        <f>Tabla156798[[#This Row],[CANTIDAD PUBLICA]]*0.05</f>
        <v>1309.7975000000001</v>
      </c>
      <c r="L651" s="10">
        <f>Tabla156798[[#This Row],[COMISION AGENCIA]]*0.05</f>
        <v>65.489875000000012</v>
      </c>
      <c r="M651" s="7">
        <v>4495486065</v>
      </c>
      <c r="N651" s="7" t="s">
        <v>2968</v>
      </c>
      <c r="O651" s="7" t="s">
        <v>6</v>
      </c>
      <c r="P651" s="7"/>
    </row>
    <row r="652" spans="1:16" x14ac:dyDescent="0.25">
      <c r="A652" s="14">
        <f>Tabla156798[[#This Row],[FECHA IN]]-15</f>
        <v>45033</v>
      </c>
      <c r="B652" s="14" t="s">
        <v>2468</v>
      </c>
      <c r="C652" s="6">
        <v>45000</v>
      </c>
      <c r="D652" s="6">
        <v>45048</v>
      </c>
      <c r="E652" s="6">
        <v>45053</v>
      </c>
      <c r="F652" s="115" t="s">
        <v>2963</v>
      </c>
      <c r="G652" s="8" t="s">
        <v>2969</v>
      </c>
      <c r="H652" s="8" t="s">
        <v>2965</v>
      </c>
      <c r="I652" s="8">
        <v>29974.63</v>
      </c>
      <c r="J652" s="8">
        <v>27250</v>
      </c>
      <c r="K652" s="9">
        <f>Tabla156798[[#This Row],[CANTIDAD PUBLICA]]*0.05</f>
        <v>1498.7315000000001</v>
      </c>
      <c r="L652" s="10">
        <f>Tabla156798[[#This Row],[COMISION AGENCIA]]*0.05</f>
        <v>74.936575000000005</v>
      </c>
      <c r="M652" s="7">
        <v>4495486065</v>
      </c>
      <c r="N652" s="7" t="s">
        <v>2970</v>
      </c>
      <c r="O652" s="7" t="s">
        <v>6</v>
      </c>
      <c r="P652" s="7"/>
    </row>
    <row r="653" spans="1:16" x14ac:dyDescent="0.25">
      <c r="A653" s="14">
        <f>Tabla156798[[#This Row],[FECHA IN]]-15</f>
        <v>45033</v>
      </c>
      <c r="B653" s="14" t="s">
        <v>2468</v>
      </c>
      <c r="C653" s="6">
        <v>45000</v>
      </c>
      <c r="D653" s="6">
        <v>45048</v>
      </c>
      <c r="E653" s="6">
        <v>45053</v>
      </c>
      <c r="F653" s="115" t="s">
        <v>2963</v>
      </c>
      <c r="G653" s="8" t="s">
        <v>2971</v>
      </c>
      <c r="H653" s="8" t="s">
        <v>2965</v>
      </c>
      <c r="I653" s="8">
        <v>81120</v>
      </c>
      <c r="J653" s="8">
        <v>87570</v>
      </c>
      <c r="K653" s="9">
        <f>Tabla156798[[#This Row],[CANTIDAD PUBLICA]]*0.05</f>
        <v>4056</v>
      </c>
      <c r="L653" s="10">
        <f>Tabla156798[[#This Row],[COMISION AGENCIA]]*0.05</f>
        <v>202.8</v>
      </c>
      <c r="M653" s="7">
        <v>4495486065</v>
      </c>
      <c r="N653" s="7" t="s">
        <v>2972</v>
      </c>
      <c r="O653" s="7" t="s">
        <v>6</v>
      </c>
      <c r="P653" s="7"/>
    </row>
    <row r="654" spans="1:16" x14ac:dyDescent="0.25">
      <c r="A654" s="14">
        <f>Tabla156798[[#This Row],[FECHA IN]]-15</f>
        <v>45033</v>
      </c>
      <c r="B654" s="14">
        <v>45013</v>
      </c>
      <c r="C654" s="6">
        <v>45000</v>
      </c>
      <c r="D654" s="6">
        <v>45048</v>
      </c>
      <c r="E654" s="6">
        <v>45053</v>
      </c>
      <c r="F654" s="115" t="s">
        <v>2963</v>
      </c>
      <c r="G654" s="8" t="s">
        <v>2964</v>
      </c>
      <c r="H654" s="8" t="s">
        <v>2973</v>
      </c>
      <c r="I654" s="8">
        <v>4641</v>
      </c>
      <c r="J654" s="8">
        <v>14240</v>
      </c>
      <c r="K654" s="9">
        <f>Tabla156798[[#This Row],[PRECIO CLIENTE]]-Tabla156798[[#This Row],[CANTIDAD PUBLICA]]</f>
        <v>9599</v>
      </c>
      <c r="L654" s="10">
        <f>Tabla156798[[#This Row],[COMISION AGENCIA]]*0.05</f>
        <v>479.95000000000005</v>
      </c>
      <c r="M654" s="7">
        <v>4495486065</v>
      </c>
      <c r="N654" s="7" t="s">
        <v>2974</v>
      </c>
      <c r="O654" s="7" t="s">
        <v>4</v>
      </c>
      <c r="P654" s="7"/>
    </row>
    <row r="655" spans="1:16" x14ac:dyDescent="0.25">
      <c r="A655" s="14">
        <v>45033</v>
      </c>
      <c r="B655" s="14">
        <v>45033</v>
      </c>
      <c r="C655" s="6">
        <v>45033</v>
      </c>
      <c r="D655" s="6">
        <v>45058</v>
      </c>
      <c r="E655" s="7"/>
      <c r="F655" s="115">
        <v>24472</v>
      </c>
      <c r="G655" s="8" t="s">
        <v>2975</v>
      </c>
      <c r="H655" s="8" t="s">
        <v>2976</v>
      </c>
      <c r="I655" s="8">
        <v>5502</v>
      </c>
      <c r="J655" s="8">
        <v>5655</v>
      </c>
      <c r="K655" s="9">
        <f>Tabla156798[[#This Row],[PRECIO CLIENTE]]-Tabla156798[[#This Row],[CANTIDAD PUBLICA]]</f>
        <v>153</v>
      </c>
      <c r="L655" s="10">
        <f>Tabla156798[[#This Row],[COMISION AGENCIA]]*0.05</f>
        <v>7.65</v>
      </c>
      <c r="M655" s="7"/>
      <c r="N655" s="7" t="s">
        <v>2977</v>
      </c>
      <c r="O655" s="7" t="s">
        <v>1863</v>
      </c>
      <c r="P655" s="7"/>
    </row>
    <row r="656" spans="1:16" x14ac:dyDescent="0.25">
      <c r="A656" s="14">
        <v>45033</v>
      </c>
      <c r="B656" s="14">
        <v>45033</v>
      </c>
      <c r="C656" s="6">
        <v>45033</v>
      </c>
      <c r="D656" s="6">
        <v>45043</v>
      </c>
      <c r="E656" s="6">
        <v>45046</v>
      </c>
      <c r="F656" s="115">
        <v>24477</v>
      </c>
      <c r="G656" s="8" t="s">
        <v>2978</v>
      </c>
      <c r="H656" s="8" t="s">
        <v>1290</v>
      </c>
      <c r="I656" s="8">
        <v>15528</v>
      </c>
      <c r="J656" s="8">
        <v>15990</v>
      </c>
      <c r="K656" s="9">
        <f>Tabla156798[[#This Row],[PRECIO CLIENTE]]-Tabla156798[[#This Row],[CANTIDAD PUBLICA]]</f>
        <v>462</v>
      </c>
      <c r="L656" s="10">
        <f>Tabla156798[[#This Row],[COMISION AGENCIA]]*0.05</f>
        <v>23.1</v>
      </c>
      <c r="M656" s="7"/>
      <c r="N656" s="7" t="s">
        <v>2979</v>
      </c>
      <c r="O656" s="7" t="s">
        <v>86</v>
      </c>
      <c r="P656" s="7"/>
    </row>
    <row r="657" spans="1:16" x14ac:dyDescent="0.25">
      <c r="A657" s="14">
        <v>45033</v>
      </c>
      <c r="B657" s="14">
        <v>45033</v>
      </c>
      <c r="C657" s="6">
        <v>45033</v>
      </c>
      <c r="D657" s="6">
        <v>45261</v>
      </c>
      <c r="E657" s="6">
        <v>45266</v>
      </c>
      <c r="F657" s="115">
        <v>24475</v>
      </c>
      <c r="G657" s="8" t="s">
        <v>2980</v>
      </c>
      <c r="H657" s="8" t="s">
        <v>2010</v>
      </c>
      <c r="I657" s="8">
        <v>9042</v>
      </c>
      <c r="J657" s="8">
        <v>11220</v>
      </c>
      <c r="K657" s="9">
        <f>Tabla156798[[#This Row],[PRECIO CLIENTE]]-Tabla156798[[#This Row],[CANTIDAD PUBLICA]]</f>
        <v>2178</v>
      </c>
      <c r="L657" s="10">
        <f>Tabla156798[[#This Row],[COMISION AGENCIA]]*0.05</f>
        <v>108.9</v>
      </c>
      <c r="M657" s="7"/>
      <c r="N657" s="7" t="s">
        <v>2981</v>
      </c>
      <c r="O657" s="7" t="s">
        <v>47</v>
      </c>
      <c r="P657" s="7"/>
    </row>
    <row r="658" spans="1:16" x14ac:dyDescent="0.25">
      <c r="A658" s="14">
        <v>45033</v>
      </c>
      <c r="B658" s="14">
        <v>45033</v>
      </c>
      <c r="C658" s="6">
        <v>45033</v>
      </c>
      <c r="D658" s="6">
        <v>45046</v>
      </c>
      <c r="E658" s="7"/>
      <c r="F658" s="115">
        <v>24501</v>
      </c>
      <c r="G658" s="8" t="s">
        <v>2982</v>
      </c>
      <c r="H658" s="8" t="s">
        <v>2809</v>
      </c>
      <c r="I658" s="8">
        <v>5860</v>
      </c>
      <c r="J658" s="8">
        <v>6170</v>
      </c>
      <c r="K658" s="9">
        <f>Tabla156798[[#This Row],[PRECIO CLIENTE]]-Tabla156798[[#This Row],[CANTIDAD PUBLICA]]</f>
        <v>310</v>
      </c>
      <c r="L658" s="10">
        <f>Tabla156798[[#This Row],[COMISION AGENCIA]]*0.05</f>
        <v>15.5</v>
      </c>
      <c r="M658" s="7"/>
      <c r="N658" s="7" t="s">
        <v>2983</v>
      </c>
      <c r="O658" s="7" t="s">
        <v>47</v>
      </c>
      <c r="P658" s="7"/>
    </row>
    <row r="659" spans="1:16" x14ac:dyDescent="0.25">
      <c r="A659" s="14">
        <v>45033</v>
      </c>
      <c r="B659" s="14">
        <v>45035</v>
      </c>
      <c r="C659" s="6">
        <v>45035</v>
      </c>
      <c r="D659" s="6">
        <v>45043</v>
      </c>
      <c r="E659" s="6">
        <v>45046</v>
      </c>
      <c r="F659" s="115">
        <v>24477</v>
      </c>
      <c r="G659" s="8" t="s">
        <v>2978</v>
      </c>
      <c r="H659" s="8" t="s">
        <v>2984</v>
      </c>
      <c r="I659" s="8">
        <v>25312.5</v>
      </c>
      <c r="J659" s="8">
        <v>22025</v>
      </c>
      <c r="K659" s="9">
        <f>Tabla156798[[#This Row],[CANTIDAD PUBLICA]]*0.05</f>
        <v>1265.625</v>
      </c>
      <c r="L659" s="10">
        <f>Tabla156798[[#This Row],[COMISION AGENCIA]]*0.05</f>
        <v>63.28125</v>
      </c>
      <c r="M659" s="7">
        <v>3481060066</v>
      </c>
      <c r="N659" s="7" t="s">
        <v>2985</v>
      </c>
      <c r="O659" s="7" t="s">
        <v>6</v>
      </c>
      <c r="P659" s="7"/>
    </row>
    <row r="660" spans="1:16" x14ac:dyDescent="0.25">
      <c r="A660" s="14">
        <v>45033</v>
      </c>
      <c r="B660" s="14">
        <v>45035</v>
      </c>
      <c r="C660" s="6">
        <v>45035</v>
      </c>
      <c r="D660" s="6">
        <v>45043</v>
      </c>
      <c r="E660" s="6">
        <v>45046</v>
      </c>
      <c r="F660" s="115">
        <v>24477</v>
      </c>
      <c r="G660" s="8" t="s">
        <v>2978</v>
      </c>
      <c r="H660" s="8" t="s">
        <v>2986</v>
      </c>
      <c r="I660" s="8">
        <v>1304</v>
      </c>
      <c r="J660" s="8">
        <v>2250</v>
      </c>
      <c r="K660" s="9">
        <f>Tabla156798[[#This Row],[PRECIO CLIENTE]]-Tabla156798[[#This Row],[CANTIDAD PUBLICA]]</f>
        <v>946</v>
      </c>
      <c r="L660" s="10">
        <f>Tabla156798[[#This Row],[COMISION AGENCIA]]*0.05</f>
        <v>47.300000000000004</v>
      </c>
      <c r="M660" s="7">
        <v>3481060066</v>
      </c>
      <c r="N660" s="7"/>
      <c r="O660" s="7" t="s">
        <v>2987</v>
      </c>
      <c r="P660" s="7"/>
    </row>
    <row r="661" spans="1:16" x14ac:dyDescent="0.25">
      <c r="A661" s="14">
        <v>45033</v>
      </c>
      <c r="B661" s="14" t="s">
        <v>2468</v>
      </c>
      <c r="C661" s="6">
        <v>45033</v>
      </c>
      <c r="D661" s="6">
        <v>45051</v>
      </c>
      <c r="E661" s="6">
        <v>45053</v>
      </c>
      <c r="F661" s="115">
        <v>24487</v>
      </c>
      <c r="G661" s="8" t="s">
        <v>2930</v>
      </c>
      <c r="H661" s="8" t="s">
        <v>2988</v>
      </c>
      <c r="I661" s="8">
        <v>2720.05</v>
      </c>
      <c r="J661" s="8">
        <v>2370</v>
      </c>
      <c r="K661" s="9">
        <f>Tabla156798[[#This Row],[CANTIDAD PUBLICA]]*0.05</f>
        <v>136.00250000000003</v>
      </c>
      <c r="L661" s="10">
        <f>Tabla156798[[#This Row],[COMISION AGENCIA]]*0.05</f>
        <v>6.8001250000000013</v>
      </c>
      <c r="M661" s="7">
        <v>3481053859</v>
      </c>
      <c r="N661" s="7" t="s">
        <v>2989</v>
      </c>
      <c r="O661" s="7" t="s">
        <v>6</v>
      </c>
      <c r="P661" s="7"/>
    </row>
    <row r="662" spans="1:16" x14ac:dyDescent="0.25">
      <c r="A662" s="14">
        <v>45034</v>
      </c>
      <c r="B662" s="14">
        <v>45034</v>
      </c>
      <c r="C662" s="6">
        <v>45034</v>
      </c>
      <c r="D662" s="6">
        <v>45066</v>
      </c>
      <c r="E662" s="6">
        <v>45074</v>
      </c>
      <c r="F662" s="115" t="s">
        <v>2990</v>
      </c>
      <c r="G662" s="8" t="s">
        <v>2991</v>
      </c>
      <c r="H662" s="8" t="s">
        <v>1906</v>
      </c>
      <c r="I662" s="8">
        <v>10395</v>
      </c>
      <c r="J662" s="8">
        <v>11340</v>
      </c>
      <c r="K662" s="9">
        <f>Tabla156798[[#This Row],[PRECIO CLIENTE]]-Tabla156798[[#This Row],[CANTIDAD PUBLICA]]</f>
        <v>945</v>
      </c>
      <c r="L662" s="10">
        <f>Tabla156798[[#This Row],[COMISION AGENCIA]]*0.05</f>
        <v>47.25</v>
      </c>
      <c r="M662" s="7"/>
      <c r="N662" s="7" t="s">
        <v>2992</v>
      </c>
      <c r="O662" s="7" t="s">
        <v>47</v>
      </c>
      <c r="P662" s="7"/>
    </row>
    <row r="663" spans="1:16" x14ac:dyDescent="0.25">
      <c r="A663" s="14">
        <v>45034</v>
      </c>
      <c r="B663" s="14">
        <v>45034</v>
      </c>
      <c r="C663" s="6">
        <v>45034</v>
      </c>
      <c r="D663" s="6">
        <v>45036</v>
      </c>
      <c r="E663" s="7"/>
      <c r="F663" s="115">
        <v>24520</v>
      </c>
      <c r="G663" s="8" t="s">
        <v>2993</v>
      </c>
      <c r="H663" s="8" t="s">
        <v>2253</v>
      </c>
      <c r="I663" s="8">
        <v>2726</v>
      </c>
      <c r="J663" s="8">
        <v>3215</v>
      </c>
      <c r="K663" s="9">
        <f>Tabla156798[[#This Row],[PRECIO CLIENTE]]-Tabla156798[[#This Row],[CANTIDAD PUBLICA]]</f>
        <v>489</v>
      </c>
      <c r="L663" s="10">
        <f>Tabla156798[[#This Row],[COMISION AGENCIA]]*0.05</f>
        <v>24.450000000000003</v>
      </c>
      <c r="M663" s="7"/>
      <c r="N663" s="7" t="s">
        <v>2994</v>
      </c>
      <c r="O663" s="7" t="s">
        <v>47</v>
      </c>
      <c r="P663" s="7"/>
    </row>
    <row r="664" spans="1:16" x14ac:dyDescent="0.25">
      <c r="A664" s="14">
        <v>45034</v>
      </c>
      <c r="B664" s="14">
        <v>45034</v>
      </c>
      <c r="C664" s="6">
        <v>45034</v>
      </c>
      <c r="D664" s="6">
        <v>45046</v>
      </c>
      <c r="E664" s="6">
        <v>45050</v>
      </c>
      <c r="F664" s="115">
        <v>24492</v>
      </c>
      <c r="G664" s="8" t="s">
        <v>2995</v>
      </c>
      <c r="H664" s="8" t="s">
        <v>2957</v>
      </c>
      <c r="I664" s="8">
        <v>22272.78</v>
      </c>
      <c r="J664" s="8">
        <v>20045</v>
      </c>
      <c r="K664" s="9">
        <f>Tabla156798[[#This Row],[CANTIDAD PUBLICA]]*0.05</f>
        <v>1113.6389999999999</v>
      </c>
      <c r="L664" s="10">
        <f>Tabla156798[[#This Row],[COMISION AGENCIA]]*0.05</f>
        <v>55.681950000000001</v>
      </c>
      <c r="M664" s="7">
        <v>3481047606</v>
      </c>
      <c r="N664" s="7">
        <v>10783767</v>
      </c>
      <c r="O664" s="7" t="s">
        <v>5</v>
      </c>
      <c r="P664" s="7"/>
    </row>
    <row r="665" spans="1:16" x14ac:dyDescent="0.25">
      <c r="A665" s="14">
        <v>45035</v>
      </c>
      <c r="B665" s="14">
        <v>45035</v>
      </c>
      <c r="C665" s="6">
        <v>45035</v>
      </c>
      <c r="D665" s="6">
        <v>45048</v>
      </c>
      <c r="E665" s="7"/>
      <c r="F665" s="115">
        <v>24531</v>
      </c>
      <c r="G665" s="8" t="s">
        <v>2996</v>
      </c>
      <c r="H665" s="8" t="s">
        <v>1788</v>
      </c>
      <c r="I665" s="8">
        <v>6629</v>
      </c>
      <c r="J665" s="8">
        <v>7985</v>
      </c>
      <c r="K665" s="9">
        <f>Tabla156798[[#This Row],[PRECIO CLIENTE]]-Tabla156798[[#This Row],[CANTIDAD PUBLICA]]</f>
        <v>1356</v>
      </c>
      <c r="L665" s="10">
        <f>Tabla156798[[#This Row],[COMISION AGENCIA]]*0.05</f>
        <v>67.8</v>
      </c>
      <c r="M665" s="7"/>
      <c r="N665" s="7" t="s">
        <v>2997</v>
      </c>
      <c r="O665" s="7" t="s">
        <v>47</v>
      </c>
      <c r="P665" s="7"/>
    </row>
    <row r="666" spans="1:16" x14ac:dyDescent="0.25">
      <c r="A666" s="14">
        <v>45035</v>
      </c>
      <c r="B666" s="14">
        <v>45035</v>
      </c>
      <c r="C666" s="6">
        <v>45035</v>
      </c>
      <c r="D666" s="6">
        <v>45038</v>
      </c>
      <c r="E666" s="6">
        <v>45049</v>
      </c>
      <c r="F666" s="115">
        <v>24534</v>
      </c>
      <c r="G666" s="8" t="s">
        <v>2998</v>
      </c>
      <c r="H666" s="8" t="s">
        <v>1906</v>
      </c>
      <c r="I666" s="8">
        <v>11493</v>
      </c>
      <c r="J666" s="8">
        <v>15105</v>
      </c>
      <c r="K666" s="9">
        <f>Tabla156798[[#This Row],[PRECIO CLIENTE]]-Tabla156798[[#This Row],[CANTIDAD PUBLICA]]</f>
        <v>3612</v>
      </c>
      <c r="L666" s="10">
        <f>Tabla156798[[#This Row],[COMISION AGENCIA]]*0.05</f>
        <v>180.60000000000002</v>
      </c>
      <c r="M666" s="7"/>
      <c r="N666" s="7" t="s">
        <v>2999</v>
      </c>
      <c r="O666" s="7" t="s">
        <v>47</v>
      </c>
      <c r="P666" s="7"/>
    </row>
    <row r="667" spans="1:16" x14ac:dyDescent="0.25">
      <c r="A667" s="14">
        <v>45035</v>
      </c>
      <c r="B667" s="14">
        <v>45035</v>
      </c>
      <c r="C667" s="6">
        <v>45035</v>
      </c>
      <c r="D667" s="6">
        <v>45041</v>
      </c>
      <c r="E667" s="6">
        <v>45042</v>
      </c>
      <c r="F667" s="115">
        <v>24549</v>
      </c>
      <c r="G667" s="8" t="s">
        <v>3000</v>
      </c>
      <c r="H667" s="8" t="s">
        <v>3001</v>
      </c>
      <c r="I667" s="8">
        <v>8387.4599999999991</v>
      </c>
      <c r="J667" s="8">
        <v>7300</v>
      </c>
      <c r="K667" s="9">
        <f>Tabla156798[[#This Row],[CANTIDAD PUBLICA]]*0.05</f>
        <v>419.37299999999999</v>
      </c>
      <c r="L667" s="10">
        <f>Tabla156798[[#This Row],[COMISION AGENCIA]]*0.05</f>
        <v>20.96865</v>
      </c>
      <c r="M667" s="7">
        <v>3481058570</v>
      </c>
      <c r="N667" s="7" t="s">
        <v>3002</v>
      </c>
      <c r="O667" s="7" t="s">
        <v>6</v>
      </c>
      <c r="P667" s="7"/>
    </row>
    <row r="668" spans="1:16" x14ac:dyDescent="0.25">
      <c r="A668" s="14">
        <v>45035</v>
      </c>
      <c r="B668" s="14">
        <v>45035</v>
      </c>
      <c r="C668" s="6">
        <v>45035</v>
      </c>
      <c r="D668" s="6">
        <v>45044</v>
      </c>
      <c r="E668" s="7"/>
      <c r="F668" s="115">
        <v>24540</v>
      </c>
      <c r="G668" s="8" t="s">
        <v>2978</v>
      </c>
      <c r="H668" s="8" t="s">
        <v>3003</v>
      </c>
      <c r="I668" s="8">
        <v>11007</v>
      </c>
      <c r="J668" s="8">
        <v>10245</v>
      </c>
      <c r="K668" s="9">
        <f>Tabla156798[[#This Row],[CANTIDAD PUBLICA]]*AGENTES!D6</f>
        <v>770.4899999999999</v>
      </c>
      <c r="L668" s="10">
        <f>Tabla156798[[#This Row],[COMISION AGENCIA]]*0.05</f>
        <v>38.524499999999996</v>
      </c>
      <c r="M668" s="7">
        <v>3481060066</v>
      </c>
      <c r="N668" s="7" t="s">
        <v>3004</v>
      </c>
      <c r="O668" s="7" t="s">
        <v>1826</v>
      </c>
      <c r="P668" s="7"/>
    </row>
    <row r="669" spans="1:16" x14ac:dyDescent="0.25">
      <c r="A669" s="14">
        <v>45035</v>
      </c>
      <c r="B669" s="14">
        <v>45035</v>
      </c>
      <c r="C669" s="6">
        <v>45035</v>
      </c>
      <c r="D669" s="6">
        <v>45049</v>
      </c>
      <c r="E669" s="7"/>
      <c r="F669" s="115">
        <v>24534</v>
      </c>
      <c r="G669" s="8" t="s">
        <v>3005</v>
      </c>
      <c r="H669" s="8" t="s">
        <v>1544</v>
      </c>
      <c r="I669" s="8">
        <v>2865</v>
      </c>
      <c r="J669" s="8">
        <v>3165</v>
      </c>
      <c r="K669" s="9">
        <f>Tabla156798[[#This Row],[PRECIO CLIENTE]]-Tabla156798[[#This Row],[CANTIDAD PUBLICA]]</f>
        <v>300</v>
      </c>
      <c r="L669" s="10">
        <f>Tabla156798[[#This Row],[COMISION AGENCIA]]*0.05</f>
        <v>15</v>
      </c>
      <c r="M669" s="7"/>
      <c r="N669" s="7" t="s">
        <v>3006</v>
      </c>
      <c r="O669" s="7" t="s">
        <v>47</v>
      </c>
      <c r="P669" s="7"/>
    </row>
    <row r="670" spans="1:16" x14ac:dyDescent="0.25">
      <c r="A670" s="14">
        <v>45037</v>
      </c>
      <c r="B670" s="14">
        <v>45037</v>
      </c>
      <c r="C670" s="6">
        <v>45037</v>
      </c>
      <c r="D670" s="6">
        <v>45041</v>
      </c>
      <c r="E670" s="7"/>
      <c r="F670" s="115">
        <v>24562</v>
      </c>
      <c r="G670" s="8" t="s">
        <v>3007</v>
      </c>
      <c r="H670" s="8" t="s">
        <v>1821</v>
      </c>
      <c r="I670" s="8">
        <v>2572</v>
      </c>
      <c r="J670" s="8">
        <v>2990</v>
      </c>
      <c r="K670" s="9">
        <f>Tabla156798[[#This Row],[PRECIO CLIENTE]]-Tabla156798[[#This Row],[CANTIDAD PUBLICA]]</f>
        <v>418</v>
      </c>
      <c r="L670" s="10">
        <f>Tabla156798[[#This Row],[COMISION AGENCIA]]*0.05</f>
        <v>20.900000000000002</v>
      </c>
      <c r="M670" s="7"/>
      <c r="N670" s="7" t="s">
        <v>3008</v>
      </c>
      <c r="O670" s="7" t="s">
        <v>47</v>
      </c>
      <c r="P670" s="7"/>
    </row>
    <row r="671" spans="1:16" x14ac:dyDescent="0.25">
      <c r="A671" s="14">
        <v>45037</v>
      </c>
      <c r="B671" s="14">
        <v>45037</v>
      </c>
      <c r="C671" s="6">
        <v>45037</v>
      </c>
      <c r="D671" s="6">
        <v>45062</v>
      </c>
      <c r="E671" s="7"/>
      <c r="F671" s="115">
        <v>24565</v>
      </c>
      <c r="G671" s="8" t="s">
        <v>2996</v>
      </c>
      <c r="H671" s="8" t="s">
        <v>1558</v>
      </c>
      <c r="I671" s="8">
        <v>3000</v>
      </c>
      <c r="J671" s="8">
        <v>3720</v>
      </c>
      <c r="K671" s="9">
        <f>Tabla156798[[#This Row],[PRECIO CLIENTE]]-Tabla156798[[#This Row],[CANTIDAD PUBLICA]]</f>
        <v>720</v>
      </c>
      <c r="L671" s="10">
        <f>Tabla156798[[#This Row],[COMISION AGENCIA]]*0.05</f>
        <v>36</v>
      </c>
      <c r="M671" s="7"/>
      <c r="N671" s="7" t="s">
        <v>3009</v>
      </c>
      <c r="O671" s="7" t="s">
        <v>47</v>
      </c>
      <c r="P671" s="7"/>
    </row>
    <row r="672" spans="1:16" x14ac:dyDescent="0.25">
      <c r="A672" s="14">
        <v>45037</v>
      </c>
      <c r="B672" s="14">
        <v>45037</v>
      </c>
      <c r="C672" s="6">
        <v>45037</v>
      </c>
      <c r="D672" s="6">
        <v>45050</v>
      </c>
      <c r="E672" s="7"/>
      <c r="F672" s="115">
        <v>24574</v>
      </c>
      <c r="G672" s="8" t="s">
        <v>1591</v>
      </c>
      <c r="H672" s="8" t="s">
        <v>2037</v>
      </c>
      <c r="I672" s="8">
        <v>3100</v>
      </c>
      <c r="J672" s="8">
        <v>3475</v>
      </c>
      <c r="K672" s="9">
        <f>Tabla156798[[#This Row],[PRECIO CLIENTE]]-Tabla156798[[#This Row],[CANTIDAD PUBLICA]]</f>
        <v>375</v>
      </c>
      <c r="L672" s="10">
        <f>Tabla156798[[#This Row],[COMISION AGENCIA]]*0.05</f>
        <v>18.75</v>
      </c>
      <c r="M672" s="7"/>
      <c r="N672" s="7" t="s">
        <v>3010</v>
      </c>
      <c r="O672" s="7" t="s">
        <v>47</v>
      </c>
      <c r="P672" s="7"/>
    </row>
    <row r="673" spans="1:16" x14ac:dyDescent="0.25">
      <c r="A673" s="14">
        <v>45037</v>
      </c>
      <c r="B673" s="14">
        <v>45037</v>
      </c>
      <c r="C673" s="6">
        <v>45037</v>
      </c>
      <c r="D673" s="6">
        <v>45054</v>
      </c>
      <c r="E673" s="6">
        <v>45057</v>
      </c>
      <c r="F673" s="115">
        <v>24560</v>
      </c>
      <c r="G673" s="8" t="s">
        <v>3011</v>
      </c>
      <c r="H673" s="8" t="s">
        <v>1602</v>
      </c>
      <c r="I673" s="8">
        <v>8200</v>
      </c>
      <c r="J673" s="8">
        <v>7135</v>
      </c>
      <c r="K673" s="9">
        <f>Tabla156798[[#This Row],[CANTIDAD PUBLICA]]*0.05</f>
        <v>410</v>
      </c>
      <c r="L673" s="10">
        <f>Tabla156798[[#This Row],[COMISION AGENCIA]]*0.05</f>
        <v>20.5</v>
      </c>
      <c r="M673" s="7">
        <v>3481241901</v>
      </c>
      <c r="N673" s="7" t="s">
        <v>3012</v>
      </c>
      <c r="O673" s="7" t="s">
        <v>6</v>
      </c>
      <c r="P673" s="7"/>
    </row>
    <row r="674" spans="1:16" x14ac:dyDescent="0.25">
      <c r="A674" s="14">
        <f>Tabla156798[[#This Row],[FECHA IN]]-15</f>
        <v>45038</v>
      </c>
      <c r="B674" s="14">
        <v>45037</v>
      </c>
      <c r="C674" s="6">
        <v>45244</v>
      </c>
      <c r="D674" s="6">
        <v>45053</v>
      </c>
      <c r="E674" s="6">
        <v>45057</v>
      </c>
      <c r="F674" s="115" t="s">
        <v>3013</v>
      </c>
      <c r="G674" s="8" t="s">
        <v>3014</v>
      </c>
      <c r="H674" s="8" t="s">
        <v>1539</v>
      </c>
      <c r="I674" s="66">
        <v>2400</v>
      </c>
      <c r="J674" s="8">
        <v>2400</v>
      </c>
      <c r="K674" s="9">
        <f>Tabla156798[[#This Row],[CANTIDAD PUBLICA]]*AGENTES!D10</f>
        <v>480</v>
      </c>
      <c r="L674" s="10">
        <f>Tabla156798[[#This Row],[COMISION AGENCIA]]*0.05</f>
        <v>24</v>
      </c>
      <c r="M674" s="7">
        <v>3781135745</v>
      </c>
      <c r="N674" s="7"/>
      <c r="O674" s="7" t="s">
        <v>12</v>
      </c>
      <c r="P674" s="7"/>
    </row>
    <row r="675" spans="1:16" x14ac:dyDescent="0.25">
      <c r="A675" s="14">
        <f>Tabla156798[[#This Row],[FECHA IN]]-15</f>
        <v>45038</v>
      </c>
      <c r="B675" s="14">
        <v>45037</v>
      </c>
      <c r="C675" s="6">
        <v>45244</v>
      </c>
      <c r="D675" s="6">
        <v>45053</v>
      </c>
      <c r="E675" s="6">
        <v>45057</v>
      </c>
      <c r="F675" s="115" t="s">
        <v>3013</v>
      </c>
      <c r="G675" s="8" t="s">
        <v>3014</v>
      </c>
      <c r="H675" s="8" t="s">
        <v>2129</v>
      </c>
      <c r="I675" s="66">
        <v>18877.759999999998</v>
      </c>
      <c r="J675" s="8">
        <v>16425</v>
      </c>
      <c r="K675" s="9">
        <f>Tabla156798[[#This Row],[CANTIDAD PUBLICA]]*0.05</f>
        <v>943.88799999999992</v>
      </c>
      <c r="L675" s="10">
        <f>Tabla156798[[#This Row],[COMISION AGENCIA]]*0.05</f>
        <v>47.194400000000002</v>
      </c>
      <c r="M675" s="7">
        <v>3781135745</v>
      </c>
      <c r="N675" s="7" t="s">
        <v>3015</v>
      </c>
      <c r="O675" s="7" t="s">
        <v>6</v>
      </c>
      <c r="P675" s="7"/>
    </row>
    <row r="676" spans="1:16" x14ac:dyDescent="0.25">
      <c r="A676" s="14">
        <f>Tabla156798[[#This Row],[FECHA IN]]-15</f>
        <v>45038</v>
      </c>
      <c r="B676" s="14">
        <v>45035</v>
      </c>
      <c r="C676" s="6">
        <v>44960</v>
      </c>
      <c r="D676" s="6">
        <v>45053</v>
      </c>
      <c r="E676" s="6">
        <v>45057</v>
      </c>
      <c r="F676" s="115" t="s">
        <v>3016</v>
      </c>
      <c r="G676" s="8" t="s">
        <v>3017</v>
      </c>
      <c r="H676" s="8" t="s">
        <v>2155</v>
      </c>
      <c r="I676" s="8">
        <v>18332.830000000002</v>
      </c>
      <c r="J676" s="8">
        <v>15950</v>
      </c>
      <c r="K676" s="9">
        <f>Tabla156798[[#This Row],[CANTIDAD PUBLICA]]*0.05</f>
        <v>916.64150000000018</v>
      </c>
      <c r="L676" s="10">
        <f>Tabla156798[[#This Row],[COMISION AGENCIA]]*0.05</f>
        <v>45.83207500000001</v>
      </c>
      <c r="M676" s="7">
        <v>3487899910</v>
      </c>
      <c r="N676" s="7" t="s">
        <v>3018</v>
      </c>
      <c r="O676" s="7" t="s">
        <v>6</v>
      </c>
      <c r="P676" s="7"/>
    </row>
    <row r="677" spans="1:16" x14ac:dyDescent="0.25">
      <c r="A677" s="14">
        <v>45039</v>
      </c>
      <c r="B677" s="14">
        <v>45039</v>
      </c>
      <c r="C677" s="6">
        <v>45039</v>
      </c>
      <c r="D677" s="6">
        <v>45062</v>
      </c>
      <c r="E677" s="7"/>
      <c r="F677" s="115">
        <v>24593</v>
      </c>
      <c r="G677" s="8" t="s">
        <v>3019</v>
      </c>
      <c r="H677" s="8" t="s">
        <v>1788</v>
      </c>
      <c r="I677" s="8">
        <v>7756</v>
      </c>
      <c r="J677" s="8">
        <v>9460</v>
      </c>
      <c r="K677" s="9">
        <f>Tabla156798[[#This Row],[PRECIO CLIENTE]]-Tabla156798[[#This Row],[CANTIDAD PUBLICA]]</f>
        <v>1704</v>
      </c>
      <c r="L677" s="10">
        <f>Tabla156798[[#This Row],[COMISION AGENCIA]]*0.05</f>
        <v>85.2</v>
      </c>
      <c r="M677" s="7"/>
      <c r="N677" s="7" t="s">
        <v>3020</v>
      </c>
      <c r="O677" s="7" t="s">
        <v>47</v>
      </c>
      <c r="P677" s="7"/>
    </row>
    <row r="678" spans="1:16" x14ac:dyDescent="0.25">
      <c r="A678" s="14">
        <v>45040</v>
      </c>
      <c r="B678" s="14">
        <v>45040</v>
      </c>
      <c r="C678" s="6">
        <v>45036</v>
      </c>
      <c r="D678" s="6">
        <v>41401</v>
      </c>
      <c r="E678" s="6">
        <v>45057</v>
      </c>
      <c r="F678" s="115">
        <v>24558</v>
      </c>
      <c r="G678" s="8" t="s">
        <v>3021</v>
      </c>
      <c r="H678" s="8" t="s">
        <v>1703</v>
      </c>
      <c r="I678" s="8">
        <v>15787.5</v>
      </c>
      <c r="J678" s="8">
        <v>13735</v>
      </c>
      <c r="K678" s="9">
        <f>Tabla156798[[#This Row],[CANTIDAD PUBLICA]]*0.05</f>
        <v>789.375</v>
      </c>
      <c r="L678" s="10">
        <f>Tabla156798[[#This Row],[COMISION AGENCIA]]*0.05</f>
        <v>39.46875</v>
      </c>
      <c r="M678" s="7">
        <v>3481216085</v>
      </c>
      <c r="N678" s="7" t="s">
        <v>3022</v>
      </c>
      <c r="O678" s="7" t="s">
        <v>6</v>
      </c>
      <c r="P678" s="7"/>
    </row>
    <row r="679" spans="1:16" x14ac:dyDescent="0.25">
      <c r="A679" s="14">
        <v>45040</v>
      </c>
      <c r="B679" s="14">
        <v>45040</v>
      </c>
      <c r="C679" s="6">
        <v>45036</v>
      </c>
      <c r="D679" s="6">
        <v>41401</v>
      </c>
      <c r="E679" s="6">
        <v>45057</v>
      </c>
      <c r="F679" s="115">
        <v>24558</v>
      </c>
      <c r="G679" s="8" t="s">
        <v>3021</v>
      </c>
      <c r="H679" s="8" t="s">
        <v>1539</v>
      </c>
      <c r="I679" s="8">
        <v>3300</v>
      </c>
      <c r="J679" s="8">
        <v>3300</v>
      </c>
      <c r="K679" s="9">
        <f>Tabla156798[[#This Row],[CANTIDAD PUBLICA]]*AGENTES!D10</f>
        <v>660</v>
      </c>
      <c r="L679" s="10">
        <f>Tabla156798[[#This Row],[COMISION AGENCIA]]*0.05</f>
        <v>33</v>
      </c>
      <c r="M679" s="7">
        <v>3481216085</v>
      </c>
      <c r="N679" s="7"/>
      <c r="O679" s="7" t="s">
        <v>12</v>
      </c>
      <c r="P679" s="7"/>
    </row>
    <row r="680" spans="1:16" x14ac:dyDescent="0.25">
      <c r="A680" s="14">
        <v>45040</v>
      </c>
      <c r="B680" s="14">
        <v>45040</v>
      </c>
      <c r="C680" s="18">
        <v>45040</v>
      </c>
      <c r="D680" s="6">
        <v>45044</v>
      </c>
      <c r="E680" s="6">
        <v>45048</v>
      </c>
      <c r="F680" s="115">
        <v>24596</v>
      </c>
      <c r="G680" s="8" t="s">
        <v>3023</v>
      </c>
      <c r="H680" s="8" t="s">
        <v>1703</v>
      </c>
      <c r="I680" s="8">
        <v>19524</v>
      </c>
      <c r="J680" s="8">
        <v>17875</v>
      </c>
      <c r="K680" s="9">
        <f>(Tabla156798[[#This Row],[CANTIDAD PUBLICA]]*0.05)+300</f>
        <v>1276.2</v>
      </c>
      <c r="L680" s="10">
        <f>Tabla156798[[#This Row],[COMISION AGENCIA]]*0.05</f>
        <v>63.81</v>
      </c>
      <c r="M680" s="7">
        <v>3333704758</v>
      </c>
      <c r="N680" s="7">
        <v>10722022</v>
      </c>
      <c r="O680" s="7" t="s">
        <v>5</v>
      </c>
      <c r="P680" s="7" t="s">
        <v>3024</v>
      </c>
    </row>
    <row r="681" spans="1:16" x14ac:dyDescent="0.25">
      <c r="A681" s="14">
        <v>45040</v>
      </c>
      <c r="B681" s="14">
        <v>45040</v>
      </c>
      <c r="C681" s="6">
        <v>45040</v>
      </c>
      <c r="D681" s="6">
        <v>45214</v>
      </c>
      <c r="E681" s="6">
        <v>45218</v>
      </c>
      <c r="F681" s="115">
        <v>24828</v>
      </c>
      <c r="G681" s="8" t="s">
        <v>3025</v>
      </c>
      <c r="H681" s="8" t="s">
        <v>2286</v>
      </c>
      <c r="I681" s="8">
        <v>3792</v>
      </c>
      <c r="J681" s="8">
        <v>4560</v>
      </c>
      <c r="K681" s="9">
        <f>Tabla156798[[#This Row],[PRECIO CLIENTE]]-Tabla156798[[#This Row],[CANTIDAD PUBLICA]]</f>
        <v>768</v>
      </c>
      <c r="L681" s="10">
        <f>Tabla156798[[#This Row],[COMISION AGENCIA]]*0.05</f>
        <v>38.400000000000006</v>
      </c>
      <c r="M681" s="7"/>
      <c r="N681" s="7" t="s">
        <v>3026</v>
      </c>
      <c r="O681" s="7" t="s">
        <v>47</v>
      </c>
      <c r="P681" s="7"/>
    </row>
    <row r="682" spans="1:16" x14ac:dyDescent="0.25">
      <c r="A682" s="14">
        <v>45040</v>
      </c>
      <c r="B682" s="14">
        <v>45040</v>
      </c>
      <c r="C682" s="6">
        <v>45040</v>
      </c>
      <c r="D682" s="6">
        <v>45073</v>
      </c>
      <c r="E682" s="6">
        <v>45080</v>
      </c>
      <c r="F682" s="115">
        <v>24604</v>
      </c>
      <c r="G682" s="8" t="s">
        <v>3027</v>
      </c>
      <c r="H682" s="8" t="s">
        <v>1532</v>
      </c>
      <c r="I682" s="8">
        <v>30810</v>
      </c>
      <c r="J682" s="8">
        <v>33720</v>
      </c>
      <c r="K682" s="9">
        <f>Tabla156798[[#This Row],[PRECIO CLIENTE]]-Tabla156798[[#This Row],[CANTIDAD PUBLICA]]</f>
        <v>2910</v>
      </c>
      <c r="L682" s="10">
        <f>Tabla156798[[#This Row],[COMISION AGENCIA]]*0.05</f>
        <v>145.5</v>
      </c>
      <c r="M682" s="7"/>
      <c r="N682" s="7" t="s">
        <v>3028</v>
      </c>
      <c r="O682" s="7" t="s">
        <v>47</v>
      </c>
      <c r="P682" s="7"/>
    </row>
    <row r="683" spans="1:16" x14ac:dyDescent="0.25">
      <c r="A683" s="14">
        <v>45040</v>
      </c>
      <c r="B683" s="14">
        <v>45040</v>
      </c>
      <c r="C683" s="6">
        <v>45040</v>
      </c>
      <c r="D683" s="6">
        <v>45045</v>
      </c>
      <c r="E683" s="6">
        <v>45047</v>
      </c>
      <c r="F683" s="115">
        <v>24624</v>
      </c>
      <c r="G683" s="8" t="s">
        <v>3029</v>
      </c>
      <c r="H683" s="8" t="s">
        <v>3030</v>
      </c>
      <c r="I683" s="8">
        <v>2688</v>
      </c>
      <c r="J683" s="8">
        <v>2935</v>
      </c>
      <c r="K683" s="9">
        <f>Tabla156798[[#This Row],[PRECIO CLIENTE]]-Tabla156798[[#This Row],[CANTIDAD PUBLICA]]</f>
        <v>247</v>
      </c>
      <c r="L683" s="10">
        <f>Tabla156798[[#This Row],[COMISION AGENCIA]]*0.05</f>
        <v>12.350000000000001</v>
      </c>
      <c r="M683" s="7"/>
      <c r="N683" s="7" t="s">
        <v>3031</v>
      </c>
      <c r="O683" s="7" t="s">
        <v>47</v>
      </c>
      <c r="P683" s="7"/>
    </row>
    <row r="684" spans="1:16" x14ac:dyDescent="0.25">
      <c r="A684" s="14">
        <v>45040</v>
      </c>
      <c r="B684" s="14">
        <v>45040</v>
      </c>
      <c r="C684" s="6">
        <v>45040</v>
      </c>
      <c r="D684" s="6">
        <v>45070</v>
      </c>
      <c r="E684" s="6">
        <v>45075</v>
      </c>
      <c r="F684" s="115">
        <v>24607</v>
      </c>
      <c r="G684" s="8" t="s">
        <v>3032</v>
      </c>
      <c r="H684" s="8" t="s">
        <v>2571</v>
      </c>
      <c r="I684" s="8">
        <v>6966</v>
      </c>
      <c r="J684" s="8">
        <v>8115</v>
      </c>
      <c r="K684" s="9">
        <f>Tabla156798[[#This Row],[PRECIO CLIENTE]]-Tabla156798[[#This Row],[CANTIDAD PUBLICA]]</f>
        <v>1149</v>
      </c>
      <c r="L684" s="10">
        <f>Tabla156798[[#This Row],[COMISION AGENCIA]]*0.05</f>
        <v>57.45</v>
      </c>
      <c r="M684" s="7"/>
      <c r="N684" s="7" t="s">
        <v>3033</v>
      </c>
      <c r="O684" s="7" t="s">
        <v>47</v>
      </c>
      <c r="P684" s="7"/>
    </row>
    <row r="685" spans="1:16" x14ac:dyDescent="0.25">
      <c r="A685" s="14">
        <v>45040</v>
      </c>
      <c r="B685" s="14">
        <v>45040</v>
      </c>
      <c r="C685" s="6">
        <v>45040</v>
      </c>
      <c r="D685" s="6">
        <v>45070</v>
      </c>
      <c r="E685" s="6">
        <v>45075</v>
      </c>
      <c r="F685" s="115">
        <v>24609</v>
      </c>
      <c r="G685" s="8" t="s">
        <v>3034</v>
      </c>
      <c r="H685" s="8" t="s">
        <v>1805</v>
      </c>
      <c r="I685" s="8">
        <v>1466</v>
      </c>
      <c r="J685" s="8">
        <v>1835</v>
      </c>
      <c r="K685" s="9">
        <f>Tabla156798[[#This Row],[PRECIO CLIENTE]]-Tabla156798[[#This Row],[CANTIDAD PUBLICA]]</f>
        <v>369</v>
      </c>
      <c r="L685" s="10">
        <f>Tabla156798[[#This Row],[COMISION AGENCIA]]*0.05</f>
        <v>18.45</v>
      </c>
      <c r="M685" s="7"/>
      <c r="N685" s="7" t="s">
        <v>3035</v>
      </c>
      <c r="O685" s="7" t="s">
        <v>47</v>
      </c>
      <c r="P685" s="7"/>
    </row>
    <row r="686" spans="1:16" x14ac:dyDescent="0.25">
      <c r="A686" s="14">
        <v>45041</v>
      </c>
      <c r="B686" s="14">
        <v>45041</v>
      </c>
      <c r="C686" s="6">
        <v>45041</v>
      </c>
      <c r="D686" s="6">
        <v>45044</v>
      </c>
      <c r="E686" s="7"/>
      <c r="F686" s="115">
        <v>24615</v>
      </c>
      <c r="G686" s="8" t="s">
        <v>3036</v>
      </c>
      <c r="H686" s="8" t="s">
        <v>2724</v>
      </c>
      <c r="I686" s="8">
        <v>2798</v>
      </c>
      <c r="J686" s="8">
        <v>3155</v>
      </c>
      <c r="K686" s="9">
        <f>Tabla156798[[#This Row],[PRECIO CLIENTE]]-Tabla156798[[#This Row],[CANTIDAD PUBLICA]]</f>
        <v>357</v>
      </c>
      <c r="L686" s="10">
        <f>Tabla156798[[#This Row],[COMISION AGENCIA]]*0.05</f>
        <v>17.850000000000001</v>
      </c>
      <c r="M686" s="7"/>
      <c r="N686" s="7" t="s">
        <v>3037</v>
      </c>
      <c r="O686" s="7" t="s">
        <v>47</v>
      </c>
      <c r="P686" s="7"/>
    </row>
    <row r="687" spans="1:16" x14ac:dyDescent="0.25">
      <c r="A687" s="14">
        <v>45041</v>
      </c>
      <c r="B687" s="14">
        <v>45041</v>
      </c>
      <c r="C687" s="6">
        <v>45041</v>
      </c>
      <c r="D687" s="6">
        <v>45057</v>
      </c>
      <c r="E687" s="7"/>
      <c r="F687" s="115">
        <v>24620</v>
      </c>
      <c r="G687" s="8" t="s">
        <v>3038</v>
      </c>
      <c r="H687" s="8" t="s">
        <v>3039</v>
      </c>
      <c r="I687" s="8">
        <v>897</v>
      </c>
      <c r="J687" s="8">
        <v>1240</v>
      </c>
      <c r="K687" s="9">
        <f>Tabla156798[[#This Row],[PRECIO CLIENTE]]-Tabla156798[[#This Row],[CANTIDAD PUBLICA]]</f>
        <v>343</v>
      </c>
      <c r="L687" s="10">
        <f>Tabla156798[[#This Row],[COMISION AGENCIA]]*0.05</f>
        <v>17.150000000000002</v>
      </c>
      <c r="M687" s="7"/>
      <c r="N687" s="7" t="s">
        <v>3040</v>
      </c>
      <c r="O687" s="7" t="s">
        <v>47</v>
      </c>
      <c r="P687" s="7"/>
    </row>
    <row r="688" spans="1:16" x14ac:dyDescent="0.25">
      <c r="A688" s="14">
        <v>45041</v>
      </c>
      <c r="B688" s="14">
        <v>45041</v>
      </c>
      <c r="C688" s="6">
        <v>45041</v>
      </c>
      <c r="D688" s="6">
        <v>45044</v>
      </c>
      <c r="E688" s="7"/>
      <c r="F688" s="115">
        <v>24633</v>
      </c>
      <c r="G688" s="8" t="s">
        <v>3041</v>
      </c>
      <c r="H688" s="8" t="s">
        <v>1955</v>
      </c>
      <c r="I688" s="8">
        <v>2917</v>
      </c>
      <c r="J688" s="8">
        <v>3280</v>
      </c>
      <c r="K688" s="9">
        <f>Tabla156798[[#This Row],[PRECIO CLIENTE]]-Tabla156798[[#This Row],[CANTIDAD PUBLICA]]</f>
        <v>363</v>
      </c>
      <c r="L688" s="10">
        <f>Tabla156798[[#This Row],[COMISION AGENCIA]]*0.05</f>
        <v>18.150000000000002</v>
      </c>
      <c r="M688" s="7"/>
      <c r="N688" s="7" t="s">
        <v>3042</v>
      </c>
      <c r="O688" s="7" t="s">
        <v>47</v>
      </c>
      <c r="P688" s="7"/>
    </row>
    <row r="689" spans="1:16" x14ac:dyDescent="0.25">
      <c r="A689" s="14">
        <v>45042</v>
      </c>
      <c r="B689" s="14">
        <v>45042</v>
      </c>
      <c r="C689" s="6">
        <v>45042</v>
      </c>
      <c r="D689" s="6">
        <v>45043</v>
      </c>
      <c r="E689" s="6">
        <v>45044</v>
      </c>
      <c r="F689" s="115" t="s">
        <v>2703</v>
      </c>
      <c r="G689" s="8" t="s">
        <v>2704</v>
      </c>
      <c r="H689" s="8" t="s">
        <v>1544</v>
      </c>
      <c r="I689" s="8">
        <v>10588</v>
      </c>
      <c r="J689" s="8">
        <v>11560</v>
      </c>
      <c r="K689" s="9">
        <f>Tabla156798[[#This Row],[PRECIO CLIENTE]]-Tabla156798[[#This Row],[CANTIDAD PUBLICA]]</f>
        <v>972</v>
      </c>
      <c r="L689" s="10">
        <f>Tabla156798[[#This Row],[COMISION AGENCIA]]*0.05</f>
        <v>48.6</v>
      </c>
      <c r="M689" s="7"/>
      <c r="N689" s="7" t="s">
        <v>3043</v>
      </c>
      <c r="O689" s="7" t="s">
        <v>47</v>
      </c>
      <c r="P689" s="7"/>
    </row>
    <row r="690" spans="1:16" x14ac:dyDescent="0.25">
      <c r="A690" s="14">
        <v>45043</v>
      </c>
      <c r="B690" s="14">
        <v>45043</v>
      </c>
      <c r="C690" s="6">
        <v>45043</v>
      </c>
      <c r="D690" s="6">
        <v>45044</v>
      </c>
      <c r="E690" s="7"/>
      <c r="F690" s="115">
        <v>24662</v>
      </c>
      <c r="G690" s="8" t="s">
        <v>3044</v>
      </c>
      <c r="H690" s="8" t="s">
        <v>1625</v>
      </c>
      <c r="I690" s="8">
        <v>1944</v>
      </c>
      <c r="J690" s="8">
        <v>2275</v>
      </c>
      <c r="K690" s="9">
        <f>Tabla156798[[#This Row],[PRECIO CLIENTE]]-Tabla156798[[#This Row],[CANTIDAD PUBLICA]]</f>
        <v>331</v>
      </c>
      <c r="L690" s="10">
        <f>Tabla156798[[#This Row],[COMISION AGENCIA]]*0.05</f>
        <v>16.55</v>
      </c>
      <c r="M690" s="7"/>
      <c r="N690" s="7" t="s">
        <v>3045</v>
      </c>
      <c r="O690" s="7" t="s">
        <v>47</v>
      </c>
      <c r="P690" s="7"/>
    </row>
    <row r="691" spans="1:16" x14ac:dyDescent="0.25">
      <c r="A691" s="14">
        <v>45043</v>
      </c>
      <c r="B691" s="14">
        <v>45043</v>
      </c>
      <c r="C691" s="6">
        <v>45043</v>
      </c>
      <c r="D691" s="6">
        <v>45044</v>
      </c>
      <c r="E691" s="7"/>
      <c r="F691" s="115" t="s">
        <v>3046</v>
      </c>
      <c r="G691" s="8" t="s">
        <v>3047</v>
      </c>
      <c r="H691" s="8" t="s">
        <v>1532</v>
      </c>
      <c r="I691" s="8">
        <v>7322</v>
      </c>
      <c r="J691" s="8">
        <v>8300</v>
      </c>
      <c r="K691" s="9">
        <f>Tabla156798[[#This Row],[PRECIO CLIENTE]]-Tabla156798[[#This Row],[CANTIDAD PUBLICA]]</f>
        <v>978</v>
      </c>
      <c r="L691" s="10">
        <f>Tabla156798[[#This Row],[COMISION AGENCIA]]*0.05</f>
        <v>48.900000000000006</v>
      </c>
      <c r="M691" s="7"/>
      <c r="N691" s="7" t="s">
        <v>3048</v>
      </c>
      <c r="O691" s="7" t="s">
        <v>47</v>
      </c>
      <c r="P691" s="7"/>
    </row>
    <row r="692" spans="1:16" x14ac:dyDescent="0.25">
      <c r="A692" s="14">
        <v>45043</v>
      </c>
      <c r="B692" s="14">
        <v>45043</v>
      </c>
      <c r="C692" s="6">
        <v>45043</v>
      </c>
      <c r="D692" s="6">
        <v>45202</v>
      </c>
      <c r="E692" s="6">
        <v>45207</v>
      </c>
      <c r="F692" s="115">
        <v>24656</v>
      </c>
      <c r="G692" s="8" t="s">
        <v>3049</v>
      </c>
      <c r="H692" s="8" t="s">
        <v>1290</v>
      </c>
      <c r="I692" s="8">
        <v>15812</v>
      </c>
      <c r="J692" s="8">
        <v>17600</v>
      </c>
      <c r="K692" s="9">
        <f>Tabla156798[[#This Row],[PRECIO CLIENTE]]-Tabla156798[[#This Row],[CANTIDAD PUBLICA]]</f>
        <v>1788</v>
      </c>
      <c r="L692" s="10">
        <f>Tabla156798[[#This Row],[COMISION AGENCIA]]*0.05</f>
        <v>89.4</v>
      </c>
      <c r="M692" s="7"/>
      <c r="N692" s="7" t="s">
        <v>3050</v>
      </c>
      <c r="O692" s="7" t="s">
        <v>47</v>
      </c>
      <c r="P692" s="7"/>
    </row>
    <row r="693" spans="1:16" x14ac:dyDescent="0.25">
      <c r="A693" s="14">
        <v>45043</v>
      </c>
      <c r="B693" s="14">
        <v>45043</v>
      </c>
      <c r="C693" s="6">
        <v>45043</v>
      </c>
      <c r="D693" s="6">
        <v>45050</v>
      </c>
      <c r="E693" s="7"/>
      <c r="F693" s="115">
        <v>24667</v>
      </c>
      <c r="G693" s="8" t="s">
        <v>3051</v>
      </c>
      <c r="H693" s="8" t="s">
        <v>1861</v>
      </c>
      <c r="I693" s="8">
        <v>900</v>
      </c>
      <c r="J693" s="8">
        <v>900</v>
      </c>
      <c r="K693" s="9">
        <v>900</v>
      </c>
      <c r="L693" s="10">
        <f>Tabla156798[[#This Row],[COMISION AGENCIA]]*0.05</f>
        <v>45</v>
      </c>
      <c r="M693" s="7"/>
      <c r="N693" s="7" t="s">
        <v>3052</v>
      </c>
      <c r="O693" s="7" t="s">
        <v>47</v>
      </c>
      <c r="P693" s="7"/>
    </row>
    <row r="694" spans="1:16" x14ac:dyDescent="0.25">
      <c r="A694" s="14">
        <v>45043</v>
      </c>
      <c r="B694" s="14">
        <v>45043</v>
      </c>
      <c r="C694" s="6">
        <v>45043</v>
      </c>
      <c r="D694" s="6">
        <v>45054</v>
      </c>
      <c r="E694" s="6">
        <v>45057</v>
      </c>
      <c r="F694" s="115">
        <v>24666</v>
      </c>
      <c r="G694" s="8" t="s">
        <v>3053</v>
      </c>
      <c r="H694" s="8" t="s">
        <v>2181</v>
      </c>
      <c r="I694" s="8">
        <v>13475.42</v>
      </c>
      <c r="J694" s="8">
        <v>11725</v>
      </c>
      <c r="K694" s="9">
        <f>Tabla156798[[#This Row],[CANTIDAD PUBLICA]]*0.05</f>
        <v>673.77100000000007</v>
      </c>
      <c r="L694" s="10">
        <f>Tabla156798[[#This Row],[COMISION AGENCIA]]*0.05</f>
        <v>33.688550000000006</v>
      </c>
      <c r="M694" s="7">
        <v>3481482408</v>
      </c>
      <c r="N694" s="7" t="s">
        <v>3054</v>
      </c>
      <c r="O694" s="7" t="s">
        <v>6</v>
      </c>
      <c r="P694" s="7"/>
    </row>
    <row r="695" spans="1:16" x14ac:dyDescent="0.25">
      <c r="A695" s="14">
        <v>45044</v>
      </c>
      <c r="B695" s="14">
        <v>45044</v>
      </c>
      <c r="C695" s="6">
        <v>45044</v>
      </c>
      <c r="D695" s="6">
        <v>45047</v>
      </c>
      <c r="E695" s="7"/>
      <c r="F695" s="115">
        <v>24673</v>
      </c>
      <c r="G695" s="8" t="s">
        <v>3055</v>
      </c>
      <c r="H695" s="8" t="s">
        <v>2002</v>
      </c>
      <c r="I695" s="8">
        <v>5747</v>
      </c>
      <c r="J695" s="8">
        <v>6640</v>
      </c>
      <c r="K695" s="9">
        <f>Tabla156798[[#This Row],[PRECIO CLIENTE]]-Tabla156798[[#This Row],[CANTIDAD PUBLICA]]</f>
        <v>893</v>
      </c>
      <c r="L695" s="10">
        <f>Tabla156798[[#This Row],[COMISION AGENCIA]]*0.05</f>
        <v>44.650000000000006</v>
      </c>
      <c r="M695" s="7"/>
      <c r="N695" s="7" t="s">
        <v>3056</v>
      </c>
      <c r="O695" s="7" t="s">
        <v>47</v>
      </c>
      <c r="P695" s="7"/>
    </row>
    <row r="696" spans="1:16" x14ac:dyDescent="0.25">
      <c r="A696" s="14">
        <v>45044</v>
      </c>
      <c r="B696" s="14">
        <v>45044</v>
      </c>
      <c r="C696" s="6">
        <v>45044</v>
      </c>
      <c r="D696" s="6">
        <v>45273</v>
      </c>
      <c r="E696" s="6">
        <v>45274</v>
      </c>
      <c r="F696" s="115">
        <v>24877</v>
      </c>
      <c r="G696" s="8" t="s">
        <v>3057</v>
      </c>
      <c r="H696" s="8" t="s">
        <v>1625</v>
      </c>
      <c r="I696" s="8">
        <v>4782</v>
      </c>
      <c r="J696" s="8">
        <v>5260</v>
      </c>
      <c r="K696" s="9">
        <f>Tabla156798[[#This Row],[PRECIO CLIENTE]]-Tabla156798[[#This Row],[CANTIDAD PUBLICA]]</f>
        <v>478</v>
      </c>
      <c r="L696" s="10">
        <f>Tabla156798[[#This Row],[COMISION AGENCIA]]*0.05</f>
        <v>23.900000000000002</v>
      </c>
      <c r="M696" s="7">
        <v>3481112480</v>
      </c>
      <c r="N696" s="7" t="s">
        <v>3058</v>
      </c>
      <c r="O696" s="7" t="s">
        <v>47</v>
      </c>
      <c r="P696" s="7"/>
    </row>
    <row r="697" spans="1:16" x14ac:dyDescent="0.25">
      <c r="A697" s="14">
        <v>45044</v>
      </c>
      <c r="B697" s="14">
        <v>45044</v>
      </c>
      <c r="C697" s="6">
        <v>45044</v>
      </c>
      <c r="D697" s="6">
        <v>45033</v>
      </c>
      <c r="E697" s="6">
        <v>45034</v>
      </c>
      <c r="F697" s="115">
        <v>24877</v>
      </c>
      <c r="G697" s="8" t="s">
        <v>3059</v>
      </c>
      <c r="H697" s="8" t="s">
        <v>1625</v>
      </c>
      <c r="I697" s="8">
        <v>6178</v>
      </c>
      <c r="J697" s="8">
        <v>6840</v>
      </c>
      <c r="K697" s="9">
        <f>Tabla156798[[#This Row],[PRECIO CLIENTE]]-Tabla156798[[#This Row],[CANTIDAD PUBLICA]]</f>
        <v>662</v>
      </c>
      <c r="L697" s="10">
        <f>Tabla156798[[#This Row],[COMISION AGENCIA]]*0.05</f>
        <v>33.1</v>
      </c>
      <c r="M697" s="7">
        <v>3481112480</v>
      </c>
      <c r="N697" s="7" t="s">
        <v>3060</v>
      </c>
      <c r="O697" s="7" t="s">
        <v>47</v>
      </c>
      <c r="P697" s="7"/>
    </row>
    <row r="698" spans="1:16" x14ac:dyDescent="0.25">
      <c r="A698" s="14">
        <f>Tabla156798[[#This Row],[FECHA IN]]-15</f>
        <v>45046</v>
      </c>
      <c r="B698" s="14">
        <v>44953</v>
      </c>
      <c r="C698" s="6">
        <v>44942</v>
      </c>
      <c r="D698" s="6">
        <v>45061</v>
      </c>
      <c r="E698" s="6">
        <v>45064</v>
      </c>
      <c r="F698" s="115">
        <v>23244</v>
      </c>
      <c r="G698" s="8" t="s">
        <v>3061</v>
      </c>
      <c r="H698" s="8" t="s">
        <v>1795</v>
      </c>
      <c r="I698" s="8">
        <v>10422</v>
      </c>
      <c r="J698" s="8">
        <v>9070</v>
      </c>
      <c r="K698" s="9">
        <f>Tabla156798[[#This Row],[CANTIDAD PUBLICA]]*0.05</f>
        <v>521.1</v>
      </c>
      <c r="L698" s="10">
        <f>Tabla156798[[#This Row],[COMISION AGENCIA]]*0.05</f>
        <v>26.055000000000003</v>
      </c>
      <c r="M698" s="7">
        <v>4776317594</v>
      </c>
      <c r="N698" s="7" t="s">
        <v>3062</v>
      </c>
      <c r="O698" s="7" t="s">
        <v>6</v>
      </c>
      <c r="P698" s="7"/>
    </row>
    <row r="699" spans="1:16" x14ac:dyDescent="0.25">
      <c r="A699" s="14">
        <f>Tabla156798[[#This Row],[FECHA IN]]-15</f>
        <v>45046</v>
      </c>
      <c r="B699" s="14">
        <v>44967</v>
      </c>
      <c r="C699" s="6">
        <v>44964</v>
      </c>
      <c r="D699" s="6">
        <v>45061</v>
      </c>
      <c r="E699" s="6">
        <v>45064</v>
      </c>
      <c r="F699" s="115">
        <v>23492</v>
      </c>
      <c r="G699" s="8" t="s">
        <v>3063</v>
      </c>
      <c r="H699" s="8" t="s">
        <v>1795</v>
      </c>
      <c r="I699" s="8">
        <v>12055.5</v>
      </c>
      <c r="J699" s="8">
        <v>10490</v>
      </c>
      <c r="K699" s="9">
        <f>Tabla156798[[#This Row],[CANTIDAD PUBLICA]]*0.05</f>
        <v>602.77499999999998</v>
      </c>
      <c r="L699" s="10">
        <f>Tabla156798[[#This Row],[COMISION AGENCIA]]*0.05</f>
        <v>30.138750000000002</v>
      </c>
      <c r="M699" s="7">
        <v>4776317594</v>
      </c>
      <c r="N699" s="7" t="s">
        <v>3064</v>
      </c>
      <c r="O699" s="7" t="s">
        <v>6</v>
      </c>
      <c r="P699" s="7"/>
    </row>
    <row r="700" spans="1:16" x14ac:dyDescent="0.25">
      <c r="A700" s="21">
        <v>45046</v>
      </c>
      <c r="B700" s="21" t="s">
        <v>2230</v>
      </c>
      <c r="C700" s="21"/>
      <c r="D700" s="21"/>
      <c r="E700" s="21"/>
      <c r="F700" s="130"/>
      <c r="G700" s="131"/>
      <c r="H700" s="169"/>
      <c r="I700" s="131" t="s">
        <v>2569</v>
      </c>
      <c r="J700" s="131"/>
      <c r="K700" s="132">
        <f>SUM(K461:K699)</f>
        <v>251736.66050000003</v>
      </c>
      <c r="L700" s="132">
        <f>SUM(L461:L699)</f>
        <v>12586.833024999996</v>
      </c>
      <c r="M700" s="134"/>
      <c r="N700" s="134" t="s">
        <v>3065</v>
      </c>
      <c r="O700" s="134"/>
      <c r="P700" s="7"/>
    </row>
    <row r="701" spans="1:16" s="33" customFormat="1" x14ac:dyDescent="0.25">
      <c r="A701" s="14">
        <v>45047</v>
      </c>
      <c r="B701" s="14">
        <v>45047</v>
      </c>
      <c r="C701" s="67">
        <v>45047</v>
      </c>
      <c r="D701" s="67"/>
      <c r="E701" s="67"/>
      <c r="F701" s="76" t="s">
        <v>3066</v>
      </c>
      <c r="G701" s="76" t="s">
        <v>3066</v>
      </c>
      <c r="H701" s="76" t="s">
        <v>3066</v>
      </c>
      <c r="I701" s="76"/>
      <c r="J701" s="76"/>
      <c r="K701" s="178"/>
      <c r="L701" s="179">
        <v>90</v>
      </c>
      <c r="M701" s="34"/>
      <c r="N701" s="34"/>
      <c r="O701" s="34"/>
      <c r="P701" s="34"/>
    </row>
    <row r="702" spans="1:16" x14ac:dyDescent="0.25">
      <c r="A702" s="14">
        <v>45047</v>
      </c>
      <c r="B702" s="14">
        <v>45047</v>
      </c>
      <c r="C702" s="6">
        <v>45047</v>
      </c>
      <c r="D702" s="6">
        <v>45051</v>
      </c>
      <c r="E702" s="6">
        <v>45056</v>
      </c>
      <c r="F702" s="115">
        <v>24716</v>
      </c>
      <c r="G702" s="8" t="s">
        <v>3067</v>
      </c>
      <c r="H702" s="8" t="s">
        <v>1833</v>
      </c>
      <c r="I702" s="8">
        <v>10530</v>
      </c>
      <c r="J702" s="8">
        <v>11480</v>
      </c>
      <c r="K702" s="9">
        <f>Tabla156798[[#This Row],[PRECIO CLIENTE]]-Tabla156798[[#This Row],[CANTIDAD PUBLICA]]</f>
        <v>950</v>
      </c>
      <c r="L702" s="10">
        <f>Tabla156798[[#This Row],[COMISION AGENCIA]]*0.05</f>
        <v>47.5</v>
      </c>
      <c r="M702" s="7"/>
      <c r="N702" s="7" t="s">
        <v>3068</v>
      </c>
      <c r="O702" s="7" t="s">
        <v>47</v>
      </c>
      <c r="P702" s="7"/>
    </row>
    <row r="703" spans="1:16" x14ac:dyDescent="0.25">
      <c r="A703" s="14">
        <v>45047</v>
      </c>
      <c r="B703" s="14">
        <v>45047</v>
      </c>
      <c r="C703" s="6">
        <v>45047</v>
      </c>
      <c r="D703" s="6">
        <v>45051</v>
      </c>
      <c r="E703" s="7"/>
      <c r="F703" s="115">
        <v>24716</v>
      </c>
      <c r="G703" s="8" t="s">
        <v>3069</v>
      </c>
      <c r="H703" s="8" t="s">
        <v>1833</v>
      </c>
      <c r="I703" s="8">
        <v>5436</v>
      </c>
      <c r="J703" s="8">
        <v>6150</v>
      </c>
      <c r="K703" s="9">
        <f>Tabla156798[[#This Row],[PRECIO CLIENTE]]-Tabla156798[[#This Row],[CANTIDAD PUBLICA]]</f>
        <v>714</v>
      </c>
      <c r="L703" s="10">
        <f>Tabla156798[[#This Row],[COMISION AGENCIA]]*0.05</f>
        <v>35.700000000000003</v>
      </c>
      <c r="M703" s="7"/>
      <c r="N703" s="7" t="s">
        <v>3070</v>
      </c>
      <c r="O703" s="7" t="s">
        <v>47</v>
      </c>
      <c r="P703" s="7"/>
    </row>
    <row r="704" spans="1:16" x14ac:dyDescent="0.25">
      <c r="A704" s="14">
        <v>45048</v>
      </c>
      <c r="B704" s="14">
        <v>45048</v>
      </c>
      <c r="C704" s="6">
        <v>45048</v>
      </c>
      <c r="D704" s="6">
        <v>45051</v>
      </c>
      <c r="E704" s="6">
        <v>45054</v>
      </c>
      <c r="F704" s="115" t="s">
        <v>877</v>
      </c>
      <c r="G704" s="8" t="s">
        <v>3071</v>
      </c>
      <c r="H704" s="8" t="s">
        <v>2108</v>
      </c>
      <c r="I704" s="8">
        <v>12278</v>
      </c>
      <c r="J704" s="8">
        <v>13837</v>
      </c>
      <c r="K704" s="9">
        <f>Tabla156798[[#This Row],[PRECIO CLIENTE]]-Tabla156798[[#This Row],[CANTIDAD PUBLICA]]</f>
        <v>1559</v>
      </c>
      <c r="L704" s="10">
        <f>Tabla156798[[#This Row],[COMISION AGENCIA]]*0.05</f>
        <v>77.95</v>
      </c>
      <c r="M704" s="7"/>
      <c r="N704" s="7" t="s">
        <v>3072</v>
      </c>
      <c r="O704" s="7" t="s">
        <v>47</v>
      </c>
      <c r="P704" s="7"/>
    </row>
    <row r="705" spans="1:16" s="4" customFormat="1" x14ac:dyDescent="0.25">
      <c r="A705" s="14">
        <v>45048</v>
      </c>
      <c r="B705" s="14">
        <v>45048</v>
      </c>
      <c r="C705" s="6">
        <v>45048</v>
      </c>
      <c r="D705" s="6">
        <v>45083</v>
      </c>
      <c r="E705" s="7"/>
      <c r="F705" s="115">
        <v>24727</v>
      </c>
      <c r="G705" s="8" t="s">
        <v>3073</v>
      </c>
      <c r="H705" s="8" t="s">
        <v>1544</v>
      </c>
      <c r="I705" s="8">
        <v>5574</v>
      </c>
      <c r="J705" s="8">
        <v>6290</v>
      </c>
      <c r="K705" s="9">
        <f>Tabla156798[[#This Row],[PRECIO CLIENTE]]-Tabla156798[[#This Row],[CANTIDAD PUBLICA]]</f>
        <v>716</v>
      </c>
      <c r="L705" s="10">
        <f>Tabla156798[[#This Row],[COMISION AGENCIA]]*0.05</f>
        <v>35.800000000000004</v>
      </c>
      <c r="M705" s="7"/>
      <c r="N705" s="7" t="s">
        <v>3074</v>
      </c>
      <c r="O705" s="7" t="s">
        <v>47</v>
      </c>
      <c r="P705" s="7"/>
    </row>
    <row r="706" spans="1:16" s="4" customFormat="1" x14ac:dyDescent="0.25">
      <c r="A706" s="14">
        <v>45048</v>
      </c>
      <c r="B706" s="14">
        <v>45048</v>
      </c>
      <c r="C706" s="6">
        <v>45048</v>
      </c>
      <c r="D706" s="6">
        <v>45055</v>
      </c>
      <c r="E706" s="7"/>
      <c r="F706" s="115">
        <v>24742</v>
      </c>
      <c r="G706" s="8" t="s">
        <v>3075</v>
      </c>
      <c r="H706" s="8" t="s">
        <v>1541</v>
      </c>
      <c r="I706" s="8">
        <v>2429</v>
      </c>
      <c r="J706" s="8">
        <v>2790</v>
      </c>
      <c r="K706" s="9">
        <f>Tabla156798[[#This Row],[PRECIO CLIENTE]]-Tabla156798[[#This Row],[CANTIDAD PUBLICA]]</f>
        <v>361</v>
      </c>
      <c r="L706" s="10">
        <f>Tabla156798[[#This Row],[COMISION AGENCIA]]*0.05</f>
        <v>18.05</v>
      </c>
      <c r="M706" s="7"/>
      <c r="N706" s="7" t="s">
        <v>3076</v>
      </c>
      <c r="O706" s="7" t="s">
        <v>47</v>
      </c>
      <c r="P706" s="7" t="s">
        <v>3077</v>
      </c>
    </row>
    <row r="707" spans="1:16" x14ac:dyDescent="0.25">
      <c r="A707" s="14">
        <v>45048</v>
      </c>
      <c r="B707" s="14">
        <v>45048</v>
      </c>
      <c r="C707" s="6">
        <v>45048</v>
      </c>
      <c r="D707" s="6">
        <v>45052</v>
      </c>
      <c r="E707" s="6">
        <v>45066</v>
      </c>
      <c r="F707" s="115">
        <v>24734</v>
      </c>
      <c r="G707" s="8" t="s">
        <v>3078</v>
      </c>
      <c r="H707" s="8" t="s">
        <v>1731</v>
      </c>
      <c r="I707" s="8">
        <v>3407</v>
      </c>
      <c r="J707" s="8">
        <v>3710</v>
      </c>
      <c r="K707" s="9">
        <f>Tabla156798[[#This Row],[PRECIO CLIENTE]]-Tabla156798[[#This Row],[CANTIDAD PUBLICA]]</f>
        <v>303</v>
      </c>
      <c r="L707" s="10">
        <f>Tabla156798[[#This Row],[COMISION AGENCIA]]*0.05</f>
        <v>15.15</v>
      </c>
      <c r="M707" s="7"/>
      <c r="N707" s="7" t="s">
        <v>3079</v>
      </c>
      <c r="O707" s="7" t="s">
        <v>47</v>
      </c>
      <c r="P707" s="7"/>
    </row>
    <row r="708" spans="1:16" x14ac:dyDescent="0.25">
      <c r="A708" s="14">
        <v>45048</v>
      </c>
      <c r="B708" s="14">
        <v>45048</v>
      </c>
      <c r="C708" s="6">
        <v>45048</v>
      </c>
      <c r="D708" s="6">
        <v>45089</v>
      </c>
      <c r="E708" s="7"/>
      <c r="F708" s="115">
        <v>24741</v>
      </c>
      <c r="G708" s="8" t="s">
        <v>2139</v>
      </c>
      <c r="H708" s="8" t="s">
        <v>3080</v>
      </c>
      <c r="I708" s="8">
        <v>12199</v>
      </c>
      <c r="J708" s="8">
        <v>13400</v>
      </c>
      <c r="K708" s="9">
        <f>Tabla156798[[#This Row],[PRECIO CLIENTE]]-Tabla156798[[#This Row],[CANTIDAD PUBLICA]]</f>
        <v>1201</v>
      </c>
      <c r="L708" s="10">
        <f>Tabla156798[[#This Row],[COMISION AGENCIA]]*0.05</f>
        <v>60.050000000000004</v>
      </c>
      <c r="M708" s="7"/>
      <c r="N708" s="7" t="s">
        <v>3081</v>
      </c>
      <c r="O708" s="7" t="s">
        <v>47</v>
      </c>
      <c r="P708" s="7"/>
    </row>
    <row r="709" spans="1:16" x14ac:dyDescent="0.25">
      <c r="A709" s="14">
        <v>45048</v>
      </c>
      <c r="B709" s="14">
        <v>45048</v>
      </c>
      <c r="C709" s="6">
        <v>45048</v>
      </c>
      <c r="D709" s="6">
        <v>45083</v>
      </c>
      <c r="E709" s="7"/>
      <c r="F709" s="115">
        <v>24741</v>
      </c>
      <c r="G709" s="8" t="s">
        <v>2139</v>
      </c>
      <c r="H709" s="8" t="s">
        <v>3082</v>
      </c>
      <c r="I709" s="8">
        <v>7208</v>
      </c>
      <c r="J709" s="8">
        <v>7360</v>
      </c>
      <c r="K709" s="9">
        <f>Tabla156798[[#This Row],[PRECIO CLIENTE]]-Tabla156798[[#This Row],[CANTIDAD PUBLICA]]</f>
        <v>152</v>
      </c>
      <c r="L709" s="10">
        <f>Tabla156798[[#This Row],[COMISION AGENCIA]]*0.05</f>
        <v>7.6000000000000005</v>
      </c>
      <c r="M709" s="7"/>
      <c r="N709" s="7" t="s">
        <v>3083</v>
      </c>
      <c r="O709" s="7" t="s">
        <v>2893</v>
      </c>
      <c r="P709" s="7"/>
    </row>
    <row r="710" spans="1:16" x14ac:dyDescent="0.25">
      <c r="A710" s="14">
        <v>45049</v>
      </c>
      <c r="B710" s="14">
        <v>45049</v>
      </c>
      <c r="C710" s="6">
        <v>45049</v>
      </c>
      <c r="D710" s="6">
        <v>45052</v>
      </c>
      <c r="E710" s="7"/>
      <c r="F710" s="115" t="s">
        <v>3046</v>
      </c>
      <c r="G710" s="8" t="s">
        <v>3084</v>
      </c>
      <c r="H710" s="8" t="s">
        <v>1541</v>
      </c>
      <c r="I710" s="8">
        <v>3497</v>
      </c>
      <c r="J710" s="8">
        <v>3960</v>
      </c>
      <c r="K710" s="9">
        <f>Tabla156798[[#This Row],[PRECIO CLIENTE]]-Tabla156798[[#This Row],[CANTIDAD PUBLICA]]</f>
        <v>463</v>
      </c>
      <c r="L710" s="10">
        <f>Tabla156798[[#This Row],[COMISION AGENCIA]]*0.05</f>
        <v>23.150000000000002</v>
      </c>
      <c r="M710" s="7"/>
      <c r="N710" s="7" t="s">
        <v>3085</v>
      </c>
      <c r="O710" s="7" t="s">
        <v>47</v>
      </c>
      <c r="P710" s="7"/>
    </row>
    <row r="711" spans="1:16" x14ac:dyDescent="0.25">
      <c r="A711" s="14">
        <v>45049</v>
      </c>
      <c r="B711" s="14">
        <v>45049</v>
      </c>
      <c r="C711" s="6">
        <v>45049</v>
      </c>
      <c r="D711" s="6">
        <v>45052</v>
      </c>
      <c r="E711" s="6">
        <v>45058</v>
      </c>
      <c r="F711" s="115">
        <v>24749</v>
      </c>
      <c r="G711" s="8" t="s">
        <v>3086</v>
      </c>
      <c r="H711" s="8" t="s">
        <v>2914</v>
      </c>
      <c r="I711" s="8">
        <v>17238</v>
      </c>
      <c r="J711" s="8">
        <v>18660</v>
      </c>
      <c r="K711" s="9">
        <f>Tabla156798[[#This Row],[PRECIO CLIENTE]]-Tabla156798[[#This Row],[CANTIDAD PUBLICA]]</f>
        <v>1422</v>
      </c>
      <c r="L711" s="10">
        <f>Tabla156798[[#This Row],[COMISION AGENCIA]]*0.05</f>
        <v>71.100000000000009</v>
      </c>
      <c r="M711" s="7"/>
      <c r="N711" s="7" t="s">
        <v>3087</v>
      </c>
      <c r="O711" s="7" t="s">
        <v>47</v>
      </c>
      <c r="P711" s="7"/>
    </row>
    <row r="712" spans="1:16" x14ac:dyDescent="0.25">
      <c r="A712" s="14">
        <v>45049</v>
      </c>
      <c r="B712" s="14">
        <v>45049</v>
      </c>
      <c r="C712" s="6">
        <v>45049</v>
      </c>
      <c r="D712" s="6">
        <v>45077</v>
      </c>
      <c r="E712" s="7"/>
      <c r="F712" s="115">
        <v>24751</v>
      </c>
      <c r="G712" s="8" t="s">
        <v>3088</v>
      </c>
      <c r="H712" s="8" t="s">
        <v>2724</v>
      </c>
      <c r="I712" s="8">
        <v>5048</v>
      </c>
      <c r="J712" s="8">
        <v>5750</v>
      </c>
      <c r="K712" s="9">
        <f>Tabla156798[[#This Row],[PRECIO CLIENTE]]-Tabla156798[[#This Row],[CANTIDAD PUBLICA]]</f>
        <v>702</v>
      </c>
      <c r="L712" s="10">
        <f>Tabla156798[[#This Row],[COMISION AGENCIA]]*0.05</f>
        <v>35.1</v>
      </c>
      <c r="M712" s="7"/>
      <c r="N712" s="7" t="s">
        <v>3089</v>
      </c>
      <c r="O712" s="7" t="s">
        <v>47</v>
      </c>
      <c r="P712" s="7"/>
    </row>
    <row r="713" spans="1:16" x14ac:dyDescent="0.25">
      <c r="A713" s="14">
        <v>45049</v>
      </c>
      <c r="B713" s="14">
        <v>45049</v>
      </c>
      <c r="C713" s="6">
        <v>45049</v>
      </c>
      <c r="D713" s="6">
        <v>45050</v>
      </c>
      <c r="E713" s="7"/>
      <c r="F713" s="115">
        <v>24743</v>
      </c>
      <c r="G713" s="8" t="s">
        <v>3090</v>
      </c>
      <c r="H713" s="8" t="s">
        <v>1539</v>
      </c>
      <c r="I713" s="8">
        <v>850</v>
      </c>
      <c r="J713" s="8">
        <v>850</v>
      </c>
      <c r="K713" s="9">
        <f>Tabla156798[[#This Row],[CANTIDAD PUBLICA]]*0.2</f>
        <v>170</v>
      </c>
      <c r="L713" s="10">
        <f>Tabla156798[[#This Row],[COMISION AGENCIA]]*0.05</f>
        <v>8.5</v>
      </c>
      <c r="M713" s="7">
        <v>9983077124</v>
      </c>
      <c r="N713" s="7">
        <v>4621</v>
      </c>
      <c r="O713" s="7" t="s">
        <v>12</v>
      </c>
      <c r="P713" s="7"/>
    </row>
    <row r="714" spans="1:16" x14ac:dyDescent="0.25">
      <c r="A714" s="14">
        <f>Tabla156798[[#This Row],[FECHA IN]]-22</f>
        <v>45049</v>
      </c>
      <c r="B714" s="14">
        <v>45056</v>
      </c>
      <c r="C714" s="6">
        <v>45047</v>
      </c>
      <c r="D714" s="6">
        <v>45071</v>
      </c>
      <c r="E714" s="6">
        <v>45074</v>
      </c>
      <c r="F714" s="115">
        <v>24717</v>
      </c>
      <c r="G714" s="8" t="s">
        <v>3091</v>
      </c>
      <c r="H714" s="8" t="s">
        <v>1628</v>
      </c>
      <c r="I714" s="8">
        <v>27107.84</v>
      </c>
      <c r="J714" s="8">
        <v>24400</v>
      </c>
      <c r="K714" s="9">
        <f>Tabla156798[[#This Row],[CANTIDAD PUBLICA]]*0.05</f>
        <v>1355.3920000000001</v>
      </c>
      <c r="L714" s="10">
        <f>Tabla156798[[#This Row],[COMISION AGENCIA]]*0.05</f>
        <v>67.769600000000011</v>
      </c>
      <c r="M714" s="7">
        <v>3481295236</v>
      </c>
      <c r="N714" s="7">
        <v>10840369</v>
      </c>
      <c r="O714" s="7" t="s">
        <v>5</v>
      </c>
      <c r="P714" s="7"/>
    </row>
    <row r="715" spans="1:16" x14ac:dyDescent="0.25">
      <c r="A715" s="14">
        <v>45050</v>
      </c>
      <c r="B715" s="14">
        <v>45050</v>
      </c>
      <c r="C715" s="6">
        <v>45050</v>
      </c>
      <c r="D715" s="6">
        <v>45129</v>
      </c>
      <c r="E715" s="6">
        <v>45136</v>
      </c>
      <c r="F715" s="115">
        <v>24770</v>
      </c>
      <c r="G715" s="8" t="s">
        <v>3092</v>
      </c>
      <c r="H715" s="8" t="s">
        <v>3093</v>
      </c>
      <c r="I715" s="8">
        <v>13076</v>
      </c>
      <c r="J715" s="8">
        <v>14860</v>
      </c>
      <c r="K715" s="9">
        <f>Tabla156798[[#This Row],[PRECIO CLIENTE]]-Tabla156798[[#This Row],[CANTIDAD PUBLICA]]</f>
        <v>1784</v>
      </c>
      <c r="L715" s="10">
        <f>Tabla156798[[#This Row],[COMISION AGENCIA]]*0.05</f>
        <v>89.2</v>
      </c>
      <c r="M715" s="7"/>
      <c r="N715" s="7" t="s">
        <v>3094</v>
      </c>
      <c r="O715" s="7" t="s">
        <v>47</v>
      </c>
      <c r="P715" s="7"/>
    </row>
    <row r="716" spans="1:16" x14ac:dyDescent="0.25">
      <c r="A716" s="14">
        <v>45050</v>
      </c>
      <c r="B716" s="14">
        <v>45050</v>
      </c>
      <c r="C716" s="6">
        <v>45050</v>
      </c>
      <c r="D716" s="6">
        <v>45079</v>
      </c>
      <c r="E716" s="6">
        <v>45152</v>
      </c>
      <c r="F716" s="115">
        <v>24729</v>
      </c>
      <c r="G716" s="8" t="s">
        <v>1711</v>
      </c>
      <c r="H716" s="8" t="s">
        <v>3095</v>
      </c>
      <c r="I716" s="8">
        <v>8988</v>
      </c>
      <c r="J716" s="8">
        <v>10560</v>
      </c>
      <c r="K716" s="9">
        <f>Tabla156798[[#This Row],[PRECIO CLIENTE]]-Tabla156798[[#This Row],[CANTIDAD PUBLICA]]</f>
        <v>1572</v>
      </c>
      <c r="L716" s="10">
        <f>Tabla156798[[#This Row],[COMISION AGENCIA]]*0.05</f>
        <v>78.600000000000009</v>
      </c>
      <c r="M716" s="7"/>
      <c r="N716" s="7" t="s">
        <v>3096</v>
      </c>
      <c r="O716" s="7" t="s">
        <v>47</v>
      </c>
      <c r="P716" s="7"/>
    </row>
    <row r="717" spans="1:16" x14ac:dyDescent="0.25">
      <c r="A717" s="14">
        <v>45050</v>
      </c>
      <c r="B717" s="14">
        <v>45050</v>
      </c>
      <c r="C717" s="6">
        <v>45050</v>
      </c>
      <c r="D717" s="6">
        <v>45152</v>
      </c>
      <c r="E717" s="6">
        <v>45159</v>
      </c>
      <c r="F717" s="115">
        <v>24780</v>
      </c>
      <c r="G717" s="8" t="s">
        <v>2706</v>
      </c>
      <c r="H717" s="8" t="s">
        <v>1290</v>
      </c>
      <c r="I717" s="8">
        <v>17905</v>
      </c>
      <c r="J717" s="8">
        <v>20150</v>
      </c>
      <c r="K717" s="9">
        <f>Tabla156798[[#This Row],[PRECIO CLIENTE]]-Tabla156798[[#This Row],[CANTIDAD PUBLICA]]</f>
        <v>2245</v>
      </c>
      <c r="L717" s="10">
        <f>Tabla156798[[#This Row],[COMISION AGENCIA]]*0.05</f>
        <v>112.25</v>
      </c>
      <c r="M717" s="7"/>
      <c r="N717" s="7" t="s">
        <v>3097</v>
      </c>
      <c r="O717" s="7" t="s">
        <v>47</v>
      </c>
      <c r="P717" s="7"/>
    </row>
    <row r="718" spans="1:16" x14ac:dyDescent="0.25">
      <c r="A718" s="14">
        <f>Tabla156798[[#This Row],[FECHA IN]]-15</f>
        <v>45051</v>
      </c>
      <c r="B718" s="14">
        <v>45001</v>
      </c>
      <c r="C718" s="6">
        <v>45001</v>
      </c>
      <c r="D718" s="6">
        <v>45066</v>
      </c>
      <c r="E718" s="6">
        <v>45073</v>
      </c>
      <c r="F718" s="115">
        <v>24051</v>
      </c>
      <c r="G718" s="8" t="s">
        <v>3098</v>
      </c>
      <c r="H718" s="8" t="s">
        <v>1539</v>
      </c>
      <c r="I718" s="8">
        <v>7400</v>
      </c>
      <c r="J718" s="8">
        <v>7400</v>
      </c>
      <c r="K718" s="9">
        <f>Tabla156798[[#This Row],[CANTIDAD PUBLICA]]*AGENTES!B10</f>
        <v>1480</v>
      </c>
      <c r="L718" s="10">
        <f>Tabla156798[[#This Row],[COMISION AGENCIA]]*0.05</f>
        <v>74</v>
      </c>
      <c r="M718" s="7">
        <v>3481055859</v>
      </c>
      <c r="N718" s="7"/>
      <c r="O718" s="7" t="s">
        <v>12</v>
      </c>
      <c r="P718" s="7"/>
    </row>
    <row r="719" spans="1:16" s="4" customFormat="1" x14ac:dyDescent="0.25">
      <c r="A719" s="14">
        <f>Tabla156798[[#This Row],[FECHA IN]]-22</f>
        <v>45051</v>
      </c>
      <c r="B719" s="14">
        <v>45034</v>
      </c>
      <c r="C719" s="6">
        <v>45029</v>
      </c>
      <c r="D719" s="6">
        <v>45073</v>
      </c>
      <c r="E719" s="6">
        <v>45077</v>
      </c>
      <c r="F719" s="115">
        <v>24433</v>
      </c>
      <c r="G719" s="8" t="s">
        <v>2939</v>
      </c>
      <c r="H719" s="8" t="s">
        <v>2248</v>
      </c>
      <c r="I719" s="8">
        <v>40770</v>
      </c>
      <c r="J719" s="8">
        <v>36700</v>
      </c>
      <c r="K719" s="9">
        <f>Tabla156798[[#This Row],[CANTIDAD PUBLICA]]*AGENTES!D12</f>
        <v>2038.4999999999995</v>
      </c>
      <c r="L719" s="10">
        <f>Tabla156798[[#This Row],[COMISION AGENCIA]]*0.05</f>
        <v>101.92499999999998</v>
      </c>
      <c r="M719" s="7">
        <v>3781073207</v>
      </c>
      <c r="N719" s="7"/>
      <c r="O719" s="7" t="s">
        <v>1826</v>
      </c>
      <c r="P719" s="7"/>
    </row>
    <row r="720" spans="1:16" s="4" customFormat="1" x14ac:dyDescent="0.25">
      <c r="A720" s="14">
        <v>45051</v>
      </c>
      <c r="B720" s="14">
        <v>45051</v>
      </c>
      <c r="C720" s="6">
        <v>45051</v>
      </c>
      <c r="D720" s="6">
        <v>45168</v>
      </c>
      <c r="E720" s="6">
        <v>45182</v>
      </c>
      <c r="F720" s="115">
        <v>24783</v>
      </c>
      <c r="G720" s="8" t="s">
        <v>3099</v>
      </c>
      <c r="H720" s="8" t="s">
        <v>2121</v>
      </c>
      <c r="I720" s="8">
        <v>6709</v>
      </c>
      <c r="J720" s="8">
        <v>7835</v>
      </c>
      <c r="K720" s="9">
        <f>Tabla156798[[#This Row],[PRECIO CLIENTE]]-Tabla156798[[#This Row],[CANTIDAD PUBLICA]]</f>
        <v>1126</v>
      </c>
      <c r="L720" s="10">
        <f>Tabla156798[[#This Row],[COMISION AGENCIA]]*0.05</f>
        <v>56.300000000000004</v>
      </c>
      <c r="M720" s="7"/>
      <c r="N720" s="7" t="s">
        <v>3100</v>
      </c>
      <c r="O720" s="7" t="s">
        <v>47</v>
      </c>
      <c r="P720" s="7"/>
    </row>
    <row r="721" spans="1:16" x14ac:dyDescent="0.25">
      <c r="A721" s="14">
        <v>45051</v>
      </c>
      <c r="B721" s="14">
        <v>45051</v>
      </c>
      <c r="C721" s="6">
        <v>45051</v>
      </c>
      <c r="D721" s="6">
        <v>45129</v>
      </c>
      <c r="E721" s="6">
        <v>45136</v>
      </c>
      <c r="F721" s="115">
        <v>24786</v>
      </c>
      <c r="G721" s="8" t="s">
        <v>3101</v>
      </c>
      <c r="H721" s="8" t="s">
        <v>3093</v>
      </c>
      <c r="I721" s="8">
        <v>11912</v>
      </c>
      <c r="J721" s="8">
        <v>13320</v>
      </c>
      <c r="K721" s="9">
        <f>Tabla156798[[#This Row],[PRECIO CLIENTE]]-Tabla156798[[#This Row],[CANTIDAD PUBLICA]]</f>
        <v>1408</v>
      </c>
      <c r="L721" s="10">
        <f>Tabla156798[[#This Row],[COMISION AGENCIA]]*0.05</f>
        <v>70.400000000000006</v>
      </c>
      <c r="M721" s="7"/>
      <c r="N721" s="7" t="s">
        <v>3102</v>
      </c>
      <c r="O721" s="7" t="s">
        <v>47</v>
      </c>
      <c r="P721" s="7"/>
    </row>
    <row r="722" spans="1:16" x14ac:dyDescent="0.25">
      <c r="A722" s="14">
        <v>45051</v>
      </c>
      <c r="B722" s="14">
        <v>45051</v>
      </c>
      <c r="C722" s="6">
        <v>45051</v>
      </c>
      <c r="D722" s="6">
        <v>45138</v>
      </c>
      <c r="E722" s="6">
        <v>45173</v>
      </c>
      <c r="F722" s="115">
        <v>24789</v>
      </c>
      <c r="G722" s="8" t="s">
        <v>3103</v>
      </c>
      <c r="H722" s="8" t="s">
        <v>2002</v>
      </c>
      <c r="I722" s="8">
        <v>7223</v>
      </c>
      <c r="J722" s="8">
        <v>7895</v>
      </c>
      <c r="K722" s="9">
        <f>Tabla156798[[#This Row],[PRECIO CLIENTE]]-Tabla156798[[#This Row],[CANTIDAD PUBLICA]]</f>
        <v>672</v>
      </c>
      <c r="L722" s="10">
        <f>Tabla156798[[#This Row],[COMISION AGENCIA]]*0.05</f>
        <v>33.6</v>
      </c>
      <c r="M722" s="7"/>
      <c r="N722" s="7" t="s">
        <v>3104</v>
      </c>
      <c r="O722" s="7" t="s">
        <v>47</v>
      </c>
      <c r="P722" s="7"/>
    </row>
    <row r="723" spans="1:16" x14ac:dyDescent="0.25">
      <c r="A723" s="14">
        <v>45051</v>
      </c>
      <c r="B723" s="14">
        <v>45051</v>
      </c>
      <c r="C723" s="6">
        <v>45051</v>
      </c>
      <c r="D723" s="6">
        <v>45099</v>
      </c>
      <c r="E723" s="6">
        <v>45117</v>
      </c>
      <c r="F723" s="115">
        <v>24794</v>
      </c>
      <c r="G723" s="8" t="s">
        <v>3105</v>
      </c>
      <c r="H723" s="8" t="s">
        <v>2108</v>
      </c>
      <c r="I723" s="8">
        <v>20664</v>
      </c>
      <c r="J723" s="8">
        <v>22440</v>
      </c>
      <c r="K723" s="9">
        <f>Tabla156798[[#This Row],[PRECIO CLIENTE]]-Tabla156798[[#This Row],[CANTIDAD PUBLICA]]</f>
        <v>1776</v>
      </c>
      <c r="L723" s="10">
        <f>Tabla156798[[#This Row],[COMISION AGENCIA]]*0.05</f>
        <v>88.800000000000011</v>
      </c>
      <c r="M723" s="7"/>
      <c r="N723" s="7" t="s">
        <v>3106</v>
      </c>
      <c r="O723" s="7" t="s">
        <v>47</v>
      </c>
      <c r="P723" s="7"/>
    </row>
    <row r="724" spans="1:16" x14ac:dyDescent="0.25">
      <c r="A724" s="14">
        <f>Tabla156798[[#This Row],[FECHA IN]]-15</f>
        <v>45051</v>
      </c>
      <c r="B724" s="14">
        <v>45061</v>
      </c>
      <c r="C724" s="18">
        <v>45265</v>
      </c>
      <c r="D724" s="6">
        <v>45066</v>
      </c>
      <c r="E724" s="6">
        <v>45071</v>
      </c>
      <c r="F724" s="115" t="s">
        <v>3107</v>
      </c>
      <c r="G724" s="8" t="s">
        <v>3108</v>
      </c>
      <c r="H724" s="8" t="s">
        <v>2046</v>
      </c>
      <c r="I724" s="8">
        <v>24756.19</v>
      </c>
      <c r="J724" s="8">
        <v>23505</v>
      </c>
      <c r="K724" s="9">
        <f>(Tabla156798[[#This Row],[CANTIDAD PUBLICA]]*0.05)+1967</f>
        <v>3204.8095000000003</v>
      </c>
      <c r="L724" s="10">
        <f>Tabla156798[[#This Row],[COMISION AGENCIA]]*0.05</f>
        <v>160.24047500000003</v>
      </c>
      <c r="M724" s="7">
        <v>3481144905</v>
      </c>
      <c r="N724" s="7" t="s">
        <v>3109</v>
      </c>
      <c r="O724" s="7" t="s">
        <v>6</v>
      </c>
      <c r="P724" s="7" t="s">
        <v>3110</v>
      </c>
    </row>
    <row r="725" spans="1:16" x14ac:dyDescent="0.25">
      <c r="A725" s="14">
        <f>Tabla156798[[#This Row],[FECHA IN]]-15</f>
        <v>45051</v>
      </c>
      <c r="B725" s="14">
        <v>45061</v>
      </c>
      <c r="C725" s="18">
        <v>45265</v>
      </c>
      <c r="D725" s="6">
        <v>45066</v>
      </c>
      <c r="E725" s="6">
        <v>45071</v>
      </c>
      <c r="F725" s="115" t="s">
        <v>3107</v>
      </c>
      <c r="G725" s="8" t="s">
        <v>3111</v>
      </c>
      <c r="H725" s="8" t="s">
        <v>2046</v>
      </c>
      <c r="I725" s="8">
        <v>30090</v>
      </c>
      <c r="J725" s="8">
        <v>34395</v>
      </c>
      <c r="K725" s="9">
        <f>(Tabla156798[[#This Row],[CANTIDAD PUBLICA]]*0.05)+8220</f>
        <v>9724.5</v>
      </c>
      <c r="L725" s="10">
        <f>Tabla156798[[#This Row],[COMISION AGENCIA]]*0.05</f>
        <v>486.22500000000002</v>
      </c>
      <c r="M725" s="7">
        <v>3481144905</v>
      </c>
      <c r="N725" s="7" t="s">
        <v>3112</v>
      </c>
      <c r="O725" s="7" t="s">
        <v>6</v>
      </c>
      <c r="P725" s="7" t="s">
        <v>3113</v>
      </c>
    </row>
    <row r="726" spans="1:16" x14ac:dyDescent="0.25">
      <c r="A726" s="14">
        <f>Tabla156798[[#This Row],[FECHA IN]]-15</f>
        <v>45051</v>
      </c>
      <c r="B726" s="14">
        <v>45061</v>
      </c>
      <c r="C726" s="18">
        <v>45265</v>
      </c>
      <c r="D726" s="6">
        <v>45066</v>
      </c>
      <c r="E726" s="6">
        <v>45071</v>
      </c>
      <c r="F726" s="115" t="s">
        <v>3107</v>
      </c>
      <c r="G726" s="8" t="s">
        <v>3114</v>
      </c>
      <c r="H726" s="8" t="s">
        <v>2046</v>
      </c>
      <c r="I726" s="8">
        <v>20754</v>
      </c>
      <c r="J726" s="8">
        <v>23730</v>
      </c>
      <c r="K726" s="9">
        <f>(Tabla156798[[#This Row],[CANTIDAD PUBLICA]]*0.05)+5675</f>
        <v>6712.7</v>
      </c>
      <c r="L726" s="10">
        <f>Tabla156798[[#This Row],[COMISION AGENCIA]]*0.05</f>
        <v>335.63499999999999</v>
      </c>
      <c r="M726" s="7">
        <v>3481144905</v>
      </c>
      <c r="N726" s="7" t="s">
        <v>3115</v>
      </c>
      <c r="O726" s="7" t="s">
        <v>6</v>
      </c>
      <c r="P726" s="7" t="s">
        <v>3116</v>
      </c>
    </row>
    <row r="727" spans="1:16" x14ac:dyDescent="0.25">
      <c r="A727" s="14">
        <f>Tabla156798[[#This Row],[FECHA IN]]-15</f>
        <v>45051</v>
      </c>
      <c r="B727" s="14">
        <v>45061</v>
      </c>
      <c r="C727" s="18">
        <v>45265</v>
      </c>
      <c r="D727" s="6">
        <v>45066</v>
      </c>
      <c r="E727" s="6">
        <v>45071</v>
      </c>
      <c r="F727" s="115" t="s">
        <v>3107</v>
      </c>
      <c r="G727" s="8" t="s">
        <v>3117</v>
      </c>
      <c r="H727" s="8" t="s">
        <v>2046</v>
      </c>
      <c r="I727" s="8">
        <v>17646.25</v>
      </c>
      <c r="J727" s="8">
        <v>16220</v>
      </c>
      <c r="K727" s="9">
        <f>(Tabla156798[[#This Row],[CANTIDAD PUBLICA]]*0.05)+867</f>
        <v>1749.3125</v>
      </c>
      <c r="L727" s="10">
        <f>Tabla156798[[#This Row],[COMISION AGENCIA]]*0.05</f>
        <v>87.465625000000003</v>
      </c>
      <c r="M727" s="7">
        <v>3481144905</v>
      </c>
      <c r="N727" s="7" t="s">
        <v>3118</v>
      </c>
      <c r="O727" s="7" t="s">
        <v>6</v>
      </c>
      <c r="P727" s="7" t="s">
        <v>3119</v>
      </c>
    </row>
    <row r="728" spans="1:16" x14ac:dyDescent="0.25">
      <c r="A728" s="14">
        <f>Tabla156798[[#This Row],[FECHA IN]]-15</f>
        <v>45051</v>
      </c>
      <c r="B728" s="14">
        <v>45061</v>
      </c>
      <c r="C728" s="18">
        <v>45265</v>
      </c>
      <c r="D728" s="6">
        <v>45066</v>
      </c>
      <c r="E728" s="6">
        <v>45071</v>
      </c>
      <c r="F728" s="115" t="s">
        <v>3107</v>
      </c>
      <c r="G728" s="8" t="s">
        <v>3120</v>
      </c>
      <c r="H728" s="8" t="s">
        <v>2046</v>
      </c>
      <c r="I728" s="8">
        <v>17640</v>
      </c>
      <c r="J728" s="8">
        <v>16220</v>
      </c>
      <c r="K728" s="9">
        <f>(Tabla156798[[#This Row],[CANTIDAD PUBLICA]]*0.05)+875</f>
        <v>1757</v>
      </c>
      <c r="L728" s="10">
        <f>Tabla156798[[#This Row],[COMISION AGENCIA]]*0.05</f>
        <v>87.850000000000009</v>
      </c>
      <c r="M728" s="7">
        <v>3481144905</v>
      </c>
      <c r="N728" s="7" t="s">
        <v>3121</v>
      </c>
      <c r="O728" s="7" t="s">
        <v>6</v>
      </c>
      <c r="P728" s="7" t="s">
        <v>3122</v>
      </c>
    </row>
    <row r="729" spans="1:16" x14ac:dyDescent="0.25">
      <c r="A729" s="14">
        <f>Tabla156798[[#This Row],[FECHA IN]]-15</f>
        <v>45051</v>
      </c>
      <c r="B729" s="14">
        <v>45061</v>
      </c>
      <c r="C729" s="18">
        <v>45265</v>
      </c>
      <c r="D729" s="6">
        <v>45066</v>
      </c>
      <c r="E729" s="6">
        <v>45071</v>
      </c>
      <c r="F729" s="115" t="s">
        <v>3107</v>
      </c>
      <c r="G729" s="8" t="s">
        <v>3123</v>
      </c>
      <c r="H729" s="8" t="s">
        <v>2046</v>
      </c>
      <c r="I729" s="8">
        <v>17646.25</v>
      </c>
      <c r="J729" s="8">
        <v>16220</v>
      </c>
      <c r="K729" s="9">
        <f>(Tabla156798[[#This Row],[CANTIDAD PUBLICA]]*0.05)+867</f>
        <v>1749.3125</v>
      </c>
      <c r="L729" s="10">
        <f>Tabla156798[[#This Row],[COMISION AGENCIA]]*0.05</f>
        <v>87.465625000000003</v>
      </c>
      <c r="M729" s="7">
        <v>3481144905</v>
      </c>
      <c r="N729" s="7" t="s">
        <v>3124</v>
      </c>
      <c r="O729" s="7" t="s">
        <v>6</v>
      </c>
      <c r="P729" s="7" t="s">
        <v>3119</v>
      </c>
    </row>
    <row r="730" spans="1:16" x14ac:dyDescent="0.25">
      <c r="A730" s="14">
        <f>Tabla156798[[#This Row],[FECHA IN]]-15</f>
        <v>45051</v>
      </c>
      <c r="B730" s="14">
        <v>45061</v>
      </c>
      <c r="C730" s="18">
        <v>45265</v>
      </c>
      <c r="D730" s="6">
        <v>45066</v>
      </c>
      <c r="E730" s="6">
        <v>45071</v>
      </c>
      <c r="F730" s="115" t="s">
        <v>3107</v>
      </c>
      <c r="G730" s="8" t="s">
        <v>3125</v>
      </c>
      <c r="H730" s="8" t="s">
        <v>2046</v>
      </c>
      <c r="I730" s="8">
        <v>17640</v>
      </c>
      <c r="J730" s="8">
        <v>16220</v>
      </c>
      <c r="K730" s="9">
        <f>(Tabla156798[[#This Row],[CANTIDAD PUBLICA]]*0.05)+875</f>
        <v>1757</v>
      </c>
      <c r="L730" s="10">
        <f>Tabla156798[[#This Row],[COMISION AGENCIA]]*0.05</f>
        <v>87.850000000000009</v>
      </c>
      <c r="M730" s="7">
        <v>3481144905</v>
      </c>
      <c r="N730" s="7" t="s">
        <v>3126</v>
      </c>
      <c r="O730" s="7" t="s">
        <v>6</v>
      </c>
      <c r="P730" s="7" t="s">
        <v>3122</v>
      </c>
    </row>
    <row r="731" spans="1:16" x14ac:dyDescent="0.25">
      <c r="A731" s="14">
        <f>Tabla156798[[#This Row],[FECHA IN]]-15</f>
        <v>45051</v>
      </c>
      <c r="B731" s="14">
        <v>45061</v>
      </c>
      <c r="C731" s="18">
        <v>45265</v>
      </c>
      <c r="D731" s="6">
        <v>45066</v>
      </c>
      <c r="E731" s="6">
        <v>45071</v>
      </c>
      <c r="F731" s="115" t="s">
        <v>3107</v>
      </c>
      <c r="G731" s="8" t="s">
        <v>3127</v>
      </c>
      <c r="H731" s="8" t="s">
        <v>2046</v>
      </c>
      <c r="I731" s="8">
        <v>17640</v>
      </c>
      <c r="J731" s="8">
        <v>16220</v>
      </c>
      <c r="K731" s="9">
        <f>(Tabla156798[[#This Row],[CANTIDAD PUBLICA]]*0.05)+875</f>
        <v>1757</v>
      </c>
      <c r="L731" s="10">
        <f>Tabla156798[[#This Row],[COMISION AGENCIA]]*0.05</f>
        <v>87.850000000000009</v>
      </c>
      <c r="M731" s="7">
        <v>3481144905</v>
      </c>
      <c r="N731" s="7" t="s">
        <v>3128</v>
      </c>
      <c r="O731" s="7" t="s">
        <v>6</v>
      </c>
      <c r="P731" s="7" t="s">
        <v>3122</v>
      </c>
    </row>
    <row r="732" spans="1:16" x14ac:dyDescent="0.25">
      <c r="A732" s="14">
        <f>Tabla156798[[#This Row],[FECHA IN]]-15</f>
        <v>45051</v>
      </c>
      <c r="B732" s="14">
        <v>45061</v>
      </c>
      <c r="C732" s="18">
        <v>45265</v>
      </c>
      <c r="D732" s="6">
        <v>45066</v>
      </c>
      <c r="E732" s="6">
        <v>45071</v>
      </c>
      <c r="F732" s="115" t="s">
        <v>3107</v>
      </c>
      <c r="G732" s="8" t="s">
        <v>3129</v>
      </c>
      <c r="H732" s="8" t="s">
        <v>2046</v>
      </c>
      <c r="I732" s="8">
        <v>17640</v>
      </c>
      <c r="J732" s="8">
        <v>16220</v>
      </c>
      <c r="K732" s="9">
        <f>(Tabla156798[[#This Row],[CANTIDAD PUBLICA]]*0.05)+875</f>
        <v>1757</v>
      </c>
      <c r="L732" s="10">
        <f>Tabla156798[[#This Row],[COMISION AGENCIA]]*0.05</f>
        <v>87.850000000000009</v>
      </c>
      <c r="M732" s="7">
        <v>3481144905</v>
      </c>
      <c r="N732" s="7" t="s">
        <v>3130</v>
      </c>
      <c r="O732" s="7" t="s">
        <v>6</v>
      </c>
      <c r="P732" s="7" t="s">
        <v>3122</v>
      </c>
    </row>
    <row r="733" spans="1:16" x14ac:dyDescent="0.25">
      <c r="A733" s="14">
        <f>Tabla156798[[#This Row],[FECHA IN]]-15</f>
        <v>45051</v>
      </c>
      <c r="B733" s="14">
        <v>45061</v>
      </c>
      <c r="C733" s="18">
        <v>45265</v>
      </c>
      <c r="D733" s="6">
        <v>45066</v>
      </c>
      <c r="E733" s="6">
        <v>45071</v>
      </c>
      <c r="F733" s="115" t="s">
        <v>3107</v>
      </c>
      <c r="G733" s="8" t="s">
        <v>3131</v>
      </c>
      <c r="H733" s="8" t="s">
        <v>2046</v>
      </c>
      <c r="I733" s="8">
        <v>17683.04</v>
      </c>
      <c r="J733" s="8">
        <v>16220</v>
      </c>
      <c r="K733" s="9">
        <f>(Tabla156798[[#This Row],[CANTIDAD PUBLICA]]*0.05)+835</f>
        <v>1719.152</v>
      </c>
      <c r="L733" s="10">
        <f>Tabla156798[[#This Row],[COMISION AGENCIA]]*0.05</f>
        <v>85.957600000000014</v>
      </c>
      <c r="M733" s="7">
        <v>3481144905</v>
      </c>
      <c r="N733" s="7" t="s">
        <v>3132</v>
      </c>
      <c r="O733" s="7" t="s">
        <v>6</v>
      </c>
      <c r="P733" s="7" t="s">
        <v>3133</v>
      </c>
    </row>
    <row r="734" spans="1:16" x14ac:dyDescent="0.25">
      <c r="A734" s="14">
        <v>45052</v>
      </c>
      <c r="B734" s="14">
        <v>45052</v>
      </c>
      <c r="C734" s="6">
        <v>45052</v>
      </c>
      <c r="D734" s="6">
        <v>45063</v>
      </c>
      <c r="E734" s="6">
        <v>45074</v>
      </c>
      <c r="F734" s="115">
        <v>24803</v>
      </c>
      <c r="G734" s="8" t="s">
        <v>3134</v>
      </c>
      <c r="H734" s="8" t="s">
        <v>1614</v>
      </c>
      <c r="I734" s="8">
        <v>18150</v>
      </c>
      <c r="J734" s="8">
        <v>19485</v>
      </c>
      <c r="K734" s="9">
        <f>Tabla156798[[#This Row],[PRECIO CLIENTE]]-Tabla156798[[#This Row],[CANTIDAD PUBLICA]]</f>
        <v>1335</v>
      </c>
      <c r="L734" s="10">
        <f>Tabla156798[[#This Row],[COMISION AGENCIA]]*0.05</f>
        <v>66.75</v>
      </c>
      <c r="M734" s="7"/>
      <c r="N734" s="7" t="s">
        <v>3135</v>
      </c>
      <c r="O734" s="7" t="s">
        <v>47</v>
      </c>
      <c r="P734" s="7"/>
    </row>
    <row r="735" spans="1:16" x14ac:dyDescent="0.25">
      <c r="A735" s="14">
        <v>45052</v>
      </c>
      <c r="B735" s="14">
        <v>45052</v>
      </c>
      <c r="C735" s="6">
        <v>45052</v>
      </c>
      <c r="D735" s="6">
        <v>45123</v>
      </c>
      <c r="E735" s="6">
        <v>45140</v>
      </c>
      <c r="F735" s="115">
        <v>24804</v>
      </c>
      <c r="G735" s="8" t="s">
        <v>3136</v>
      </c>
      <c r="H735" s="8" t="s">
        <v>1833</v>
      </c>
      <c r="I735" s="8">
        <v>13084</v>
      </c>
      <c r="J735" s="8">
        <v>14570</v>
      </c>
      <c r="K735" s="9">
        <f>Tabla156798[[#This Row],[PRECIO CLIENTE]]-Tabla156798[[#This Row],[CANTIDAD PUBLICA]]</f>
        <v>1486</v>
      </c>
      <c r="L735" s="10">
        <f>Tabla156798[[#This Row],[COMISION AGENCIA]]*0.05</f>
        <v>74.3</v>
      </c>
      <c r="M735" s="7"/>
      <c r="N735" s="7" t="s">
        <v>3137</v>
      </c>
      <c r="O735" s="7" t="s">
        <v>47</v>
      </c>
      <c r="P735" s="7"/>
    </row>
    <row r="736" spans="1:16" x14ac:dyDescent="0.25">
      <c r="A736" s="14">
        <v>45054</v>
      </c>
      <c r="B736" s="14">
        <v>45054</v>
      </c>
      <c r="C736" s="6">
        <v>45054</v>
      </c>
      <c r="D736" s="6">
        <v>45063</v>
      </c>
      <c r="E736" s="7"/>
      <c r="F736" s="115">
        <v>24813</v>
      </c>
      <c r="G736" s="8" t="s">
        <v>3138</v>
      </c>
      <c r="H736" s="8" t="s">
        <v>1532</v>
      </c>
      <c r="I736" s="8">
        <v>14120</v>
      </c>
      <c r="J736" s="8">
        <v>15925</v>
      </c>
      <c r="K736" s="9">
        <f>Tabla156798[[#This Row],[PRECIO CLIENTE]]-Tabla156798[[#This Row],[CANTIDAD PUBLICA]]</f>
        <v>1805</v>
      </c>
      <c r="L736" s="10">
        <f>Tabla156798[[#This Row],[COMISION AGENCIA]]*0.05</f>
        <v>90.25</v>
      </c>
      <c r="M736" s="7"/>
      <c r="N736" s="7" t="s">
        <v>3139</v>
      </c>
      <c r="O736" s="7" t="s">
        <v>47</v>
      </c>
      <c r="P736" s="7"/>
    </row>
    <row r="737" spans="1:16" x14ac:dyDescent="0.25">
      <c r="A737" s="14">
        <v>45054</v>
      </c>
      <c r="B737" s="14">
        <v>45054</v>
      </c>
      <c r="C737" s="6">
        <v>45054</v>
      </c>
      <c r="D737" s="6">
        <v>45074</v>
      </c>
      <c r="E737" s="6">
        <v>45119</v>
      </c>
      <c r="F737" s="115">
        <v>24818</v>
      </c>
      <c r="G737" s="8" t="s">
        <v>3140</v>
      </c>
      <c r="H737" s="8" t="s">
        <v>2121</v>
      </c>
      <c r="I737" s="8">
        <v>14736</v>
      </c>
      <c r="J737" s="8">
        <v>15860</v>
      </c>
      <c r="K737" s="9">
        <f>Tabla156798[[#This Row],[PRECIO CLIENTE]]-Tabla156798[[#This Row],[CANTIDAD PUBLICA]]</f>
        <v>1124</v>
      </c>
      <c r="L737" s="10">
        <f>Tabla156798[[#This Row],[COMISION AGENCIA]]*0.05</f>
        <v>56.2</v>
      </c>
      <c r="M737" s="7"/>
      <c r="N737" s="7" t="s">
        <v>3141</v>
      </c>
      <c r="O737" s="7" t="s">
        <v>47</v>
      </c>
      <c r="P737" s="7"/>
    </row>
    <row r="738" spans="1:16" x14ac:dyDescent="0.25">
      <c r="A738" s="14">
        <v>45054</v>
      </c>
      <c r="B738" s="14">
        <v>45054</v>
      </c>
      <c r="C738" s="6">
        <v>45054</v>
      </c>
      <c r="D738" s="6">
        <v>45058</v>
      </c>
      <c r="E738" s="6">
        <v>45060</v>
      </c>
      <c r="F738" s="115" t="s">
        <v>3142</v>
      </c>
      <c r="G738" s="8" t="s">
        <v>3047</v>
      </c>
      <c r="H738" s="8" t="s">
        <v>1743</v>
      </c>
      <c r="I738" s="8">
        <v>7031</v>
      </c>
      <c r="J738" s="8">
        <v>7585</v>
      </c>
      <c r="K738" s="9">
        <f>Tabla156798[[#This Row],[PRECIO CLIENTE]]-Tabla156798[[#This Row],[CANTIDAD PUBLICA]]</f>
        <v>554</v>
      </c>
      <c r="L738" s="10">
        <f>Tabla156798[[#This Row],[COMISION AGENCIA]]*0.05</f>
        <v>27.700000000000003</v>
      </c>
      <c r="M738" s="7"/>
      <c r="N738" s="7" t="s">
        <v>3143</v>
      </c>
      <c r="O738" s="7" t="s">
        <v>47</v>
      </c>
      <c r="P738" s="7"/>
    </row>
    <row r="739" spans="1:16" x14ac:dyDescent="0.25">
      <c r="A739" s="14">
        <v>45054</v>
      </c>
      <c r="B739" s="14">
        <v>45054</v>
      </c>
      <c r="C739" s="6">
        <v>45054</v>
      </c>
      <c r="D739" s="6">
        <v>45061</v>
      </c>
      <c r="E739" s="6">
        <v>45064</v>
      </c>
      <c r="F739" s="115" t="s">
        <v>3144</v>
      </c>
      <c r="G739" s="8" t="s">
        <v>3145</v>
      </c>
      <c r="H739" s="8" t="s">
        <v>2129</v>
      </c>
      <c r="I739" s="8">
        <v>16875</v>
      </c>
      <c r="J739" s="8">
        <v>14685</v>
      </c>
      <c r="K739" s="9">
        <f>Tabla156798[[#This Row],[CANTIDAD PUBLICA]]*0.05</f>
        <v>843.75</v>
      </c>
      <c r="L739" s="10">
        <f>Tabla156798[[#This Row],[COMISION AGENCIA]]*0.05</f>
        <v>42.1875</v>
      </c>
      <c r="M739" s="7">
        <v>14797742915</v>
      </c>
      <c r="N739" s="7" t="s">
        <v>3146</v>
      </c>
      <c r="O739" s="7" t="s">
        <v>6</v>
      </c>
      <c r="P739" s="7"/>
    </row>
    <row r="740" spans="1:16" x14ac:dyDescent="0.25">
      <c r="A740" s="14">
        <v>45054</v>
      </c>
      <c r="B740" s="14">
        <v>45054</v>
      </c>
      <c r="C740" s="6">
        <v>45054</v>
      </c>
      <c r="D740" s="6">
        <v>45060</v>
      </c>
      <c r="E740" s="6">
        <v>45063</v>
      </c>
      <c r="F740" s="115" t="s">
        <v>3144</v>
      </c>
      <c r="G740" s="8" t="s">
        <v>3145</v>
      </c>
      <c r="H740" s="8" t="s">
        <v>3147</v>
      </c>
      <c r="I740" s="8">
        <v>1033</v>
      </c>
      <c r="J740" s="8">
        <v>985</v>
      </c>
      <c r="K740" s="9">
        <f>Tabla156798[[#This Row],[CANTIDAD PUBLICA]]*0.05</f>
        <v>51.650000000000006</v>
      </c>
      <c r="L740" s="10">
        <f>Tabla156798[[#This Row],[COMISION AGENCIA]]*0.05</f>
        <v>2.5825000000000005</v>
      </c>
      <c r="M740" s="7">
        <v>14797742915</v>
      </c>
      <c r="N740" s="7">
        <v>10872744</v>
      </c>
      <c r="O740" s="7" t="s">
        <v>5</v>
      </c>
      <c r="P740" s="7"/>
    </row>
    <row r="741" spans="1:16" x14ac:dyDescent="0.25">
      <c r="A741" s="14">
        <v>45055</v>
      </c>
      <c r="B741" s="14">
        <v>45055</v>
      </c>
      <c r="C741" s="6">
        <v>45055</v>
      </c>
      <c r="D741" s="6">
        <v>45139</v>
      </c>
      <c r="E741" s="7"/>
      <c r="F741" s="115">
        <v>24836</v>
      </c>
      <c r="G741" s="8" t="s">
        <v>3148</v>
      </c>
      <c r="H741" s="8" t="s">
        <v>2724</v>
      </c>
      <c r="I741" s="8">
        <v>12910</v>
      </c>
      <c r="J741" s="8">
        <v>14600</v>
      </c>
      <c r="K741" s="9">
        <f>Tabla156798[[#This Row],[PRECIO CLIENTE]]-Tabla156798[[#This Row],[CANTIDAD PUBLICA]]</f>
        <v>1690</v>
      </c>
      <c r="L741" s="10">
        <f>Tabla156798[[#This Row],[COMISION AGENCIA]]*0.05</f>
        <v>84.5</v>
      </c>
      <c r="M741" s="7"/>
      <c r="N741" s="7" t="s">
        <v>3149</v>
      </c>
      <c r="O741" s="7" t="s">
        <v>47</v>
      </c>
      <c r="P741" s="7"/>
    </row>
    <row r="742" spans="1:16" x14ac:dyDescent="0.25">
      <c r="A742" s="14">
        <v>45055</v>
      </c>
      <c r="B742" s="14">
        <v>45055</v>
      </c>
      <c r="C742" s="6">
        <v>45055</v>
      </c>
      <c r="D742" s="6">
        <v>45067</v>
      </c>
      <c r="E742" s="7"/>
      <c r="F742" s="115">
        <v>24846</v>
      </c>
      <c r="G742" s="8" t="s">
        <v>3150</v>
      </c>
      <c r="H742" s="8" t="s">
        <v>3151</v>
      </c>
      <c r="I742" s="8">
        <v>3961</v>
      </c>
      <c r="J742" s="8">
        <v>5240</v>
      </c>
      <c r="K742" s="9">
        <f>Tabla156798[[#This Row],[PRECIO CLIENTE]]-Tabla156798[[#This Row],[CANTIDAD PUBLICA]]</f>
        <v>1279</v>
      </c>
      <c r="L742" s="10">
        <f>Tabla156798[[#This Row],[COMISION AGENCIA]]*0.05</f>
        <v>63.95</v>
      </c>
      <c r="M742" s="7"/>
      <c r="N742" s="7" t="s">
        <v>3152</v>
      </c>
      <c r="O742" s="7" t="s">
        <v>47</v>
      </c>
      <c r="P742" s="7"/>
    </row>
    <row r="743" spans="1:16" x14ac:dyDescent="0.25">
      <c r="A743" s="14">
        <v>45055</v>
      </c>
      <c r="B743" s="14">
        <v>45055</v>
      </c>
      <c r="C743" s="6">
        <v>45051</v>
      </c>
      <c r="D743" s="6">
        <v>45070</v>
      </c>
      <c r="E743" s="6">
        <v>45074</v>
      </c>
      <c r="F743" s="115">
        <v>24810</v>
      </c>
      <c r="G743" s="8" t="s">
        <v>3153</v>
      </c>
      <c r="H743" s="8" t="s">
        <v>2957</v>
      </c>
      <c r="I743" s="8">
        <f>71927.93*0.99</f>
        <v>71208.650699999998</v>
      </c>
      <c r="J743" s="8">
        <v>61955</v>
      </c>
      <c r="K743" s="9">
        <f>Tabla156798[[#This Row],[CANTIDAD PUBLICA]]*0.05</f>
        <v>3560.4325349999999</v>
      </c>
      <c r="L743" s="10">
        <f>Tabla156798[[#This Row],[COMISION AGENCIA]]*0.05</f>
        <v>178.02162675</v>
      </c>
      <c r="M743" s="7">
        <v>3511349060</v>
      </c>
      <c r="N743" s="7" t="s">
        <v>3154</v>
      </c>
      <c r="O743" s="7" t="s">
        <v>6</v>
      </c>
      <c r="P743" s="7"/>
    </row>
    <row r="744" spans="1:16" x14ac:dyDescent="0.25">
      <c r="A744" s="14">
        <v>45056</v>
      </c>
      <c r="B744" s="14">
        <v>45056</v>
      </c>
      <c r="C744" s="6">
        <v>45056</v>
      </c>
      <c r="D744" s="6">
        <v>45065</v>
      </c>
      <c r="E744" s="7"/>
      <c r="F744" s="115">
        <v>24851</v>
      </c>
      <c r="G744" s="8" t="s">
        <v>3155</v>
      </c>
      <c r="H744" s="8" t="s">
        <v>1541</v>
      </c>
      <c r="I744" s="8">
        <v>3061</v>
      </c>
      <c r="J744" s="8">
        <v>3410</v>
      </c>
      <c r="K744" s="9">
        <f>Tabla156798[[#This Row],[PRECIO CLIENTE]]-Tabla156798[[#This Row],[CANTIDAD PUBLICA]]</f>
        <v>349</v>
      </c>
      <c r="L744" s="10">
        <f>Tabla156798[[#This Row],[COMISION AGENCIA]]*0.05</f>
        <v>17.45</v>
      </c>
      <c r="M744" s="7"/>
      <c r="N744" s="7" t="s">
        <v>3156</v>
      </c>
      <c r="O744" s="7" t="s">
        <v>47</v>
      </c>
      <c r="P744" s="7"/>
    </row>
    <row r="745" spans="1:16" x14ac:dyDescent="0.25">
      <c r="A745" s="14">
        <v>45056</v>
      </c>
      <c r="B745" s="14">
        <v>45056</v>
      </c>
      <c r="C745" s="6">
        <v>45056</v>
      </c>
      <c r="D745" s="6">
        <v>45076</v>
      </c>
      <c r="E745" s="7"/>
      <c r="F745" s="115">
        <v>24851</v>
      </c>
      <c r="G745" s="8" t="s">
        <v>3155</v>
      </c>
      <c r="H745" s="8" t="s">
        <v>1788</v>
      </c>
      <c r="I745" s="8">
        <v>3529</v>
      </c>
      <c r="J745" s="8">
        <v>4530</v>
      </c>
      <c r="K745" s="9">
        <f>Tabla156798[[#This Row],[PRECIO CLIENTE]]-Tabla156798[[#This Row],[CANTIDAD PUBLICA]]</f>
        <v>1001</v>
      </c>
      <c r="L745" s="10">
        <f>Tabla156798[[#This Row],[COMISION AGENCIA]]*0.05</f>
        <v>50.050000000000004</v>
      </c>
      <c r="M745" s="7"/>
      <c r="N745" s="7" t="s">
        <v>3157</v>
      </c>
      <c r="O745" s="7" t="s">
        <v>47</v>
      </c>
      <c r="P745" s="7"/>
    </row>
    <row r="746" spans="1:16" x14ac:dyDescent="0.25">
      <c r="A746" s="14">
        <v>45056</v>
      </c>
      <c r="B746" s="14">
        <v>45056</v>
      </c>
      <c r="C746" s="6">
        <v>45056</v>
      </c>
      <c r="D746" s="6">
        <v>45059</v>
      </c>
      <c r="E746" s="6">
        <v>45061</v>
      </c>
      <c r="F746" s="115">
        <v>24856</v>
      </c>
      <c r="G746" s="8" t="s">
        <v>3158</v>
      </c>
      <c r="H746" s="8" t="s">
        <v>1544</v>
      </c>
      <c r="I746" s="8">
        <v>32562</v>
      </c>
      <c r="J746" s="8">
        <v>35610</v>
      </c>
      <c r="K746" s="9">
        <f>Tabla156798[[#This Row],[PRECIO CLIENTE]]-Tabla156798[[#This Row],[CANTIDAD PUBLICA]]</f>
        <v>3048</v>
      </c>
      <c r="L746" s="10">
        <f>Tabla156798[[#This Row],[COMISION AGENCIA]]*0.05</f>
        <v>152.4</v>
      </c>
      <c r="M746" s="7"/>
      <c r="N746" s="7" t="s">
        <v>3159</v>
      </c>
      <c r="O746" s="7" t="s">
        <v>47</v>
      </c>
      <c r="P746" s="7"/>
    </row>
    <row r="747" spans="1:16" x14ac:dyDescent="0.25">
      <c r="A747" s="14">
        <v>45056</v>
      </c>
      <c r="B747" s="14">
        <v>45056</v>
      </c>
      <c r="C747" s="6">
        <v>45056</v>
      </c>
      <c r="D747" s="6">
        <v>45240</v>
      </c>
      <c r="E747" s="6">
        <v>45244</v>
      </c>
      <c r="F747" s="115">
        <v>24859</v>
      </c>
      <c r="G747" s="8" t="s">
        <v>1879</v>
      </c>
      <c r="H747" s="8" t="s">
        <v>2873</v>
      </c>
      <c r="I747" s="8">
        <f>1428*18.02</f>
        <v>25732.559999999998</v>
      </c>
      <c r="J747" s="8">
        <f>1428*18.02</f>
        <v>25732.559999999998</v>
      </c>
      <c r="K747" s="9">
        <f>Tabla156798[[#This Row],[CANTIDAD PUBLICA]]*0.05</f>
        <v>1286.6279999999999</v>
      </c>
      <c r="L747" s="10">
        <f>Tabla156798[[#This Row],[COMISION AGENCIA]]*0.05</f>
        <v>64.331400000000002</v>
      </c>
      <c r="M747" s="7">
        <v>8115242664</v>
      </c>
      <c r="N747" s="7"/>
      <c r="O747" s="7" t="s">
        <v>2874</v>
      </c>
      <c r="P747" s="159" t="s">
        <v>3160</v>
      </c>
    </row>
    <row r="748" spans="1:16" x14ac:dyDescent="0.25">
      <c r="A748" s="14">
        <v>45056</v>
      </c>
      <c r="B748" s="14">
        <v>45056</v>
      </c>
      <c r="C748" s="6">
        <v>45056</v>
      </c>
      <c r="D748" s="6">
        <v>45240</v>
      </c>
      <c r="E748" s="6">
        <v>45245</v>
      </c>
      <c r="F748" s="115">
        <v>24861</v>
      </c>
      <c r="G748" s="8" t="s">
        <v>3034</v>
      </c>
      <c r="H748" s="8" t="s">
        <v>2873</v>
      </c>
      <c r="I748" s="8">
        <f>3364*18.02</f>
        <v>60619.28</v>
      </c>
      <c r="J748" s="8">
        <f>3364*18.02</f>
        <v>60619.28</v>
      </c>
      <c r="K748" s="9">
        <f>Tabla156798[[#This Row],[CANTIDAD PUBLICA]]*0.05</f>
        <v>3030.9639999999999</v>
      </c>
      <c r="L748" s="10">
        <f>Tabla156798[[#This Row],[COMISION AGENCIA]]*0.05</f>
        <v>151.54820000000001</v>
      </c>
      <c r="M748" s="7">
        <v>3481485676</v>
      </c>
      <c r="N748" s="7"/>
      <c r="O748" s="7" t="s">
        <v>2874</v>
      </c>
      <c r="P748" s="7"/>
    </row>
    <row r="749" spans="1:16" x14ac:dyDescent="0.25">
      <c r="A749" s="14">
        <v>45056</v>
      </c>
      <c r="B749" s="14">
        <v>45056</v>
      </c>
      <c r="C749" s="6">
        <v>45056</v>
      </c>
      <c r="D749" s="6">
        <v>45099</v>
      </c>
      <c r="E749" s="7"/>
      <c r="F749" s="115">
        <v>24863</v>
      </c>
      <c r="G749" s="8" t="s">
        <v>3161</v>
      </c>
      <c r="H749" s="8" t="s">
        <v>2108</v>
      </c>
      <c r="I749" s="8">
        <v>3461</v>
      </c>
      <c r="J749" s="8">
        <v>4140</v>
      </c>
      <c r="K749" s="9">
        <f>Tabla156798[[#This Row],[PRECIO CLIENTE]]-Tabla156798[[#This Row],[CANTIDAD PUBLICA]]</f>
        <v>679</v>
      </c>
      <c r="L749" s="10">
        <f>Tabla156798[[#This Row],[COMISION AGENCIA]]*0.05</f>
        <v>33.950000000000003</v>
      </c>
      <c r="M749" s="7"/>
      <c r="N749" s="7" t="s">
        <v>3162</v>
      </c>
      <c r="O749" s="7" t="s">
        <v>47</v>
      </c>
      <c r="P749" s="7"/>
    </row>
    <row r="750" spans="1:16" x14ac:dyDescent="0.25">
      <c r="A750" s="14">
        <v>45056</v>
      </c>
      <c r="B750" s="14">
        <v>45056</v>
      </c>
      <c r="C750" s="6">
        <v>45056</v>
      </c>
      <c r="D750" s="6">
        <v>45238</v>
      </c>
      <c r="E750" s="6">
        <v>45244</v>
      </c>
      <c r="F750" s="115">
        <v>24862</v>
      </c>
      <c r="G750" s="8" t="s">
        <v>3163</v>
      </c>
      <c r="H750" s="8" t="s">
        <v>3164</v>
      </c>
      <c r="I750" s="8">
        <v>8610</v>
      </c>
      <c r="J750" s="8">
        <v>11010</v>
      </c>
      <c r="K750" s="9">
        <f>Tabla156798[[#This Row],[PRECIO CLIENTE]]-Tabla156798[[#This Row],[CANTIDAD PUBLICA]]</f>
        <v>2400</v>
      </c>
      <c r="L750" s="10">
        <f>Tabla156798[[#This Row],[COMISION AGENCIA]]*0.05</f>
        <v>120</v>
      </c>
      <c r="M750" s="7"/>
      <c r="N750" s="7" t="s">
        <v>3165</v>
      </c>
      <c r="O750" s="7" t="s">
        <v>47</v>
      </c>
      <c r="P750" s="7"/>
    </row>
    <row r="751" spans="1:16" x14ac:dyDescent="0.25">
      <c r="A751" s="14">
        <v>45056</v>
      </c>
      <c r="B751" s="14">
        <v>45056</v>
      </c>
      <c r="C751" s="6">
        <v>45056</v>
      </c>
      <c r="D751" s="6">
        <v>45238</v>
      </c>
      <c r="E751" s="6">
        <v>45244</v>
      </c>
      <c r="F751" s="115">
        <v>24862</v>
      </c>
      <c r="G751" s="8" t="s">
        <v>3166</v>
      </c>
      <c r="H751" s="8" t="s">
        <v>3164</v>
      </c>
      <c r="I751" s="8">
        <v>8958</v>
      </c>
      <c r="J751" s="8">
        <v>10110</v>
      </c>
      <c r="K751" s="9">
        <f>Tabla156798[[#This Row],[PRECIO CLIENTE]]-Tabla156798[[#This Row],[CANTIDAD PUBLICA]]</f>
        <v>1152</v>
      </c>
      <c r="L751" s="10">
        <f>Tabla156798[[#This Row],[COMISION AGENCIA]]*0.05</f>
        <v>57.6</v>
      </c>
      <c r="M751" s="7"/>
      <c r="N751" s="7" t="s">
        <v>3167</v>
      </c>
      <c r="O751" s="7" t="s">
        <v>47</v>
      </c>
      <c r="P751" s="7"/>
    </row>
    <row r="752" spans="1:16" x14ac:dyDescent="0.25">
      <c r="A752" s="14">
        <v>45056</v>
      </c>
      <c r="B752" s="14">
        <v>45056</v>
      </c>
      <c r="C752" s="6">
        <v>45056</v>
      </c>
      <c r="D752" s="6">
        <v>45238</v>
      </c>
      <c r="E752" s="6">
        <v>45244</v>
      </c>
      <c r="F752" s="115">
        <v>24862</v>
      </c>
      <c r="G752" s="8" t="s">
        <v>3168</v>
      </c>
      <c r="H752" s="8" t="s">
        <v>3164</v>
      </c>
      <c r="I752" s="8">
        <v>9080</v>
      </c>
      <c r="J752" s="8">
        <v>9850</v>
      </c>
      <c r="K752" s="9">
        <f>Tabla156798[[#This Row],[PRECIO CLIENTE]]-Tabla156798[[#This Row],[CANTIDAD PUBLICA]]</f>
        <v>770</v>
      </c>
      <c r="L752" s="10">
        <f>Tabla156798[[#This Row],[COMISION AGENCIA]]*0.05</f>
        <v>38.5</v>
      </c>
      <c r="M752" s="7"/>
      <c r="N752" s="7" t="s">
        <v>3169</v>
      </c>
      <c r="O752" s="7" t="s">
        <v>47</v>
      </c>
      <c r="P752" s="7"/>
    </row>
    <row r="753" spans="1:16" x14ac:dyDescent="0.25">
      <c r="A753" s="14">
        <v>45057</v>
      </c>
      <c r="B753" s="14">
        <v>45057</v>
      </c>
      <c r="C753" s="6">
        <v>45057</v>
      </c>
      <c r="D753" s="6">
        <v>45060</v>
      </c>
      <c r="E753" s="7"/>
      <c r="F753" s="115">
        <v>24871</v>
      </c>
      <c r="G753" s="8" t="s">
        <v>3007</v>
      </c>
      <c r="H753" s="8" t="s">
        <v>1837</v>
      </c>
      <c r="I753" s="8">
        <v>5024</v>
      </c>
      <c r="J753" s="8">
        <v>5740</v>
      </c>
      <c r="K753" s="9">
        <f>Tabla156798[[#This Row],[PRECIO CLIENTE]]-Tabla156798[[#This Row],[CANTIDAD PUBLICA]]</f>
        <v>716</v>
      </c>
      <c r="L753" s="10">
        <f>Tabla156798[[#This Row],[COMISION AGENCIA]]*0.05</f>
        <v>35.800000000000004</v>
      </c>
      <c r="M753" s="7"/>
      <c r="N753" s="7" t="s">
        <v>3170</v>
      </c>
      <c r="O753" s="7" t="s">
        <v>47</v>
      </c>
      <c r="P753" s="7"/>
    </row>
    <row r="754" spans="1:16" x14ac:dyDescent="0.25">
      <c r="A754" s="14">
        <v>45057</v>
      </c>
      <c r="B754" s="14">
        <v>45057</v>
      </c>
      <c r="C754" s="6">
        <v>45057</v>
      </c>
      <c r="D754" s="6">
        <v>45064</v>
      </c>
      <c r="E754" s="7"/>
      <c r="F754" s="115">
        <v>24876</v>
      </c>
      <c r="G754" s="8" t="s">
        <v>3171</v>
      </c>
      <c r="H754" s="8" t="s">
        <v>1290</v>
      </c>
      <c r="I754" s="8">
        <v>6088</v>
      </c>
      <c r="J754" s="8">
        <v>7600</v>
      </c>
      <c r="K754" s="9">
        <f>Tabla156798[[#This Row],[PRECIO CLIENTE]]-Tabla156798[[#This Row],[CANTIDAD PUBLICA]]</f>
        <v>1512</v>
      </c>
      <c r="L754" s="10">
        <f>Tabla156798[[#This Row],[COMISION AGENCIA]]*0.05</f>
        <v>75.600000000000009</v>
      </c>
      <c r="M754" s="7"/>
      <c r="N754" s="7" t="s">
        <v>3172</v>
      </c>
      <c r="O754" s="7" t="s">
        <v>47</v>
      </c>
      <c r="P754" s="7"/>
    </row>
    <row r="755" spans="1:16" x14ac:dyDescent="0.25">
      <c r="A755" s="14">
        <v>45058</v>
      </c>
      <c r="B755" s="14">
        <v>45058</v>
      </c>
      <c r="C755" s="6">
        <v>45058</v>
      </c>
      <c r="D755" s="6">
        <v>45191</v>
      </c>
      <c r="E755" s="6">
        <v>45215</v>
      </c>
      <c r="F755" s="115">
        <v>24881</v>
      </c>
      <c r="G755" s="8" t="s">
        <v>3173</v>
      </c>
      <c r="H755" s="8" t="s">
        <v>1743</v>
      </c>
      <c r="I755" s="8">
        <v>5972</v>
      </c>
      <c r="J755" s="8">
        <v>6280</v>
      </c>
      <c r="K755" s="9">
        <f>Tabla156798[[#This Row],[PRECIO CLIENTE]]-Tabla156798[[#This Row],[CANTIDAD PUBLICA]]</f>
        <v>308</v>
      </c>
      <c r="L755" s="10">
        <f>Tabla156798[[#This Row],[COMISION AGENCIA]]*0.05</f>
        <v>15.4</v>
      </c>
      <c r="M755" s="7"/>
      <c r="N755" s="7" t="s">
        <v>3174</v>
      </c>
      <c r="O755" s="7" t="s">
        <v>47</v>
      </c>
      <c r="P755" s="7"/>
    </row>
    <row r="756" spans="1:16" x14ac:dyDescent="0.25">
      <c r="A756" s="14">
        <v>45058</v>
      </c>
      <c r="B756" s="14">
        <v>45058</v>
      </c>
      <c r="C756" s="6">
        <v>45058</v>
      </c>
      <c r="D756" s="6">
        <v>45077</v>
      </c>
      <c r="E756" s="7"/>
      <c r="F756" s="115">
        <v>24887</v>
      </c>
      <c r="G756" s="8" t="s">
        <v>3175</v>
      </c>
      <c r="H756" s="8" t="s">
        <v>1558</v>
      </c>
      <c r="I756" s="8">
        <v>1741</v>
      </c>
      <c r="J756" s="8">
        <v>2050</v>
      </c>
      <c r="K756" s="9">
        <f>Tabla156798[[#This Row],[PRECIO CLIENTE]]-Tabla156798[[#This Row],[CANTIDAD PUBLICA]]</f>
        <v>309</v>
      </c>
      <c r="L756" s="10">
        <f>Tabla156798[[#This Row],[COMISION AGENCIA]]*0.05</f>
        <v>15.450000000000001</v>
      </c>
      <c r="M756" s="7"/>
      <c r="N756" s="7" t="s">
        <v>3176</v>
      </c>
      <c r="O756" s="7" t="s">
        <v>86</v>
      </c>
      <c r="P756" s="7"/>
    </row>
    <row r="757" spans="1:16" x14ac:dyDescent="0.25">
      <c r="A757" s="14">
        <v>45058</v>
      </c>
      <c r="B757" s="14">
        <v>45058</v>
      </c>
      <c r="C757" s="6">
        <v>45058</v>
      </c>
      <c r="D757" s="6">
        <v>45084</v>
      </c>
      <c r="E757" s="6">
        <v>45087</v>
      </c>
      <c r="F757" s="115">
        <v>24889</v>
      </c>
      <c r="G757" s="8" t="s">
        <v>3177</v>
      </c>
      <c r="H757" s="8" t="s">
        <v>2499</v>
      </c>
      <c r="I757" s="8">
        <v>1642</v>
      </c>
      <c r="J757" s="8">
        <v>2000</v>
      </c>
      <c r="K757" s="9">
        <f>Tabla156798[[#This Row],[PRECIO CLIENTE]]-Tabla156798[[#This Row],[CANTIDAD PUBLICA]]</f>
        <v>358</v>
      </c>
      <c r="L757" s="10">
        <f>Tabla156798[[#This Row],[COMISION AGENCIA]]*0.05</f>
        <v>17.900000000000002</v>
      </c>
      <c r="M757" s="7"/>
      <c r="N757" s="7" t="s">
        <v>3178</v>
      </c>
      <c r="O757" s="7" t="s">
        <v>47</v>
      </c>
      <c r="P757" s="7"/>
    </row>
    <row r="758" spans="1:16" x14ac:dyDescent="0.25">
      <c r="A758" s="14">
        <v>45058</v>
      </c>
      <c r="B758" s="14">
        <v>45058</v>
      </c>
      <c r="C758" s="6">
        <v>45058</v>
      </c>
      <c r="D758" s="6">
        <v>45064</v>
      </c>
      <c r="E758" s="7"/>
      <c r="F758" s="115">
        <v>24890</v>
      </c>
      <c r="G758" s="8" t="s">
        <v>3179</v>
      </c>
      <c r="H758" s="8" t="s">
        <v>1955</v>
      </c>
      <c r="I758" s="8">
        <v>3276</v>
      </c>
      <c r="J758" s="8">
        <v>3715</v>
      </c>
      <c r="K758" s="9">
        <f>Tabla156798[[#This Row],[PRECIO CLIENTE]]-Tabla156798[[#This Row],[CANTIDAD PUBLICA]]</f>
        <v>439</v>
      </c>
      <c r="L758" s="10">
        <f>Tabla156798[[#This Row],[COMISION AGENCIA]]*0.05</f>
        <v>21.950000000000003</v>
      </c>
      <c r="M758" s="7"/>
      <c r="N758" s="7" t="s">
        <v>3180</v>
      </c>
      <c r="O758" s="7" t="s">
        <v>47</v>
      </c>
      <c r="P758" s="7"/>
    </row>
    <row r="759" spans="1:16" x14ac:dyDescent="0.25">
      <c r="A759" s="14">
        <v>45058</v>
      </c>
      <c r="B759" s="14">
        <v>45058</v>
      </c>
      <c r="C759" s="6">
        <v>45058</v>
      </c>
      <c r="D759" s="6">
        <v>45066</v>
      </c>
      <c r="E759" s="6">
        <v>45070</v>
      </c>
      <c r="F759" s="115">
        <v>24914</v>
      </c>
      <c r="G759" s="8" t="s">
        <v>3181</v>
      </c>
      <c r="H759" s="8" t="s">
        <v>1625</v>
      </c>
      <c r="I759" s="8">
        <v>9981</v>
      </c>
      <c r="J759" s="8">
        <v>11340</v>
      </c>
      <c r="K759" s="9">
        <f>Tabla156798[[#This Row],[PRECIO CLIENTE]]-Tabla156798[[#This Row],[CANTIDAD PUBLICA]]</f>
        <v>1359</v>
      </c>
      <c r="L759" s="10">
        <f>Tabla156798[[#This Row],[COMISION AGENCIA]]*0.05</f>
        <v>67.95</v>
      </c>
      <c r="M759" s="7"/>
      <c r="N759" s="7" t="s">
        <v>3182</v>
      </c>
      <c r="O759" s="7" t="s">
        <v>47</v>
      </c>
      <c r="P759" s="7"/>
    </row>
    <row r="760" spans="1:16" x14ac:dyDescent="0.25">
      <c r="A760" s="14">
        <v>45058</v>
      </c>
      <c r="B760" s="14">
        <v>45058</v>
      </c>
      <c r="C760" s="6">
        <v>45058</v>
      </c>
      <c r="D760" s="6">
        <v>45099</v>
      </c>
      <c r="E760" s="7"/>
      <c r="F760" s="115">
        <v>24917</v>
      </c>
      <c r="G760" s="8" t="s">
        <v>3183</v>
      </c>
      <c r="H760" s="8" t="s">
        <v>2108</v>
      </c>
      <c r="I760" s="8">
        <v>2339</v>
      </c>
      <c r="J760" s="8">
        <v>2745</v>
      </c>
      <c r="K760" s="9">
        <f>Tabla156798[[#This Row],[PRECIO CLIENTE]]-Tabla156798[[#This Row],[CANTIDAD PUBLICA]]</f>
        <v>406</v>
      </c>
      <c r="L760" s="10">
        <f>Tabla156798[[#This Row],[COMISION AGENCIA]]*0.05</f>
        <v>20.3</v>
      </c>
      <c r="M760" s="7"/>
      <c r="N760" s="7" t="s">
        <v>3184</v>
      </c>
      <c r="O760" s="7" t="s">
        <v>47</v>
      </c>
      <c r="P760" s="7"/>
    </row>
    <row r="761" spans="1:16" x14ac:dyDescent="0.25">
      <c r="A761" s="14">
        <v>45058</v>
      </c>
      <c r="B761" s="14" t="s">
        <v>2468</v>
      </c>
      <c r="C761" s="6">
        <v>45058</v>
      </c>
      <c r="D761" s="6">
        <v>45075</v>
      </c>
      <c r="E761" s="6">
        <v>45079</v>
      </c>
      <c r="F761" s="115">
        <v>24886</v>
      </c>
      <c r="G761" s="8" t="s">
        <v>3185</v>
      </c>
      <c r="H761" s="8" t="s">
        <v>1773</v>
      </c>
      <c r="I761" s="8">
        <v>18490</v>
      </c>
      <c r="J761" s="8">
        <v>16090</v>
      </c>
      <c r="K761" s="9">
        <f>Tabla156798[[#This Row],[CANTIDAD PUBLICA]]*0.05</f>
        <v>924.5</v>
      </c>
      <c r="L761" s="10">
        <f>Tabla156798[[#This Row],[COMISION AGENCIA]]*0.05</f>
        <v>46.225000000000001</v>
      </c>
      <c r="M761" s="7">
        <v>3481350007</v>
      </c>
      <c r="N761" s="7" t="s">
        <v>3186</v>
      </c>
      <c r="O761" s="7" t="s">
        <v>6</v>
      </c>
      <c r="P761" s="7"/>
    </row>
    <row r="762" spans="1:16" x14ac:dyDescent="0.25">
      <c r="A762" s="14">
        <v>45058</v>
      </c>
      <c r="B762" s="14" t="s">
        <v>2468</v>
      </c>
      <c r="C762" s="6">
        <v>45058</v>
      </c>
      <c r="D762" s="6">
        <v>45075</v>
      </c>
      <c r="E762" s="6">
        <v>45078</v>
      </c>
      <c r="F762" s="115">
        <v>24885</v>
      </c>
      <c r="G762" s="8" t="s">
        <v>3187</v>
      </c>
      <c r="H762" s="8" t="s">
        <v>1773</v>
      </c>
      <c r="I762" s="8">
        <v>13492.5</v>
      </c>
      <c r="J762" s="8">
        <v>11740</v>
      </c>
      <c r="K762" s="9">
        <f>Tabla156798[[#This Row],[CANTIDAD PUBLICA]]*0.05</f>
        <v>674.625</v>
      </c>
      <c r="L762" s="10">
        <f>Tabla156798[[#This Row],[COMISION AGENCIA]]*0.05</f>
        <v>33.731250000000003</v>
      </c>
      <c r="M762" s="7">
        <v>3481211983</v>
      </c>
      <c r="N762" s="7" t="s">
        <v>3188</v>
      </c>
      <c r="O762" s="7" t="s">
        <v>6</v>
      </c>
      <c r="P762" s="7"/>
    </row>
    <row r="763" spans="1:16" x14ac:dyDescent="0.25">
      <c r="A763" s="14">
        <v>45058</v>
      </c>
      <c r="B763" s="14" t="s">
        <v>2468</v>
      </c>
      <c r="C763" s="6">
        <v>45058</v>
      </c>
      <c r="D763" s="6">
        <v>45075</v>
      </c>
      <c r="E763" s="6">
        <v>45078</v>
      </c>
      <c r="F763" s="115">
        <v>24885</v>
      </c>
      <c r="G763" s="8" t="s">
        <v>3189</v>
      </c>
      <c r="H763" s="8" t="s">
        <v>1773</v>
      </c>
      <c r="I763" s="8">
        <v>16865.63</v>
      </c>
      <c r="J763" s="8">
        <v>14675</v>
      </c>
      <c r="K763" s="9">
        <f>Tabla156798[[#This Row],[CANTIDAD PUBLICA]]*0.05</f>
        <v>843.28150000000005</v>
      </c>
      <c r="L763" s="10">
        <f>Tabla156798[[#This Row],[COMISION AGENCIA]]*0.05</f>
        <v>42.164075000000004</v>
      </c>
      <c r="M763" s="7">
        <v>3481211983</v>
      </c>
      <c r="N763" s="7" t="s">
        <v>3190</v>
      </c>
      <c r="O763" s="7" t="s">
        <v>6</v>
      </c>
      <c r="P763" s="7"/>
    </row>
    <row r="764" spans="1:16" x14ac:dyDescent="0.25">
      <c r="A764" s="14">
        <v>45058</v>
      </c>
      <c r="B764" s="14" t="s">
        <v>2468</v>
      </c>
      <c r="C764" s="6">
        <v>45058</v>
      </c>
      <c r="D764" s="6">
        <v>45075</v>
      </c>
      <c r="E764" s="6">
        <v>45078</v>
      </c>
      <c r="F764" s="115">
        <v>24885</v>
      </c>
      <c r="G764" s="8" t="s">
        <v>3191</v>
      </c>
      <c r="H764" s="8" t="s">
        <v>1773</v>
      </c>
      <c r="I764" s="8">
        <v>13492.5</v>
      </c>
      <c r="J764" s="8">
        <v>11740</v>
      </c>
      <c r="K764" s="9">
        <f>Tabla156798[[#This Row],[CANTIDAD PUBLICA]]*0.05</f>
        <v>674.625</v>
      </c>
      <c r="L764" s="10">
        <f>Tabla156798[[#This Row],[COMISION AGENCIA]]*0.05</f>
        <v>33.731250000000003</v>
      </c>
      <c r="M764" s="7">
        <v>3481211983</v>
      </c>
      <c r="N764" s="7" t="s">
        <v>3192</v>
      </c>
      <c r="O764" s="7" t="s">
        <v>6</v>
      </c>
      <c r="P764" s="7"/>
    </row>
    <row r="765" spans="1:16" x14ac:dyDescent="0.25">
      <c r="A765" s="14">
        <f>Tabla156798[[#This Row],[FECHA IN]]-15</f>
        <v>45059</v>
      </c>
      <c r="B765" s="14">
        <v>45055</v>
      </c>
      <c r="C765" s="6">
        <v>44975</v>
      </c>
      <c r="D765" s="6">
        <v>45074</v>
      </c>
      <c r="E765" s="6">
        <v>45078</v>
      </c>
      <c r="F765" s="115">
        <v>23629</v>
      </c>
      <c r="G765" s="8" t="s">
        <v>3193</v>
      </c>
      <c r="H765" s="8" t="s">
        <v>2181</v>
      </c>
      <c r="I765" s="8">
        <v>18175.400000000001</v>
      </c>
      <c r="J765" s="8">
        <v>15518</v>
      </c>
      <c r="K765" s="9">
        <f>Tabla156798[[#This Row],[CANTIDAD PUBLICA]]*0.05</f>
        <v>908.7700000000001</v>
      </c>
      <c r="L765" s="10">
        <f>Tabla156798[[#This Row],[COMISION AGENCIA]]*0.05</f>
        <v>45.438500000000005</v>
      </c>
      <c r="M765" s="7">
        <v>3481523573</v>
      </c>
      <c r="N765" s="7" t="s">
        <v>3194</v>
      </c>
      <c r="O765" s="7" t="s">
        <v>6</v>
      </c>
      <c r="P765" s="7"/>
    </row>
    <row r="766" spans="1:16" x14ac:dyDescent="0.25">
      <c r="A766" s="14">
        <f>Tabla156798[[#This Row],[FECHA IN]]-15</f>
        <v>45059</v>
      </c>
      <c r="B766" s="14">
        <v>45055</v>
      </c>
      <c r="C766" s="6">
        <v>44975</v>
      </c>
      <c r="D766" s="6">
        <v>45074</v>
      </c>
      <c r="E766" s="6">
        <v>45078</v>
      </c>
      <c r="F766" s="115">
        <v>23629</v>
      </c>
      <c r="G766" s="8" t="s">
        <v>3195</v>
      </c>
      <c r="H766" s="8" t="s">
        <v>2181</v>
      </c>
      <c r="I766" s="8">
        <v>18175.400000000001</v>
      </c>
      <c r="J766" s="8">
        <v>15518</v>
      </c>
      <c r="K766" s="9">
        <f>Tabla156798[[#This Row],[CANTIDAD PUBLICA]]*0.05</f>
        <v>908.7700000000001</v>
      </c>
      <c r="L766" s="10">
        <f>Tabla156798[[#This Row],[COMISION AGENCIA]]*0.05</f>
        <v>45.438500000000005</v>
      </c>
      <c r="M766" s="7">
        <v>3481523573</v>
      </c>
      <c r="N766" s="7" t="s">
        <v>3196</v>
      </c>
      <c r="O766" s="7" t="s">
        <v>6</v>
      </c>
      <c r="P766" s="7"/>
    </row>
    <row r="767" spans="1:16" x14ac:dyDescent="0.25">
      <c r="A767" s="14">
        <f>Tabla156798[[#This Row],[FECHA IN]]-15</f>
        <v>45059</v>
      </c>
      <c r="B767" s="14">
        <v>44911</v>
      </c>
      <c r="C767" s="6">
        <v>44908</v>
      </c>
      <c r="D767" s="6">
        <v>45074</v>
      </c>
      <c r="E767" s="6">
        <v>45078</v>
      </c>
      <c r="F767" s="115">
        <v>22946</v>
      </c>
      <c r="G767" s="8" t="s">
        <v>3197</v>
      </c>
      <c r="H767" s="8" t="s">
        <v>3198</v>
      </c>
      <c r="I767" s="8">
        <v>241592</v>
      </c>
      <c r="J767" s="8">
        <v>202937</v>
      </c>
      <c r="K767" s="9">
        <f>Tabla156798[[#This Row],[CANTIDAD PUBLICA]]*0.02</f>
        <v>4831.84</v>
      </c>
      <c r="L767" s="10">
        <f>Tabla156798[[#This Row],[COMISION AGENCIA]]*0.05</f>
        <v>241.59200000000001</v>
      </c>
      <c r="M767" s="7">
        <v>3471107899</v>
      </c>
      <c r="N767" s="7" t="s">
        <v>3199</v>
      </c>
      <c r="O767" s="7" t="s">
        <v>2243</v>
      </c>
      <c r="P767" s="7"/>
    </row>
    <row r="768" spans="1:16" x14ac:dyDescent="0.25">
      <c r="A768" s="14">
        <f>Tabla156798[[#This Row],[FECHA IN]]-22</f>
        <v>45059</v>
      </c>
      <c r="B768" s="14">
        <v>45050</v>
      </c>
      <c r="C768" s="6">
        <v>45033</v>
      </c>
      <c r="D768" s="6">
        <v>45081</v>
      </c>
      <c r="E768" s="6">
        <v>45085</v>
      </c>
      <c r="F768" s="115">
        <v>24473</v>
      </c>
      <c r="G768" s="8" t="s">
        <v>3200</v>
      </c>
      <c r="H768" s="8" t="s">
        <v>3201</v>
      </c>
      <c r="I768" s="8">
        <v>15756.76</v>
      </c>
      <c r="J768" s="8">
        <v>13710</v>
      </c>
      <c r="K768" s="9">
        <f>Tabla156798[[#This Row],[CANTIDAD PUBLICA]]*0.05</f>
        <v>787.83800000000008</v>
      </c>
      <c r="L768" s="10">
        <f>Tabla156798[[#This Row],[COMISION AGENCIA]]*0.05</f>
        <v>39.391900000000007</v>
      </c>
      <c r="M768" s="7">
        <v>3317181430</v>
      </c>
      <c r="N768" s="7" t="s">
        <v>3202</v>
      </c>
      <c r="O768" s="7" t="s">
        <v>6</v>
      </c>
      <c r="P768" s="7"/>
    </row>
    <row r="769" spans="1:16" x14ac:dyDescent="0.25">
      <c r="A769" s="14">
        <f>Tabla156798[[#This Row],[FECHA IN]]-22</f>
        <v>45059</v>
      </c>
      <c r="B769" s="14">
        <v>45050</v>
      </c>
      <c r="C769" s="6">
        <v>45033</v>
      </c>
      <c r="D769" s="6">
        <v>45081</v>
      </c>
      <c r="E769" s="6">
        <v>45085</v>
      </c>
      <c r="F769" s="115">
        <v>24473</v>
      </c>
      <c r="G769" s="8" t="s">
        <v>3203</v>
      </c>
      <c r="H769" s="8" t="s">
        <v>3201</v>
      </c>
      <c r="I769" s="8">
        <v>19409.46</v>
      </c>
      <c r="J769" s="8">
        <v>16890</v>
      </c>
      <c r="K769" s="9">
        <f>Tabla156798[[#This Row],[CANTIDAD PUBLICA]]*0.05</f>
        <v>970.47299999999996</v>
      </c>
      <c r="L769" s="10">
        <f>Tabla156798[[#This Row],[COMISION AGENCIA]]*0.05</f>
        <v>48.523650000000004</v>
      </c>
      <c r="M769" s="7">
        <v>3317181430</v>
      </c>
      <c r="N769" s="7" t="s">
        <v>3204</v>
      </c>
      <c r="O769" s="7" t="s">
        <v>6</v>
      </c>
      <c r="P769" s="7"/>
    </row>
    <row r="770" spans="1:16" x14ac:dyDescent="0.25">
      <c r="A770" s="94">
        <f>Tabla156798[[#This Row],[FECHA IN]]-22</f>
        <v>45059</v>
      </c>
      <c r="B770" s="94">
        <v>45050</v>
      </c>
      <c r="C770" s="94">
        <v>45033</v>
      </c>
      <c r="D770" s="94">
        <v>45081</v>
      </c>
      <c r="E770" s="94">
        <v>45085</v>
      </c>
      <c r="F770" s="116"/>
      <c r="G770" s="22" t="s">
        <v>3205</v>
      </c>
      <c r="H770" s="22" t="s">
        <v>3201</v>
      </c>
      <c r="I770" s="22"/>
      <c r="J770" s="22"/>
      <c r="K770" s="95"/>
      <c r="L770" s="96">
        <f>Tabla156798[[#This Row],[COMISION AGENCIA]]*0.05</f>
        <v>0</v>
      </c>
      <c r="M770" s="54">
        <v>3317181430</v>
      </c>
      <c r="N770" s="54" t="s">
        <v>3206</v>
      </c>
      <c r="O770" s="54" t="s">
        <v>6</v>
      </c>
      <c r="P770" s="54"/>
    </row>
    <row r="771" spans="1:16" x14ac:dyDescent="0.25">
      <c r="A771" s="94">
        <f>Tabla156798[[#This Row],[FECHA IN]]-22</f>
        <v>45059</v>
      </c>
      <c r="B771" s="94">
        <v>45050</v>
      </c>
      <c r="C771" s="94">
        <v>45033</v>
      </c>
      <c r="D771" s="94">
        <v>45081</v>
      </c>
      <c r="E771" s="94">
        <v>45085</v>
      </c>
      <c r="F771" s="116"/>
      <c r="G771" s="22" t="s">
        <v>3207</v>
      </c>
      <c r="H771" s="22" t="s">
        <v>3201</v>
      </c>
      <c r="I771" s="22"/>
      <c r="J771" s="22"/>
      <c r="K771" s="95"/>
      <c r="L771" s="96">
        <f>Tabla156798[[#This Row],[COMISION AGENCIA]]*0.05</f>
        <v>0</v>
      </c>
      <c r="M771" s="54">
        <v>3317181430</v>
      </c>
      <c r="N771" s="54" t="s">
        <v>3208</v>
      </c>
      <c r="O771" s="54" t="s">
        <v>6</v>
      </c>
      <c r="P771" s="54"/>
    </row>
    <row r="772" spans="1:16" x14ac:dyDescent="0.25">
      <c r="A772" s="14">
        <f>Tabla156798[[#This Row],[FECHA IN]]-22</f>
        <v>45059</v>
      </c>
      <c r="B772" s="14">
        <v>45050</v>
      </c>
      <c r="C772" s="6">
        <v>45033</v>
      </c>
      <c r="D772" s="6">
        <v>45081</v>
      </c>
      <c r="E772" s="6">
        <v>45085</v>
      </c>
      <c r="F772" s="115">
        <v>24546</v>
      </c>
      <c r="G772" s="8" t="s">
        <v>3209</v>
      </c>
      <c r="H772" s="8" t="s">
        <v>3201</v>
      </c>
      <c r="I772" s="8">
        <v>22226.59</v>
      </c>
      <c r="J772" s="8">
        <v>19340</v>
      </c>
      <c r="K772" s="9">
        <f>Tabla156798[[#This Row],[CANTIDAD PUBLICA]]*0.05</f>
        <v>1111.3295000000001</v>
      </c>
      <c r="L772" s="10">
        <f>Tabla156798[[#This Row],[COMISION AGENCIA]]*0.05</f>
        <v>55.566475000000004</v>
      </c>
      <c r="M772" s="7">
        <v>3317181430</v>
      </c>
      <c r="N772" s="7" t="s">
        <v>3210</v>
      </c>
      <c r="O772" s="7" t="s">
        <v>6</v>
      </c>
      <c r="P772" s="7"/>
    </row>
    <row r="773" spans="1:16" x14ac:dyDescent="0.25">
      <c r="A773" s="14">
        <f>Tabla156798[[#This Row],[FECHA IN]]-22</f>
        <v>45059</v>
      </c>
      <c r="B773" s="14">
        <v>45050</v>
      </c>
      <c r="C773" s="6">
        <v>45033</v>
      </c>
      <c r="D773" s="6">
        <v>45081</v>
      </c>
      <c r="E773" s="6">
        <v>45085</v>
      </c>
      <c r="F773" s="115">
        <v>24473</v>
      </c>
      <c r="G773" s="8" t="s">
        <v>3211</v>
      </c>
      <c r="H773" s="8" t="s">
        <v>3201</v>
      </c>
      <c r="I773" s="8">
        <v>15756.76</v>
      </c>
      <c r="J773" s="8">
        <v>13710</v>
      </c>
      <c r="K773" s="9">
        <f>Tabla156798[[#This Row],[CANTIDAD PUBLICA]]*0.05</f>
        <v>787.83800000000008</v>
      </c>
      <c r="L773" s="10">
        <f>Tabla156798[[#This Row],[COMISION AGENCIA]]*0.05</f>
        <v>39.391900000000007</v>
      </c>
      <c r="M773" s="7">
        <v>3317181430</v>
      </c>
      <c r="N773" s="7" t="s">
        <v>3212</v>
      </c>
      <c r="O773" s="7" t="s">
        <v>6</v>
      </c>
      <c r="P773" s="7"/>
    </row>
    <row r="774" spans="1:16" x14ac:dyDescent="0.25">
      <c r="A774" s="14">
        <f>Tabla156798[[#This Row],[FECHA IN]]-22</f>
        <v>45060</v>
      </c>
      <c r="B774" s="14">
        <v>45050</v>
      </c>
      <c r="C774" s="6">
        <v>45033</v>
      </c>
      <c r="D774" s="6">
        <v>45082</v>
      </c>
      <c r="E774" s="6">
        <v>45085</v>
      </c>
      <c r="F774" s="115">
        <v>24473</v>
      </c>
      <c r="G774" s="8" t="s">
        <v>3213</v>
      </c>
      <c r="H774" s="8" t="s">
        <v>3201</v>
      </c>
      <c r="I774" s="8">
        <v>9704.74</v>
      </c>
      <c r="J774" s="8">
        <v>8445</v>
      </c>
      <c r="K774" s="9">
        <f>Tabla156798[[#This Row],[CANTIDAD PUBLICA]]*0.05</f>
        <v>485.23700000000002</v>
      </c>
      <c r="L774" s="10">
        <f>Tabla156798[[#This Row],[COMISION AGENCIA]]*0.05</f>
        <v>24.261850000000003</v>
      </c>
      <c r="M774" s="7">
        <v>3317181430</v>
      </c>
      <c r="N774" s="7" t="s">
        <v>3214</v>
      </c>
      <c r="O774" s="7" t="s">
        <v>6</v>
      </c>
      <c r="P774" s="7"/>
    </row>
    <row r="775" spans="1:16" x14ac:dyDescent="0.25">
      <c r="A775" s="14">
        <f>Tabla156798[[#This Row],[FECHA IN]]-22</f>
        <v>45060</v>
      </c>
      <c r="B775" s="14">
        <v>45058</v>
      </c>
      <c r="C775" s="6">
        <v>45050</v>
      </c>
      <c r="D775" s="6">
        <v>45082</v>
      </c>
      <c r="E775" s="6">
        <v>45085</v>
      </c>
      <c r="F775" s="115">
        <v>24785</v>
      </c>
      <c r="G775" s="8" t="s">
        <v>3215</v>
      </c>
      <c r="H775" s="8" t="s">
        <v>3201</v>
      </c>
      <c r="I775" s="8">
        <v>9859.7900000000009</v>
      </c>
      <c r="J775" s="8">
        <v>8580</v>
      </c>
      <c r="K775" s="9">
        <f>Tabla156798[[#This Row],[CANTIDAD PUBLICA]]*0.05</f>
        <v>492.98950000000008</v>
      </c>
      <c r="L775" s="10">
        <f>Tabla156798[[#This Row],[COMISION AGENCIA]]*0.05</f>
        <v>24.649475000000006</v>
      </c>
      <c r="M775" s="7">
        <v>3320323283</v>
      </c>
      <c r="N775" s="7" t="s">
        <v>3216</v>
      </c>
      <c r="O775" s="7" t="s">
        <v>6</v>
      </c>
      <c r="P775" s="7"/>
    </row>
    <row r="776" spans="1:16" x14ac:dyDescent="0.25">
      <c r="A776" s="14">
        <f>Tabla156798[[#This Row],[FECHA IN]]-22</f>
        <v>45060</v>
      </c>
      <c r="B776" s="14">
        <v>45058</v>
      </c>
      <c r="C776" s="6">
        <v>45050</v>
      </c>
      <c r="D776" s="6">
        <v>45082</v>
      </c>
      <c r="E776" s="6">
        <v>45085</v>
      </c>
      <c r="F776" s="115">
        <v>24785</v>
      </c>
      <c r="G776" s="8" t="s">
        <v>3217</v>
      </c>
      <c r="H776" s="8" t="s">
        <v>3201</v>
      </c>
      <c r="I776" s="8">
        <v>12006.39</v>
      </c>
      <c r="J776" s="8">
        <v>10445</v>
      </c>
      <c r="K776" s="9">
        <f>Tabla156798[[#This Row],[CANTIDAD PUBLICA]]*0.05</f>
        <v>600.31949999999995</v>
      </c>
      <c r="L776" s="10">
        <f>Tabla156798[[#This Row],[COMISION AGENCIA]]*0.05</f>
        <v>30.015974999999997</v>
      </c>
      <c r="M776" s="7">
        <v>3320323283</v>
      </c>
      <c r="N776" s="7" t="s">
        <v>3218</v>
      </c>
      <c r="O776" s="7" t="s">
        <v>6</v>
      </c>
      <c r="P776" s="7"/>
    </row>
    <row r="777" spans="1:16" x14ac:dyDescent="0.25">
      <c r="A777" s="14">
        <f>Tabla156798[[#This Row],[FECHA IN]]-22</f>
        <v>45060</v>
      </c>
      <c r="B777" s="14">
        <v>45066</v>
      </c>
      <c r="C777" s="6">
        <v>45030</v>
      </c>
      <c r="D777" s="6">
        <v>45082</v>
      </c>
      <c r="E777" s="6">
        <v>45086</v>
      </c>
      <c r="F777" s="115">
        <v>24949</v>
      </c>
      <c r="G777" s="8" t="s">
        <v>3219</v>
      </c>
      <c r="H777" s="8" t="s">
        <v>1628</v>
      </c>
      <c r="I777" s="8">
        <v>24571.39</v>
      </c>
      <c r="J777" s="8">
        <v>22330</v>
      </c>
      <c r="K777" s="9">
        <f>Tabla156798[[#This Row],[CANTIDAD PUBLICA]]*0.05</f>
        <v>1228.5695000000001</v>
      </c>
      <c r="L777" s="10">
        <f>Tabla156798[[#This Row],[COMISION AGENCIA]]*0.05</f>
        <v>61.428475000000006</v>
      </c>
      <c r="M777" s="7">
        <v>3781127666</v>
      </c>
      <c r="N777" s="7">
        <v>10767787</v>
      </c>
      <c r="O777" s="7" t="s">
        <v>5</v>
      </c>
      <c r="P777" s="7"/>
    </row>
    <row r="778" spans="1:16" x14ac:dyDescent="0.25">
      <c r="A778" s="14">
        <f>Tabla156798[[#This Row],[FECHA IN]]-22</f>
        <v>45060</v>
      </c>
      <c r="B778" s="14">
        <v>45066</v>
      </c>
      <c r="C778" s="6">
        <v>45030</v>
      </c>
      <c r="D778" s="6">
        <v>45082</v>
      </c>
      <c r="E778" s="6">
        <v>45086</v>
      </c>
      <c r="F778" s="115">
        <v>24949</v>
      </c>
      <c r="G778" s="8" t="s">
        <v>3220</v>
      </c>
      <c r="H778" s="8" t="s">
        <v>1628</v>
      </c>
      <c r="I778" s="8">
        <v>24571.39</v>
      </c>
      <c r="J778" s="8">
        <v>22330</v>
      </c>
      <c r="K778" s="9">
        <f>Tabla156798[[#This Row],[CANTIDAD PUBLICA]]*0.05</f>
        <v>1228.5695000000001</v>
      </c>
      <c r="L778" s="10">
        <f>Tabla156798[[#This Row],[COMISION AGENCIA]]*0.05</f>
        <v>61.428475000000006</v>
      </c>
      <c r="M778" s="7">
        <v>3781127666</v>
      </c>
      <c r="N778" s="7">
        <v>10767798</v>
      </c>
      <c r="O778" s="7" t="s">
        <v>5</v>
      </c>
      <c r="P778" s="7"/>
    </row>
    <row r="779" spans="1:16" x14ac:dyDescent="0.25">
      <c r="A779" s="14">
        <f>Tabla156798[[#This Row],[FECHA IN]]-22</f>
        <v>45060</v>
      </c>
      <c r="B779" s="14">
        <v>45066</v>
      </c>
      <c r="C779" s="6">
        <v>45030</v>
      </c>
      <c r="D779" s="6">
        <v>45082</v>
      </c>
      <c r="E779" s="6">
        <v>45085</v>
      </c>
      <c r="F779" s="115">
        <v>24949</v>
      </c>
      <c r="G779" s="8" t="s">
        <v>3221</v>
      </c>
      <c r="H779" s="8" t="s">
        <v>1628</v>
      </c>
      <c r="I779" s="8">
        <v>27496.48</v>
      </c>
      <c r="J779" s="8">
        <v>24765</v>
      </c>
      <c r="K779" s="9">
        <f>Tabla156798[[#This Row],[CANTIDAD PUBLICA]]*0.05</f>
        <v>1374.8240000000001</v>
      </c>
      <c r="L779" s="10">
        <f>Tabla156798[[#This Row],[COMISION AGENCIA]]*0.05</f>
        <v>68.741200000000006</v>
      </c>
      <c r="M779" s="7">
        <v>3781127666</v>
      </c>
      <c r="N779" s="7">
        <v>10767818</v>
      </c>
      <c r="O779" s="7" t="s">
        <v>5</v>
      </c>
      <c r="P779" s="7"/>
    </row>
    <row r="780" spans="1:16" x14ac:dyDescent="0.25">
      <c r="A780" s="14">
        <f>Tabla156798[[#This Row],[FECHA IN]]-22</f>
        <v>45060</v>
      </c>
      <c r="B780" s="14">
        <v>45066</v>
      </c>
      <c r="C780" s="6">
        <v>45030</v>
      </c>
      <c r="D780" s="6">
        <v>45082</v>
      </c>
      <c r="E780" s="6">
        <v>45086</v>
      </c>
      <c r="F780" s="115">
        <v>24949</v>
      </c>
      <c r="G780" s="8" t="s">
        <v>3222</v>
      </c>
      <c r="H780" s="8" t="s">
        <v>1628</v>
      </c>
      <c r="I780" s="8">
        <v>24571.39</v>
      </c>
      <c r="J780" s="8">
        <v>22330</v>
      </c>
      <c r="K780" s="9">
        <f>Tabla156798[[#This Row],[CANTIDAD PUBLICA]]*0.05</f>
        <v>1228.5695000000001</v>
      </c>
      <c r="L780" s="10">
        <f>Tabla156798[[#This Row],[COMISION AGENCIA]]*0.05</f>
        <v>61.428475000000006</v>
      </c>
      <c r="M780" s="7">
        <v>3781127666</v>
      </c>
      <c r="N780" s="7">
        <v>10767858</v>
      </c>
      <c r="O780" s="7" t="s">
        <v>5</v>
      </c>
      <c r="P780" s="7"/>
    </row>
    <row r="781" spans="1:16" x14ac:dyDescent="0.25">
      <c r="A781" s="14">
        <v>45060</v>
      </c>
      <c r="B781" s="14">
        <v>45060</v>
      </c>
      <c r="C781" s="6">
        <v>45060</v>
      </c>
      <c r="D781" s="6">
        <v>45083</v>
      </c>
      <c r="E781" s="6">
        <v>45142</v>
      </c>
      <c r="F781" s="115">
        <v>24912</v>
      </c>
      <c r="G781" s="8" t="s">
        <v>3223</v>
      </c>
      <c r="H781" s="8" t="s">
        <v>1541</v>
      </c>
      <c r="I781" s="8">
        <v>6397</v>
      </c>
      <c r="J781" s="8">
        <v>6920</v>
      </c>
      <c r="K781" s="9">
        <f>Tabla156798[[#This Row],[PRECIO CLIENTE]]-Tabla156798[[#This Row],[CANTIDAD PUBLICA]]</f>
        <v>523</v>
      </c>
      <c r="L781" s="10">
        <f>Tabla156798[[#This Row],[COMISION AGENCIA]]*0.05</f>
        <v>26.150000000000002</v>
      </c>
      <c r="M781" s="7"/>
      <c r="N781" s="7" t="s">
        <v>3224</v>
      </c>
      <c r="O781" s="7" t="s">
        <v>47</v>
      </c>
      <c r="P781" s="7"/>
    </row>
    <row r="782" spans="1:16" x14ac:dyDescent="0.25">
      <c r="A782" s="14">
        <f>Tabla156798[[#This Row],[FECHA IN]]-22</f>
        <v>45061</v>
      </c>
      <c r="B782" s="14">
        <v>45064</v>
      </c>
      <c r="C782" s="6">
        <v>45049</v>
      </c>
      <c r="D782" s="6">
        <v>45083</v>
      </c>
      <c r="E782" s="6">
        <v>45085</v>
      </c>
      <c r="F782" s="115">
        <v>24741</v>
      </c>
      <c r="G782" s="8" t="s">
        <v>2139</v>
      </c>
      <c r="H782" s="8" t="s">
        <v>3225</v>
      </c>
      <c r="I782" s="8">
        <f>322.84*18.54</f>
        <v>5985.4535999999989</v>
      </c>
      <c r="J782" s="8">
        <v>5377</v>
      </c>
      <c r="K782" s="9">
        <f>Tabla156798[[#This Row],[CANTIDAD PUBLICA]]*0.05</f>
        <v>299.27267999999998</v>
      </c>
      <c r="L782" s="10">
        <f>Tabla156798[[#This Row],[COMISION AGENCIA]]*0.05</f>
        <v>14.963633999999999</v>
      </c>
      <c r="M782" s="7"/>
      <c r="N782" s="7">
        <v>10846612</v>
      </c>
      <c r="O782" s="7" t="s">
        <v>5</v>
      </c>
      <c r="P782" s="7"/>
    </row>
    <row r="783" spans="1:16" x14ac:dyDescent="0.25">
      <c r="A783" s="14">
        <v>45061</v>
      </c>
      <c r="B783" s="14">
        <v>45061</v>
      </c>
      <c r="C783" s="6">
        <v>45061</v>
      </c>
      <c r="D783" s="6">
        <v>45075</v>
      </c>
      <c r="E783" s="7"/>
      <c r="F783" s="115">
        <v>24923</v>
      </c>
      <c r="G783" s="8" t="s">
        <v>3078</v>
      </c>
      <c r="H783" s="8" t="s">
        <v>3226</v>
      </c>
      <c r="I783" s="8">
        <v>744</v>
      </c>
      <c r="J783" s="8">
        <v>1060</v>
      </c>
      <c r="K783" s="9">
        <f>Tabla156798[[#This Row],[PRECIO CLIENTE]]-Tabla156798[[#This Row],[CANTIDAD PUBLICA]]</f>
        <v>316</v>
      </c>
      <c r="L783" s="10">
        <f>Tabla156798[[#This Row],[COMISION AGENCIA]]*0.05</f>
        <v>15.8</v>
      </c>
      <c r="M783" s="7"/>
      <c r="N783" s="7" t="s">
        <v>3227</v>
      </c>
      <c r="O783" s="7" t="s">
        <v>47</v>
      </c>
      <c r="P783" s="7"/>
    </row>
    <row r="784" spans="1:16" x14ac:dyDescent="0.25">
      <c r="A784" s="14">
        <v>45061</v>
      </c>
      <c r="B784" s="14">
        <v>45061</v>
      </c>
      <c r="C784" s="6">
        <v>45061</v>
      </c>
      <c r="D784" s="6">
        <v>45069</v>
      </c>
      <c r="E784" s="7"/>
      <c r="F784" s="115">
        <v>24935</v>
      </c>
      <c r="G784" s="8" t="s">
        <v>1932</v>
      </c>
      <c r="H784" s="8" t="s">
        <v>1541</v>
      </c>
      <c r="I784" s="8">
        <v>2778</v>
      </c>
      <c r="J784" s="8">
        <v>3225</v>
      </c>
      <c r="K784" s="9">
        <f>Tabla156798[[#This Row],[PRECIO CLIENTE]]-Tabla156798[[#This Row],[CANTIDAD PUBLICA]]</f>
        <v>447</v>
      </c>
      <c r="L784" s="10">
        <f>Tabla156798[[#This Row],[COMISION AGENCIA]]*0.05</f>
        <v>22.35</v>
      </c>
      <c r="M784" s="7"/>
      <c r="N784" s="7" t="s">
        <v>3228</v>
      </c>
      <c r="O784" s="7" t="s">
        <v>47</v>
      </c>
      <c r="P784" s="7"/>
    </row>
    <row r="785" spans="1:16" x14ac:dyDescent="0.25">
      <c r="A785" s="14">
        <v>45061</v>
      </c>
      <c r="B785" s="14">
        <v>45061</v>
      </c>
      <c r="C785" s="6">
        <v>45061</v>
      </c>
      <c r="D785" s="6">
        <v>45068</v>
      </c>
      <c r="E785" s="6">
        <v>45071</v>
      </c>
      <c r="F785" s="115">
        <v>24888</v>
      </c>
      <c r="G785" s="8" t="s">
        <v>2472</v>
      </c>
      <c r="H785" s="8" t="s">
        <v>2129</v>
      </c>
      <c r="I785" s="8">
        <v>21262.5</v>
      </c>
      <c r="J785" s="8">
        <v>18510</v>
      </c>
      <c r="K785" s="9">
        <f>Tabla156798[[#This Row],[CANTIDAD PUBLICA]]*0.05</f>
        <v>1063.125</v>
      </c>
      <c r="L785" s="10">
        <f>Tabla156798[[#This Row],[COMISION AGENCIA]]*0.05</f>
        <v>53.15625</v>
      </c>
      <c r="M785" s="7">
        <v>3311559702</v>
      </c>
      <c r="N785" s="7" t="s">
        <v>3229</v>
      </c>
      <c r="O785" s="7" t="s">
        <v>6</v>
      </c>
      <c r="P785" s="7"/>
    </row>
    <row r="786" spans="1:16" x14ac:dyDescent="0.25">
      <c r="A786" s="14">
        <v>45061</v>
      </c>
      <c r="B786" s="14">
        <v>45061</v>
      </c>
      <c r="C786" s="6">
        <v>45061</v>
      </c>
      <c r="D786" s="6">
        <v>45068</v>
      </c>
      <c r="E786" s="6">
        <v>45071</v>
      </c>
      <c r="F786" s="115">
        <v>24888</v>
      </c>
      <c r="G786" s="8" t="s">
        <v>3230</v>
      </c>
      <c r="H786" s="8" t="s">
        <v>2129</v>
      </c>
      <c r="I786" s="8">
        <v>14850</v>
      </c>
      <c r="J786" s="8">
        <v>12920</v>
      </c>
      <c r="K786" s="9">
        <f>Tabla156798[[#This Row],[CANTIDAD PUBLICA]]*0.05</f>
        <v>742.5</v>
      </c>
      <c r="L786" s="10">
        <f>Tabla156798[[#This Row],[COMISION AGENCIA]]*0.05</f>
        <v>37.125</v>
      </c>
      <c r="M786" s="7">
        <v>3311559702</v>
      </c>
      <c r="N786" s="7" t="s">
        <v>3231</v>
      </c>
      <c r="O786" s="7" t="s">
        <v>6</v>
      </c>
      <c r="P786" s="7"/>
    </row>
    <row r="787" spans="1:16" x14ac:dyDescent="0.25">
      <c r="A787" s="14">
        <v>45061</v>
      </c>
      <c r="B787" s="14">
        <v>45061</v>
      </c>
      <c r="C787" s="6">
        <v>45061</v>
      </c>
      <c r="D787" s="6">
        <v>45068</v>
      </c>
      <c r="E787" s="6">
        <v>45071</v>
      </c>
      <c r="F787" s="115">
        <v>24888</v>
      </c>
      <c r="G787" s="8" t="s">
        <v>3232</v>
      </c>
      <c r="H787" s="8" t="s">
        <v>2129</v>
      </c>
      <c r="I787" s="8">
        <v>20790</v>
      </c>
      <c r="J787" s="8">
        <v>18090</v>
      </c>
      <c r="K787" s="9">
        <f>Tabla156798[[#This Row],[CANTIDAD PUBLICA]]*0.05</f>
        <v>1039.5</v>
      </c>
      <c r="L787" s="10">
        <f>Tabla156798[[#This Row],[COMISION AGENCIA]]*0.05</f>
        <v>51.975000000000001</v>
      </c>
      <c r="M787" s="7">
        <v>3311559702</v>
      </c>
      <c r="N787" s="7" t="s">
        <v>3233</v>
      </c>
      <c r="O787" s="7" t="s">
        <v>6</v>
      </c>
      <c r="P787" s="7"/>
    </row>
    <row r="788" spans="1:16" x14ac:dyDescent="0.25">
      <c r="A788" s="14">
        <v>45061</v>
      </c>
      <c r="B788" s="14">
        <v>45061</v>
      </c>
      <c r="C788" s="6">
        <v>45061</v>
      </c>
      <c r="D788" s="6">
        <v>45068</v>
      </c>
      <c r="E788" s="6">
        <v>45071</v>
      </c>
      <c r="F788" s="115">
        <v>24888</v>
      </c>
      <c r="G788" s="8" t="s">
        <v>3234</v>
      </c>
      <c r="H788" s="8" t="s">
        <v>2129</v>
      </c>
      <c r="I788" s="8">
        <v>20790</v>
      </c>
      <c r="J788" s="8">
        <v>18090</v>
      </c>
      <c r="K788" s="9">
        <f>Tabla156798[[#This Row],[CANTIDAD PUBLICA]]*0.05</f>
        <v>1039.5</v>
      </c>
      <c r="L788" s="10">
        <f>Tabla156798[[#This Row],[COMISION AGENCIA]]*0.05</f>
        <v>51.975000000000001</v>
      </c>
      <c r="M788" s="7">
        <v>3311559702</v>
      </c>
      <c r="N788" s="7" t="s">
        <v>3235</v>
      </c>
      <c r="O788" s="7" t="s">
        <v>6</v>
      </c>
      <c r="P788" s="7"/>
    </row>
    <row r="789" spans="1:16" x14ac:dyDescent="0.25">
      <c r="A789" s="14">
        <v>45061</v>
      </c>
      <c r="B789" s="14">
        <v>45061</v>
      </c>
      <c r="C789" s="6">
        <v>45061</v>
      </c>
      <c r="D789" s="6">
        <v>45074</v>
      </c>
      <c r="E789" s="6">
        <v>45078</v>
      </c>
      <c r="F789" s="115">
        <v>24933</v>
      </c>
      <c r="G789" s="8" t="s">
        <v>3236</v>
      </c>
      <c r="H789" s="8" t="s">
        <v>2181</v>
      </c>
      <c r="I789" s="8">
        <v>22924.25</v>
      </c>
      <c r="J789" s="8">
        <v>19945</v>
      </c>
      <c r="K789" s="9">
        <f>Tabla156798[[#This Row],[CANTIDAD PUBLICA]]*0.05</f>
        <v>1146.2125000000001</v>
      </c>
      <c r="L789" s="10">
        <f>Tabla156798[[#This Row],[COMISION AGENCIA]]*0.05</f>
        <v>57.310625000000009</v>
      </c>
      <c r="M789" s="7">
        <v>3485931168</v>
      </c>
      <c r="N789" s="7" t="s">
        <v>3237</v>
      </c>
      <c r="O789" s="7" t="s">
        <v>6</v>
      </c>
      <c r="P789" s="7"/>
    </row>
    <row r="790" spans="1:16" x14ac:dyDescent="0.25">
      <c r="A790" s="14">
        <v>45062</v>
      </c>
      <c r="B790" s="14">
        <v>45062</v>
      </c>
      <c r="C790" s="6">
        <v>45062</v>
      </c>
      <c r="D790" s="6">
        <v>45093</v>
      </c>
      <c r="E790" s="6">
        <v>45099</v>
      </c>
      <c r="F790" s="115" t="s">
        <v>3238</v>
      </c>
      <c r="G790" s="8" t="s">
        <v>3239</v>
      </c>
      <c r="H790" s="8" t="s">
        <v>1625</v>
      </c>
      <c r="I790" s="8">
        <v>22806</v>
      </c>
      <c r="J790" s="8">
        <v>27225</v>
      </c>
      <c r="K790" s="9">
        <f>Tabla156798[[#This Row],[PRECIO CLIENTE]]-Tabla156798[[#This Row],[CANTIDAD PUBLICA]]</f>
        <v>4419</v>
      </c>
      <c r="L790" s="10">
        <f>Tabla156798[[#This Row],[COMISION AGENCIA]]*0.05</f>
        <v>220.95000000000002</v>
      </c>
      <c r="M790" s="7"/>
      <c r="N790" s="7" t="s">
        <v>3240</v>
      </c>
      <c r="O790" s="7" t="s">
        <v>47</v>
      </c>
      <c r="P790" s="7"/>
    </row>
    <row r="791" spans="1:16" x14ac:dyDescent="0.25">
      <c r="A791" s="14">
        <v>45062</v>
      </c>
      <c r="B791" s="14">
        <v>45062</v>
      </c>
      <c r="C791" s="6">
        <v>45062</v>
      </c>
      <c r="D791" s="6">
        <v>45093</v>
      </c>
      <c r="E791" s="6">
        <v>45099</v>
      </c>
      <c r="F791" s="115" t="s">
        <v>3238</v>
      </c>
      <c r="G791" s="8" t="s">
        <v>3241</v>
      </c>
      <c r="H791" s="8" t="s">
        <v>1625</v>
      </c>
      <c r="I791" s="8">
        <v>10736</v>
      </c>
      <c r="J791" s="8">
        <v>12100</v>
      </c>
      <c r="K791" s="9">
        <f>Tabla156798[[#This Row],[PRECIO CLIENTE]]-Tabla156798[[#This Row],[CANTIDAD PUBLICA]]</f>
        <v>1364</v>
      </c>
      <c r="L791" s="10">
        <f>Tabla156798[[#This Row],[COMISION AGENCIA]]*0.05</f>
        <v>68.2</v>
      </c>
      <c r="M791" s="7"/>
      <c r="N791" s="7" t="s">
        <v>3242</v>
      </c>
      <c r="O791" s="7" t="s">
        <v>47</v>
      </c>
      <c r="P791" s="7"/>
    </row>
    <row r="792" spans="1:16" x14ac:dyDescent="0.25">
      <c r="A792" s="14">
        <v>45062</v>
      </c>
      <c r="B792" s="14">
        <v>45062</v>
      </c>
      <c r="C792" s="6">
        <v>45062</v>
      </c>
      <c r="D792" s="6">
        <v>45070</v>
      </c>
      <c r="E792" s="7"/>
      <c r="F792" s="115">
        <v>24951</v>
      </c>
      <c r="G792" s="8" t="s">
        <v>3243</v>
      </c>
      <c r="H792" s="8" t="s">
        <v>1837</v>
      </c>
      <c r="I792" s="8">
        <v>2860</v>
      </c>
      <c r="J792" s="8">
        <v>3400</v>
      </c>
      <c r="K792" s="9">
        <f>Tabla156798[[#This Row],[PRECIO CLIENTE]]-Tabla156798[[#This Row],[CANTIDAD PUBLICA]]</f>
        <v>540</v>
      </c>
      <c r="L792" s="10">
        <f>Tabla156798[[#This Row],[COMISION AGENCIA]]*0.05</f>
        <v>27</v>
      </c>
      <c r="M792" s="7"/>
      <c r="N792" s="7" t="s">
        <v>3244</v>
      </c>
      <c r="O792" s="7" t="s">
        <v>47</v>
      </c>
      <c r="P792" s="7"/>
    </row>
    <row r="793" spans="1:16" x14ac:dyDescent="0.25">
      <c r="A793" s="14">
        <v>45062</v>
      </c>
      <c r="B793" s="14">
        <v>45062</v>
      </c>
      <c r="C793" s="6">
        <v>45062</v>
      </c>
      <c r="D793" s="6">
        <v>45074</v>
      </c>
      <c r="E793" s="6">
        <v>45079</v>
      </c>
      <c r="F793" s="115">
        <v>24960</v>
      </c>
      <c r="G793" s="8" t="s">
        <v>3245</v>
      </c>
      <c r="H793" s="8" t="s">
        <v>1788</v>
      </c>
      <c r="I793" s="8">
        <v>6901</v>
      </c>
      <c r="J793" s="8">
        <v>7325</v>
      </c>
      <c r="K793" s="9">
        <f>Tabla156798[[#This Row],[PRECIO CLIENTE]]-Tabla156798[[#This Row],[CANTIDAD PUBLICA]]</f>
        <v>424</v>
      </c>
      <c r="L793" s="10">
        <f>Tabla156798[[#This Row],[COMISION AGENCIA]]*0.05</f>
        <v>21.200000000000003</v>
      </c>
      <c r="M793" s="7"/>
      <c r="N793" s="7" t="s">
        <v>3246</v>
      </c>
      <c r="O793" s="7" t="s">
        <v>47</v>
      </c>
      <c r="P793" s="7"/>
    </row>
    <row r="794" spans="1:16" x14ac:dyDescent="0.25">
      <c r="A794" s="14">
        <f>Tabla156798[[#This Row],[FECHA IN]]-22</f>
        <v>45063</v>
      </c>
      <c r="B794" s="14">
        <v>45066</v>
      </c>
      <c r="C794" s="6">
        <v>45049</v>
      </c>
      <c r="D794" s="6">
        <v>45085</v>
      </c>
      <c r="E794" s="6">
        <v>45086</v>
      </c>
      <c r="F794" s="115">
        <v>24741</v>
      </c>
      <c r="G794" s="8" t="s">
        <v>2139</v>
      </c>
      <c r="H794" s="8" t="s">
        <v>3225</v>
      </c>
      <c r="I794" s="8">
        <f>176.2*18.54</f>
        <v>3266.7479999999996</v>
      </c>
      <c r="J794" s="8">
        <v>2930</v>
      </c>
      <c r="K794" s="9">
        <f>Tabla156798[[#This Row],[CANTIDAD PUBLICA]]*0.05</f>
        <v>163.3374</v>
      </c>
      <c r="L794" s="10">
        <f>Tabla156798[[#This Row],[COMISION AGENCIA]]*0.05</f>
        <v>8.1668700000000012</v>
      </c>
      <c r="M794" s="7"/>
      <c r="N794" s="7">
        <v>10846630</v>
      </c>
      <c r="O794" s="7" t="s">
        <v>5</v>
      </c>
      <c r="P794" s="7" t="s">
        <v>3247</v>
      </c>
    </row>
    <row r="795" spans="1:16" x14ac:dyDescent="0.25">
      <c r="A795" s="14">
        <v>45063</v>
      </c>
      <c r="B795" s="14">
        <v>45063</v>
      </c>
      <c r="C795" s="6">
        <v>45063</v>
      </c>
      <c r="D795" s="6">
        <v>45066</v>
      </c>
      <c r="E795" s="7"/>
      <c r="F795" s="115">
        <v>24972</v>
      </c>
      <c r="G795" s="8" t="s">
        <v>1591</v>
      </c>
      <c r="H795" s="8" t="s">
        <v>1846</v>
      </c>
      <c r="I795" s="8">
        <v>5013</v>
      </c>
      <c r="J795" s="8">
        <v>5970</v>
      </c>
      <c r="K795" s="9">
        <f>Tabla156798[[#This Row],[PRECIO CLIENTE]]-Tabla156798[[#This Row],[CANTIDAD PUBLICA]]</f>
        <v>957</v>
      </c>
      <c r="L795" s="10">
        <f>Tabla156798[[#This Row],[COMISION AGENCIA]]*0.05</f>
        <v>47.85</v>
      </c>
      <c r="M795" s="7"/>
      <c r="N795" s="7" t="s">
        <v>3248</v>
      </c>
      <c r="O795" s="7" t="s">
        <v>47</v>
      </c>
      <c r="P795" s="7"/>
    </row>
    <row r="796" spans="1:16" x14ac:dyDescent="0.25">
      <c r="A796" s="14">
        <f>Tabla156798[[#This Row],[FECHA IN]]-22</f>
        <v>45064</v>
      </c>
      <c r="B796" s="14" t="s">
        <v>2468</v>
      </c>
      <c r="C796" s="6">
        <v>45049</v>
      </c>
      <c r="D796" s="6">
        <v>45086</v>
      </c>
      <c r="E796" s="6">
        <v>45088</v>
      </c>
      <c r="F796" s="115">
        <v>24741</v>
      </c>
      <c r="G796" s="8" t="s">
        <v>2139</v>
      </c>
      <c r="H796" s="8" t="s">
        <v>3249</v>
      </c>
      <c r="I796" s="8">
        <f>912*18.54</f>
        <v>16908.48</v>
      </c>
      <c r="J796" s="8">
        <v>15221</v>
      </c>
      <c r="K796" s="9">
        <f>Tabla156798[[#This Row],[CANTIDAD PUBLICA]]*0.05</f>
        <v>845.42399999999998</v>
      </c>
      <c r="L796" s="10">
        <f>Tabla156798[[#This Row],[COMISION AGENCIA]]*0.05</f>
        <v>42.2712</v>
      </c>
      <c r="M796" s="7"/>
      <c r="N796" s="7">
        <v>10758164</v>
      </c>
      <c r="O796" s="7" t="s">
        <v>5</v>
      </c>
      <c r="P796" s="7" t="s">
        <v>3247</v>
      </c>
    </row>
    <row r="797" spans="1:16" x14ac:dyDescent="0.25">
      <c r="A797" s="14">
        <v>45064</v>
      </c>
      <c r="B797" s="14">
        <v>45064</v>
      </c>
      <c r="C797" s="6">
        <v>45064</v>
      </c>
      <c r="D797" s="6">
        <v>45139</v>
      </c>
      <c r="E797" s="6">
        <v>45143</v>
      </c>
      <c r="F797" s="115" t="s">
        <v>3250</v>
      </c>
      <c r="G797" s="8" t="s">
        <v>3251</v>
      </c>
      <c r="H797" s="8" t="s">
        <v>1290</v>
      </c>
      <c r="I797" s="8">
        <v>26238</v>
      </c>
      <c r="J797" s="8">
        <v>29070</v>
      </c>
      <c r="K797" s="9">
        <f>Tabla156798[[#This Row],[PRECIO CLIENTE]]-Tabla156798[[#This Row],[CANTIDAD PUBLICA]]</f>
        <v>2832</v>
      </c>
      <c r="L797" s="10">
        <f>Tabla156798[[#This Row],[COMISION AGENCIA]]*0.05</f>
        <v>141.6</v>
      </c>
      <c r="M797" s="7"/>
      <c r="N797" s="7" t="s">
        <v>3252</v>
      </c>
      <c r="O797" s="7" t="s">
        <v>47</v>
      </c>
      <c r="P797" s="7"/>
    </row>
    <row r="798" spans="1:16" x14ac:dyDescent="0.25">
      <c r="A798" s="14">
        <v>45065</v>
      </c>
      <c r="B798" s="14">
        <v>45065</v>
      </c>
      <c r="C798" s="6">
        <v>45065</v>
      </c>
      <c r="D798" s="6">
        <v>45082</v>
      </c>
      <c r="E798" s="7"/>
      <c r="F798" s="115">
        <v>25005</v>
      </c>
      <c r="G798" s="8" t="s">
        <v>3253</v>
      </c>
      <c r="H798" s="8" t="s">
        <v>2724</v>
      </c>
      <c r="I798" s="8">
        <v>2760</v>
      </c>
      <c r="J798" s="8">
        <v>3170</v>
      </c>
      <c r="K798" s="9">
        <f>Tabla156798[[#This Row],[PRECIO CLIENTE]]-Tabla156798[[#This Row],[CANTIDAD PUBLICA]]</f>
        <v>410</v>
      </c>
      <c r="L798" s="10">
        <f>Tabla156798[[#This Row],[COMISION AGENCIA]]*0.05</f>
        <v>20.5</v>
      </c>
      <c r="M798" s="7"/>
      <c r="N798" s="7" t="s">
        <v>3254</v>
      </c>
      <c r="O798" s="7" t="s">
        <v>47</v>
      </c>
      <c r="P798" s="7"/>
    </row>
    <row r="799" spans="1:16" x14ac:dyDescent="0.25">
      <c r="A799" s="14">
        <v>45065</v>
      </c>
      <c r="B799" s="14">
        <v>45065</v>
      </c>
      <c r="C799" s="6">
        <v>45065</v>
      </c>
      <c r="D799" s="6">
        <v>45074</v>
      </c>
      <c r="E799" s="6">
        <v>45078</v>
      </c>
      <c r="F799" s="115">
        <v>25007</v>
      </c>
      <c r="G799" s="8" t="s">
        <v>3255</v>
      </c>
      <c r="H799" s="8" t="s">
        <v>3256</v>
      </c>
      <c r="I799" s="8">
        <v>1785</v>
      </c>
      <c r="J799" s="8">
        <v>2210</v>
      </c>
      <c r="K799" s="9">
        <f>Tabla156798[[#This Row],[PRECIO CLIENTE]]-Tabla156798[[#This Row],[CANTIDAD PUBLICA]]</f>
        <v>425</v>
      </c>
      <c r="L799" s="10">
        <f>Tabla156798[[#This Row],[COMISION AGENCIA]]*0.05</f>
        <v>21.25</v>
      </c>
      <c r="M799" s="7"/>
      <c r="N799" s="7" t="s">
        <v>3257</v>
      </c>
      <c r="O799" s="7" t="s">
        <v>47</v>
      </c>
      <c r="P799" s="7"/>
    </row>
    <row r="800" spans="1:16" x14ac:dyDescent="0.25">
      <c r="A800" s="14">
        <f>Tabla156798[[#This Row],[FECHA IN]]-15</f>
        <v>45066</v>
      </c>
      <c r="B800" s="14">
        <v>45009</v>
      </c>
      <c r="C800" s="6">
        <v>45009</v>
      </c>
      <c r="D800" s="6">
        <v>45081</v>
      </c>
      <c r="E800" s="6">
        <v>45088</v>
      </c>
      <c r="F800" s="115">
        <v>24149</v>
      </c>
      <c r="G800" s="8" t="s">
        <v>3258</v>
      </c>
      <c r="H800" s="8" t="s">
        <v>1296</v>
      </c>
      <c r="I800" s="8">
        <v>37618.629999999997</v>
      </c>
      <c r="J800" s="8">
        <v>32730</v>
      </c>
      <c r="K800" s="9">
        <f>Tabla156798[[#This Row],[CANTIDAD PUBLICA]]*0.05</f>
        <v>1880.9314999999999</v>
      </c>
      <c r="L800" s="10">
        <f>Tabla156798[[#This Row],[COMISION AGENCIA]]*0.05</f>
        <v>94.046575000000004</v>
      </c>
      <c r="M800" s="7">
        <v>3481231978</v>
      </c>
      <c r="N800" s="7" t="s">
        <v>3259</v>
      </c>
      <c r="O800" s="7" t="s">
        <v>6</v>
      </c>
      <c r="P800" s="7"/>
    </row>
    <row r="801" spans="1:16" x14ac:dyDescent="0.25">
      <c r="A801" s="14">
        <f>Tabla156798[[#This Row],[FECHA IN]]-15</f>
        <v>45066</v>
      </c>
      <c r="B801" s="14">
        <v>45009</v>
      </c>
      <c r="C801" s="6">
        <v>45009</v>
      </c>
      <c r="D801" s="6">
        <v>45081</v>
      </c>
      <c r="E801" s="6">
        <v>45088</v>
      </c>
      <c r="F801" s="115">
        <v>24149</v>
      </c>
      <c r="G801" s="8" t="s">
        <v>3260</v>
      </c>
      <c r="H801" s="8" t="s">
        <v>1296</v>
      </c>
      <c r="I801" s="8">
        <v>37618.629999999997</v>
      </c>
      <c r="J801" s="8">
        <v>32730</v>
      </c>
      <c r="K801" s="9">
        <f>Tabla156798[[#This Row],[CANTIDAD PUBLICA]]*0.05</f>
        <v>1880.9314999999999</v>
      </c>
      <c r="L801" s="10">
        <f>Tabla156798[[#This Row],[COMISION AGENCIA]]*0.05</f>
        <v>94.046575000000004</v>
      </c>
      <c r="M801" s="7">
        <v>3481231978</v>
      </c>
      <c r="N801" s="7" t="s">
        <v>3261</v>
      </c>
      <c r="O801" s="7" t="s">
        <v>6</v>
      </c>
      <c r="P801" s="7"/>
    </row>
    <row r="802" spans="1:16" x14ac:dyDescent="0.25">
      <c r="A802" s="14">
        <f>Tabla156798[[#This Row],[FECHA IN]]-15</f>
        <v>45066</v>
      </c>
      <c r="B802" s="14">
        <v>45009</v>
      </c>
      <c r="C802" s="6">
        <v>45009</v>
      </c>
      <c r="D802" s="6">
        <v>45081</v>
      </c>
      <c r="E802" s="6">
        <v>45088</v>
      </c>
      <c r="F802" s="115">
        <v>24149</v>
      </c>
      <c r="G802" s="8" t="s">
        <v>3262</v>
      </c>
      <c r="H802" s="8" t="s">
        <v>1296</v>
      </c>
      <c r="I802" s="8">
        <v>37618.629999999997</v>
      </c>
      <c r="J802" s="8">
        <v>32730</v>
      </c>
      <c r="K802" s="9">
        <f>Tabla156798[[#This Row],[CANTIDAD PUBLICA]]*0.05</f>
        <v>1880.9314999999999</v>
      </c>
      <c r="L802" s="10">
        <f>Tabla156798[[#This Row],[COMISION AGENCIA]]*0.05</f>
        <v>94.046575000000004</v>
      </c>
      <c r="M802" s="7">
        <v>3481231978</v>
      </c>
      <c r="N802" s="7" t="s">
        <v>3263</v>
      </c>
      <c r="O802" s="7" t="s">
        <v>6</v>
      </c>
      <c r="P802" s="7"/>
    </row>
    <row r="803" spans="1:16" x14ac:dyDescent="0.25">
      <c r="A803" s="14">
        <f>Tabla156798[[#This Row],[FECHA IN]]-15</f>
        <v>45066</v>
      </c>
      <c r="B803" s="14">
        <v>45009</v>
      </c>
      <c r="C803" s="6">
        <v>45009</v>
      </c>
      <c r="D803" s="6">
        <v>45081</v>
      </c>
      <c r="E803" s="6">
        <v>45088</v>
      </c>
      <c r="F803" s="115">
        <v>24149</v>
      </c>
      <c r="G803" s="8" t="s">
        <v>3264</v>
      </c>
      <c r="H803" s="8" t="s">
        <v>1296</v>
      </c>
      <c r="I803" s="8">
        <v>40735.19</v>
      </c>
      <c r="J803" s="8">
        <v>35440</v>
      </c>
      <c r="K803" s="9">
        <f>Tabla156798[[#This Row],[CANTIDAD PUBLICA]]*0.05</f>
        <v>2036.7595000000001</v>
      </c>
      <c r="L803" s="10">
        <f>Tabla156798[[#This Row],[COMISION AGENCIA]]*0.05</f>
        <v>101.83797500000001</v>
      </c>
      <c r="M803" s="7">
        <v>3481231978</v>
      </c>
      <c r="N803" s="7" t="s">
        <v>3265</v>
      </c>
      <c r="O803" s="7" t="s">
        <v>6</v>
      </c>
      <c r="P803" s="7"/>
    </row>
    <row r="804" spans="1:16" x14ac:dyDescent="0.25">
      <c r="A804" s="14">
        <f>Tabla156798[[#This Row],[FECHA IN]]-15</f>
        <v>45066</v>
      </c>
      <c r="B804" s="14">
        <v>45009</v>
      </c>
      <c r="C804" s="6">
        <v>45009</v>
      </c>
      <c r="D804" s="6">
        <v>45081</v>
      </c>
      <c r="E804" s="6">
        <v>45088</v>
      </c>
      <c r="F804" s="115">
        <v>24149</v>
      </c>
      <c r="G804" s="8" t="s">
        <v>2824</v>
      </c>
      <c r="H804" s="8" t="s">
        <v>1296</v>
      </c>
      <c r="I804" s="8">
        <v>42144.08</v>
      </c>
      <c r="J804" s="8">
        <v>32730</v>
      </c>
      <c r="K804" s="9">
        <f>Tabla156798[[#This Row],[CANTIDAD PUBLICA]]*0.05</f>
        <v>2107.2040000000002</v>
      </c>
      <c r="L804" s="10">
        <f>Tabla156798[[#This Row],[COMISION AGENCIA]]*0.05</f>
        <v>105.36020000000002</v>
      </c>
      <c r="M804" s="7">
        <v>3481231978</v>
      </c>
      <c r="N804" s="7" t="s">
        <v>3266</v>
      </c>
      <c r="O804" s="7" t="s">
        <v>6</v>
      </c>
      <c r="P804" s="7"/>
    </row>
    <row r="805" spans="1:16" x14ac:dyDescent="0.25">
      <c r="A805" s="14">
        <v>45066</v>
      </c>
      <c r="B805" s="14">
        <v>45066</v>
      </c>
      <c r="C805" s="6">
        <v>45066</v>
      </c>
      <c r="D805" s="6">
        <v>45071</v>
      </c>
      <c r="E805" s="7"/>
      <c r="F805" s="115" t="s">
        <v>3142</v>
      </c>
      <c r="G805" s="8" t="s">
        <v>2637</v>
      </c>
      <c r="H805" s="8" t="s">
        <v>2842</v>
      </c>
      <c r="I805" s="8">
        <v>3200</v>
      </c>
      <c r="J805" s="8">
        <v>3650</v>
      </c>
      <c r="K805" s="9">
        <f>Tabla156798[[#This Row],[PRECIO CLIENTE]]-Tabla156798[[#This Row],[CANTIDAD PUBLICA]]</f>
        <v>450</v>
      </c>
      <c r="L805" s="10">
        <f>Tabla156798[[#This Row],[COMISION AGENCIA]]*0.05</f>
        <v>22.5</v>
      </c>
      <c r="M805" s="7"/>
      <c r="N805" s="7" t="s">
        <v>3267</v>
      </c>
      <c r="O805" s="7" t="s">
        <v>47</v>
      </c>
      <c r="P805" s="7"/>
    </row>
    <row r="806" spans="1:16" x14ac:dyDescent="0.25">
      <c r="A806" s="14">
        <v>45066</v>
      </c>
      <c r="B806" s="14">
        <v>45066</v>
      </c>
      <c r="C806" s="6">
        <v>45066</v>
      </c>
      <c r="D806" s="6">
        <v>45071</v>
      </c>
      <c r="E806" s="7"/>
      <c r="F806" s="115" t="s">
        <v>3142</v>
      </c>
      <c r="G806" s="8" t="s">
        <v>2635</v>
      </c>
      <c r="H806" s="8" t="s">
        <v>2842</v>
      </c>
      <c r="I806" s="8">
        <v>6400</v>
      </c>
      <c r="J806" s="8">
        <v>7000</v>
      </c>
      <c r="K806" s="9">
        <f>Tabla156798[[#This Row],[PRECIO CLIENTE]]-Tabla156798[[#This Row],[CANTIDAD PUBLICA]]</f>
        <v>600</v>
      </c>
      <c r="L806" s="10">
        <f>Tabla156798[[#This Row],[COMISION AGENCIA]]*0.05</f>
        <v>30</v>
      </c>
      <c r="M806" s="7"/>
      <c r="N806" s="7" t="s">
        <v>3268</v>
      </c>
      <c r="O806" s="7" t="s">
        <v>47</v>
      </c>
      <c r="P806" s="7"/>
    </row>
    <row r="807" spans="1:16" x14ac:dyDescent="0.25">
      <c r="A807" s="14">
        <f>Tabla156798[[#This Row],[FECHA IN]]-15</f>
        <v>45067</v>
      </c>
      <c r="B807" s="14">
        <v>44968</v>
      </c>
      <c r="C807" s="6">
        <v>44964</v>
      </c>
      <c r="D807" s="6">
        <v>45082</v>
      </c>
      <c r="E807" s="6">
        <v>45086</v>
      </c>
      <c r="F807" s="115" t="s">
        <v>3269</v>
      </c>
      <c r="G807" s="8" t="s">
        <v>3270</v>
      </c>
      <c r="H807" s="8" t="s">
        <v>3271</v>
      </c>
      <c r="I807" s="8">
        <v>32176.05</v>
      </c>
      <c r="J807" s="8">
        <v>31075</v>
      </c>
      <c r="K807" s="9">
        <f>(Tabla156798[[#This Row],[CANTIDAD PUBLICA]]*0.05)+3082</f>
        <v>4690.8024999999998</v>
      </c>
      <c r="L807" s="10">
        <f>Tabla156798[[#This Row],[COMISION AGENCIA]]*0.05</f>
        <v>234.54012499999999</v>
      </c>
      <c r="M807" s="7">
        <v>3481083785</v>
      </c>
      <c r="N807" s="7" t="s">
        <v>3272</v>
      </c>
      <c r="O807" s="7" t="s">
        <v>6</v>
      </c>
      <c r="P807" s="7" t="s">
        <v>3273</v>
      </c>
    </row>
    <row r="808" spans="1:16" x14ac:dyDescent="0.25">
      <c r="A808" s="14">
        <f>Tabla156798[[#This Row],[FECHA IN]]-15</f>
        <v>45067</v>
      </c>
      <c r="B808" s="14">
        <v>44968</v>
      </c>
      <c r="C808" s="6">
        <v>44964</v>
      </c>
      <c r="D808" s="6">
        <v>45082</v>
      </c>
      <c r="E808" s="6">
        <v>45086</v>
      </c>
      <c r="F808" s="115" t="s">
        <v>3269</v>
      </c>
      <c r="G808" s="8" t="s">
        <v>3274</v>
      </c>
      <c r="H808" s="158" t="s">
        <v>3271</v>
      </c>
      <c r="I808" s="8">
        <v>23513.18</v>
      </c>
      <c r="J808" s="8">
        <v>22950</v>
      </c>
      <c r="K808" s="9">
        <f>(Tabla156798[[#This Row],[CANTIDAD PUBLICA]]*0.05)+2493</f>
        <v>3668.6590000000001</v>
      </c>
      <c r="L808" s="10">
        <f>Tabla156798[[#This Row],[COMISION AGENCIA]]*0.05</f>
        <v>183.43295000000001</v>
      </c>
      <c r="M808" s="7">
        <v>3481083785</v>
      </c>
      <c r="N808" s="7" t="s">
        <v>3275</v>
      </c>
      <c r="O808" s="7" t="s">
        <v>6</v>
      </c>
      <c r="P808" s="7" t="s">
        <v>3276</v>
      </c>
    </row>
    <row r="809" spans="1:16" x14ac:dyDescent="0.25">
      <c r="A809" s="14">
        <f>Tabla156798[[#This Row],[FECHA IN]]-15</f>
        <v>45067</v>
      </c>
      <c r="B809" s="14">
        <v>44968</v>
      </c>
      <c r="C809" s="6">
        <v>44964</v>
      </c>
      <c r="D809" s="6">
        <v>45082</v>
      </c>
      <c r="E809" s="6">
        <v>45086</v>
      </c>
      <c r="F809" s="115" t="s">
        <v>3269</v>
      </c>
      <c r="G809" s="8" t="s">
        <v>3277</v>
      </c>
      <c r="H809" s="158" t="s">
        <v>3271</v>
      </c>
      <c r="I809" s="8">
        <v>23513.18</v>
      </c>
      <c r="J809" s="8">
        <v>22950</v>
      </c>
      <c r="K809" s="9">
        <f>(Tabla156798[[#This Row],[CANTIDAD PUBLICA]]*0.05)+2493</f>
        <v>3668.6590000000001</v>
      </c>
      <c r="L809" s="10">
        <f>Tabla156798[[#This Row],[COMISION AGENCIA]]*0.05</f>
        <v>183.43295000000001</v>
      </c>
      <c r="M809" s="7">
        <v>3481083785</v>
      </c>
      <c r="N809" s="7" t="s">
        <v>3278</v>
      </c>
      <c r="O809" s="7" t="s">
        <v>6</v>
      </c>
      <c r="P809" s="7" t="s">
        <v>3279</v>
      </c>
    </row>
    <row r="810" spans="1:16" s="4" customFormat="1" x14ac:dyDescent="0.25">
      <c r="A810" s="87">
        <f>Tabla156798[[#This Row],[FECHA IN]]-15</f>
        <v>45072</v>
      </c>
      <c r="B810" s="87">
        <v>45068</v>
      </c>
      <c r="C810" s="87">
        <v>44882</v>
      </c>
      <c r="D810" s="87">
        <v>45087</v>
      </c>
      <c r="E810" s="87">
        <v>45091</v>
      </c>
      <c r="F810" s="175"/>
      <c r="G810" s="89" t="s">
        <v>3280</v>
      </c>
      <c r="H810" s="89" t="s">
        <v>1683</v>
      </c>
      <c r="I810" s="89"/>
      <c r="J810" s="89"/>
      <c r="K810" s="90"/>
      <c r="L810" s="176"/>
      <c r="M810" s="118">
        <v>3481265924</v>
      </c>
      <c r="N810" s="118" t="s">
        <v>3281</v>
      </c>
      <c r="O810" s="118" t="s">
        <v>6</v>
      </c>
      <c r="P810" s="7"/>
    </row>
    <row r="811" spans="1:16" x14ac:dyDescent="0.25">
      <c r="A811" s="14">
        <f>Tabla156798[[#This Row],[FECHA IN]]-15</f>
        <v>45072</v>
      </c>
      <c r="B811" s="14">
        <v>45068</v>
      </c>
      <c r="C811" s="6">
        <v>44882</v>
      </c>
      <c r="D811" s="6">
        <v>45087</v>
      </c>
      <c r="E811" s="6">
        <v>45091</v>
      </c>
      <c r="F811" s="115" t="s">
        <v>3282</v>
      </c>
      <c r="G811" s="8" t="s">
        <v>3283</v>
      </c>
      <c r="H811" s="8" t="s">
        <v>1683</v>
      </c>
      <c r="I811" s="66">
        <f>16746.78*0.975</f>
        <v>16328.110499999999</v>
      </c>
      <c r="J811" s="8">
        <v>14300</v>
      </c>
      <c r="K811" s="9">
        <f>Tabla156798[[#This Row],[CANTIDAD PUBLICA]]*0.05</f>
        <v>816.40552500000001</v>
      </c>
      <c r="L811" s="10">
        <f>Tabla156798[[#This Row],[COMISION AGENCIA]]*0.05</f>
        <v>40.820276250000006</v>
      </c>
      <c r="M811" s="7">
        <v>3481265924</v>
      </c>
      <c r="N811" s="7" t="s">
        <v>3284</v>
      </c>
      <c r="O811" s="7" t="s">
        <v>6</v>
      </c>
      <c r="P811" s="7"/>
    </row>
    <row r="812" spans="1:16" x14ac:dyDescent="0.25">
      <c r="A812" s="14">
        <f>Tabla156798[[#This Row],[FECHA IN]]-15</f>
        <v>45072</v>
      </c>
      <c r="B812" s="14">
        <v>45068</v>
      </c>
      <c r="C812" s="6">
        <v>44882</v>
      </c>
      <c r="D812" s="6">
        <v>45087</v>
      </c>
      <c r="E812" s="6">
        <v>45091</v>
      </c>
      <c r="F812" s="115" t="s">
        <v>3285</v>
      </c>
      <c r="G812" s="8" t="s">
        <v>3286</v>
      </c>
      <c r="H812" s="8" t="s">
        <v>1683</v>
      </c>
      <c r="I812" s="66">
        <f>16746.78*0.975</f>
        <v>16328.110499999999</v>
      </c>
      <c r="J812" s="8">
        <v>14300</v>
      </c>
      <c r="K812" s="9">
        <f>Tabla156798[[#This Row],[CANTIDAD PUBLICA]]*0.05</f>
        <v>816.40552500000001</v>
      </c>
      <c r="L812" s="10">
        <f>Tabla156798[[#This Row],[COMISION AGENCIA]]*0.05</f>
        <v>40.820276250000006</v>
      </c>
      <c r="M812" s="7">
        <v>3481265924</v>
      </c>
      <c r="N812" s="7" t="s">
        <v>3287</v>
      </c>
      <c r="O812" s="7" t="s">
        <v>6</v>
      </c>
      <c r="P812" s="7"/>
    </row>
    <row r="813" spans="1:16" x14ac:dyDescent="0.25">
      <c r="A813" s="14">
        <f>Tabla156798[[#This Row],[FECHA IN]]-15</f>
        <v>45072</v>
      </c>
      <c r="B813" s="14">
        <v>45068</v>
      </c>
      <c r="C813" s="6">
        <v>44882</v>
      </c>
      <c r="D813" s="6">
        <v>45087</v>
      </c>
      <c r="E813" s="6">
        <v>45091</v>
      </c>
      <c r="F813" s="115" t="s">
        <v>3288</v>
      </c>
      <c r="G813" s="8" t="s">
        <v>3289</v>
      </c>
      <c r="H813" s="8" t="s">
        <v>1683</v>
      </c>
      <c r="I813" s="66">
        <f>23893.8*0.975</f>
        <v>23296.454999999998</v>
      </c>
      <c r="J813" s="8">
        <v>20325</v>
      </c>
      <c r="K813" s="9">
        <f>Tabla156798[[#This Row],[CANTIDAD PUBLICA]]*0.05</f>
        <v>1164.82275</v>
      </c>
      <c r="L813" s="10">
        <f>Tabla156798[[#This Row],[COMISION AGENCIA]]*0.05</f>
        <v>58.241137500000008</v>
      </c>
      <c r="M813" s="7">
        <v>3481265924</v>
      </c>
      <c r="N813" s="7" t="s">
        <v>3290</v>
      </c>
      <c r="O813" s="7" t="s">
        <v>6</v>
      </c>
      <c r="P813" s="7"/>
    </row>
    <row r="814" spans="1:16" x14ac:dyDescent="0.25">
      <c r="A814" s="14">
        <v>45072</v>
      </c>
      <c r="B814" s="14">
        <v>45072</v>
      </c>
      <c r="C814" s="6">
        <v>45072</v>
      </c>
      <c r="D814" s="6">
        <v>45080</v>
      </c>
      <c r="E814" s="7"/>
      <c r="F814" s="115">
        <v>25144</v>
      </c>
      <c r="G814" s="8" t="s">
        <v>3291</v>
      </c>
      <c r="H814" s="8" t="s">
        <v>1808</v>
      </c>
      <c r="I814" s="8">
        <v>1413</v>
      </c>
      <c r="J814" s="8">
        <v>1715</v>
      </c>
      <c r="K814" s="9">
        <f>Tabla156798[[#This Row],[PRECIO CLIENTE]]-Tabla156798[[#This Row],[CANTIDAD PUBLICA]]</f>
        <v>302</v>
      </c>
      <c r="L814" s="10">
        <f>Tabla156798[[#This Row],[COMISION AGENCIA]]*0.05</f>
        <v>15.100000000000001</v>
      </c>
      <c r="M814" s="7"/>
      <c r="N814" s="7" t="s">
        <v>3292</v>
      </c>
      <c r="O814" s="7" t="s">
        <v>47</v>
      </c>
      <c r="P814" s="7"/>
    </row>
    <row r="815" spans="1:16" x14ac:dyDescent="0.25">
      <c r="A815" s="14">
        <v>45072</v>
      </c>
      <c r="B815" s="14">
        <v>45072</v>
      </c>
      <c r="C815" s="6">
        <v>45072</v>
      </c>
      <c r="D815" s="6">
        <v>45087</v>
      </c>
      <c r="E815" s="7"/>
      <c r="F815" s="115">
        <v>25144</v>
      </c>
      <c r="G815" s="8" t="s">
        <v>3293</v>
      </c>
      <c r="H815" s="8" t="s">
        <v>1625</v>
      </c>
      <c r="I815" s="8">
        <v>2820</v>
      </c>
      <c r="J815" s="8">
        <v>3710</v>
      </c>
      <c r="K815" s="9">
        <f>Tabla156798[[#This Row],[PRECIO CLIENTE]]-Tabla156798[[#This Row],[CANTIDAD PUBLICA]]</f>
        <v>890</v>
      </c>
      <c r="L815" s="10">
        <f>Tabla156798[[#This Row],[COMISION AGENCIA]]*0.05</f>
        <v>44.5</v>
      </c>
      <c r="M815" s="7"/>
      <c r="N815" s="7" t="s">
        <v>3294</v>
      </c>
      <c r="O815" s="7" t="s">
        <v>47</v>
      </c>
      <c r="P815" s="7"/>
    </row>
    <row r="816" spans="1:16" x14ac:dyDescent="0.25">
      <c r="A816" s="14">
        <v>45072</v>
      </c>
      <c r="B816" s="14">
        <v>45072</v>
      </c>
      <c r="C816" s="6">
        <v>45072</v>
      </c>
      <c r="D816" s="6">
        <v>45088</v>
      </c>
      <c r="E816" s="6">
        <v>45091</v>
      </c>
      <c r="F816" s="115">
        <v>25144</v>
      </c>
      <c r="G816" s="8" t="s">
        <v>3295</v>
      </c>
      <c r="H816" s="8" t="s">
        <v>2144</v>
      </c>
      <c r="I816" s="8">
        <v>32472</v>
      </c>
      <c r="J816" s="8">
        <v>36300</v>
      </c>
      <c r="K816" s="9">
        <f>Tabla156798[[#This Row],[PRECIO CLIENTE]]-Tabla156798[[#This Row],[CANTIDAD PUBLICA]]</f>
        <v>3828</v>
      </c>
      <c r="L816" s="10">
        <f>Tabla156798[[#This Row],[COMISION AGENCIA]]*0.05</f>
        <v>191.4</v>
      </c>
      <c r="M816" s="7"/>
      <c r="N816" s="7" t="s">
        <v>3296</v>
      </c>
      <c r="O816" s="7" t="s">
        <v>47</v>
      </c>
      <c r="P816" s="7"/>
    </row>
    <row r="817" spans="1:16" x14ac:dyDescent="0.25">
      <c r="A817" s="14">
        <v>45072</v>
      </c>
      <c r="B817" s="14">
        <v>45072</v>
      </c>
      <c r="C817" s="6">
        <v>45072</v>
      </c>
      <c r="D817" s="6">
        <v>45077</v>
      </c>
      <c r="E817" s="6">
        <v>45080</v>
      </c>
      <c r="F817" s="115">
        <v>25139</v>
      </c>
      <c r="G817" s="8" t="s">
        <v>3297</v>
      </c>
      <c r="H817" s="8" t="s">
        <v>2129</v>
      </c>
      <c r="I817" s="8">
        <v>30584.25</v>
      </c>
      <c r="J817" s="8">
        <v>26610</v>
      </c>
      <c r="K817" s="9">
        <f>Tabla156798[[#This Row],[CANTIDAD PUBLICA]]*0.05</f>
        <v>1529.2125000000001</v>
      </c>
      <c r="L817" s="10">
        <f>Tabla156798[[#This Row],[COMISION AGENCIA]]*0.05</f>
        <v>76.460625000000007</v>
      </c>
      <c r="M817" s="7">
        <v>3315460797</v>
      </c>
      <c r="N817" s="7" t="s">
        <v>3298</v>
      </c>
      <c r="O817" s="7" t="s">
        <v>6</v>
      </c>
      <c r="P817" s="7"/>
    </row>
    <row r="818" spans="1:16" x14ac:dyDescent="0.25">
      <c r="A818" s="14">
        <f>Tabla156798[[#This Row],[FECHA IN]]-15</f>
        <v>45073</v>
      </c>
      <c r="B818" s="14">
        <v>45074</v>
      </c>
      <c r="C818" s="6">
        <v>44830</v>
      </c>
      <c r="D818" s="6">
        <v>45088</v>
      </c>
      <c r="E818" s="6">
        <v>44726</v>
      </c>
      <c r="F818" s="115" t="s">
        <v>3299</v>
      </c>
      <c r="G818" s="8" t="s">
        <v>3300</v>
      </c>
      <c r="H818" s="8" t="s">
        <v>3301</v>
      </c>
      <c r="I818" s="66">
        <v>146715</v>
      </c>
      <c r="J818" s="8">
        <v>123240</v>
      </c>
      <c r="K818" s="9">
        <f>Tabla156798[[#This Row],[CANTIDAD PUBLICA]]*0.02</f>
        <v>2934.3</v>
      </c>
      <c r="L818" s="10">
        <f>Tabla156798[[#This Row],[COMISION AGENCIA]]*0.05</f>
        <v>146.715</v>
      </c>
      <c r="M818" s="7">
        <v>3511014207</v>
      </c>
      <c r="N818" s="7"/>
      <c r="O818" s="7" t="s">
        <v>3302</v>
      </c>
      <c r="P818" s="7"/>
    </row>
    <row r="819" spans="1:16" x14ac:dyDescent="0.25">
      <c r="A819" s="14">
        <f>Tabla156798[[#This Row],[FECHA IN]]-15</f>
        <v>45074</v>
      </c>
      <c r="B819" s="14">
        <v>45270</v>
      </c>
      <c r="C819" s="6">
        <v>44903</v>
      </c>
      <c r="D819" s="6">
        <v>45089</v>
      </c>
      <c r="E819" s="6">
        <v>45093</v>
      </c>
      <c r="F819" s="115">
        <v>22975</v>
      </c>
      <c r="G819" s="8" t="s">
        <v>3303</v>
      </c>
      <c r="H819" s="8" t="s">
        <v>3304</v>
      </c>
      <c r="I819" s="8">
        <v>399936</v>
      </c>
      <c r="J819" s="8">
        <v>335950</v>
      </c>
      <c r="K819" s="9">
        <f>Tabla156798[[#This Row],[CANTIDAD PUBLICA]]*0.02</f>
        <v>7998.72</v>
      </c>
      <c r="L819" s="10">
        <f>Tabla156798[[#This Row],[COMISION AGENCIA]]*0.05</f>
        <v>399.93600000000004</v>
      </c>
      <c r="M819" s="7">
        <v>3921592151</v>
      </c>
      <c r="N819" s="7"/>
      <c r="O819" s="7" t="s">
        <v>2243</v>
      </c>
      <c r="P819" s="7"/>
    </row>
    <row r="820" spans="1:16" x14ac:dyDescent="0.25">
      <c r="A820" s="94">
        <f>Tabla156798[[#This Row],[FECHA IN]]-15</f>
        <v>45074</v>
      </c>
      <c r="B820" s="94">
        <v>45081</v>
      </c>
      <c r="C820" s="94">
        <v>44965</v>
      </c>
      <c r="D820" s="94">
        <v>45089</v>
      </c>
      <c r="E820" s="94">
        <v>45094</v>
      </c>
      <c r="F820" s="116">
        <v>23506</v>
      </c>
      <c r="G820" s="22" t="s">
        <v>3305</v>
      </c>
      <c r="H820" s="22" t="s">
        <v>3306</v>
      </c>
      <c r="I820" s="22"/>
      <c r="J820" s="22"/>
      <c r="K820" s="95"/>
      <c r="L820" s="96"/>
      <c r="M820" s="54">
        <v>3320684204</v>
      </c>
      <c r="N820" s="54" t="s">
        <v>3307</v>
      </c>
      <c r="O820" s="54" t="s">
        <v>6</v>
      </c>
      <c r="P820" s="54"/>
    </row>
    <row r="821" spans="1:16" x14ac:dyDescent="0.25">
      <c r="A821" s="94">
        <f>Tabla156798[[#This Row],[FECHA IN]]-15</f>
        <v>45074</v>
      </c>
      <c r="B821" s="94">
        <v>45081</v>
      </c>
      <c r="C821" s="94">
        <v>44965</v>
      </c>
      <c r="D821" s="94">
        <v>45089</v>
      </c>
      <c r="E821" s="94">
        <v>45094</v>
      </c>
      <c r="F821" s="116">
        <v>23506</v>
      </c>
      <c r="G821" s="22" t="s">
        <v>3305</v>
      </c>
      <c r="H821" s="22" t="s">
        <v>3308</v>
      </c>
      <c r="I821" s="22"/>
      <c r="J821" s="22"/>
      <c r="K821" s="95"/>
      <c r="L821" s="96"/>
      <c r="M821" s="54">
        <v>3320684204</v>
      </c>
      <c r="N821" s="54"/>
      <c r="O821" s="54"/>
      <c r="P821" s="54"/>
    </row>
    <row r="822" spans="1:16" x14ac:dyDescent="0.25">
      <c r="A822" s="14">
        <v>45074</v>
      </c>
      <c r="B822" s="14">
        <v>45074</v>
      </c>
      <c r="C822" s="6">
        <v>45074</v>
      </c>
      <c r="D822" s="6">
        <v>45182</v>
      </c>
      <c r="E822" s="7"/>
      <c r="F822" s="115" t="s">
        <v>877</v>
      </c>
      <c r="G822" s="8" t="s">
        <v>3309</v>
      </c>
      <c r="H822" s="8" t="s">
        <v>2571</v>
      </c>
      <c r="I822" s="8">
        <v>2995</v>
      </c>
      <c r="J822" s="8">
        <v>3524</v>
      </c>
      <c r="K822" s="9">
        <f>Tabla156798[[#This Row],[PRECIO CLIENTE]]-Tabla156798[[#This Row],[CANTIDAD PUBLICA]]</f>
        <v>529</v>
      </c>
      <c r="L822" s="10">
        <f>Tabla156798[[#This Row],[COMISION AGENCIA]]*0.05</f>
        <v>26.450000000000003</v>
      </c>
      <c r="M822" s="7">
        <v>3481342683</v>
      </c>
      <c r="N822" s="7" t="s">
        <v>3310</v>
      </c>
      <c r="O822" s="7" t="s">
        <v>47</v>
      </c>
      <c r="P822" s="7"/>
    </row>
    <row r="823" spans="1:16" x14ac:dyDescent="0.25">
      <c r="A823" s="14">
        <f>Tabla156798[[#This Row],[FECHA IN]]-22</f>
        <v>45075</v>
      </c>
      <c r="B823" s="14">
        <v>45073</v>
      </c>
      <c r="C823" s="6">
        <v>45056</v>
      </c>
      <c r="D823" s="6">
        <v>45097</v>
      </c>
      <c r="E823" s="6">
        <v>45100</v>
      </c>
      <c r="F823" s="115" t="s">
        <v>3311</v>
      </c>
      <c r="G823" s="8" t="s">
        <v>3312</v>
      </c>
      <c r="H823" s="8" t="s">
        <v>1602</v>
      </c>
      <c r="I823" s="8">
        <v>9745.2000000000007</v>
      </c>
      <c r="J823" s="8">
        <v>8480</v>
      </c>
      <c r="K823" s="9">
        <f>Tabla156798[[#This Row],[CANTIDAD PUBLICA]]*0.05</f>
        <v>487.26000000000005</v>
      </c>
      <c r="L823" s="10">
        <f>Tabla156798[[#This Row],[COMISION AGENCIA]]*0.05</f>
        <v>24.363000000000003</v>
      </c>
      <c r="M823" s="7">
        <v>3481025840</v>
      </c>
      <c r="N823" s="7" t="s">
        <v>3313</v>
      </c>
      <c r="O823" s="7" t="s">
        <v>6</v>
      </c>
      <c r="P823" s="7"/>
    </row>
    <row r="824" spans="1:16" x14ac:dyDescent="0.25">
      <c r="A824" s="14">
        <f>Tabla156798[[#This Row],[FECHA IN]]-15</f>
        <v>45075</v>
      </c>
      <c r="B824" s="14">
        <v>45079</v>
      </c>
      <c r="C824" s="6">
        <v>45002</v>
      </c>
      <c r="D824" s="6">
        <v>45090</v>
      </c>
      <c r="E824" s="6">
        <v>45094</v>
      </c>
      <c r="F824" s="115" t="s">
        <v>3314</v>
      </c>
      <c r="G824" s="8" t="s">
        <v>3315</v>
      </c>
      <c r="H824" s="8" t="s">
        <v>3316</v>
      </c>
      <c r="I824" s="8">
        <v>800</v>
      </c>
      <c r="J824" s="8">
        <v>900</v>
      </c>
      <c r="K824" s="9">
        <f>Tabla156798[[#This Row],[PRECIO CLIENTE]]-Tabla156798[[#This Row],[CANTIDAD PUBLICA]]</f>
        <v>100</v>
      </c>
      <c r="L824" s="10">
        <f>Tabla156798[[#This Row],[COMISION AGENCIA]]*0.05</f>
        <v>5</v>
      </c>
      <c r="M824" s="7"/>
      <c r="N824" s="7"/>
      <c r="O824" s="7"/>
      <c r="P824" s="7"/>
    </row>
    <row r="825" spans="1:16" x14ac:dyDescent="0.25">
      <c r="A825" s="14">
        <f>Tabla156798[[#This Row],[FECHA IN]]-15</f>
        <v>45075</v>
      </c>
      <c r="B825" s="14">
        <v>45079</v>
      </c>
      <c r="C825" s="6">
        <v>45002</v>
      </c>
      <c r="D825" s="6">
        <v>45090</v>
      </c>
      <c r="E825" s="6">
        <v>45094</v>
      </c>
      <c r="F825" s="115" t="s">
        <v>3314</v>
      </c>
      <c r="G825" s="8" t="s">
        <v>3315</v>
      </c>
      <c r="H825" s="8" t="s">
        <v>1505</v>
      </c>
      <c r="I825" s="8">
        <v>18930</v>
      </c>
      <c r="J825" s="8">
        <v>16470</v>
      </c>
      <c r="K825" s="9">
        <f>Tabla156798[[#This Row],[CANTIDAD PUBLICA]]*0.05</f>
        <v>946.5</v>
      </c>
      <c r="L825" s="10">
        <f>Tabla156798[[#This Row],[COMISION AGENCIA]]*0.05</f>
        <v>47.325000000000003</v>
      </c>
      <c r="M825" s="7">
        <v>3481027076</v>
      </c>
      <c r="N825" s="7" t="s">
        <v>3317</v>
      </c>
      <c r="O825" s="7" t="s">
        <v>6</v>
      </c>
      <c r="P825" s="7"/>
    </row>
    <row r="826" spans="1:16" x14ac:dyDescent="0.25">
      <c r="A826" s="14">
        <v>45075</v>
      </c>
      <c r="B826" s="14">
        <v>45075</v>
      </c>
      <c r="C826" s="6">
        <v>45075</v>
      </c>
      <c r="D826" s="6">
        <v>45078</v>
      </c>
      <c r="E826" s="7"/>
      <c r="F826" s="115">
        <v>25164</v>
      </c>
      <c r="G826" s="8" t="s">
        <v>3318</v>
      </c>
      <c r="H826" s="8" t="s">
        <v>1544</v>
      </c>
      <c r="I826" s="8">
        <v>5400</v>
      </c>
      <c r="J826" s="8">
        <v>6320</v>
      </c>
      <c r="K826" s="9">
        <f>Tabla156798[[#This Row],[PRECIO CLIENTE]]-Tabla156798[[#This Row],[CANTIDAD PUBLICA]]</f>
        <v>920</v>
      </c>
      <c r="L826" s="10">
        <f>Tabla156798[[#This Row],[COMISION AGENCIA]]*0.05</f>
        <v>46</v>
      </c>
      <c r="M826" s="7"/>
      <c r="N826" s="7" t="s">
        <v>3319</v>
      </c>
      <c r="O826" s="7" t="s">
        <v>47</v>
      </c>
      <c r="P826" s="7"/>
    </row>
    <row r="827" spans="1:16" x14ac:dyDescent="0.25">
      <c r="A827" s="14">
        <v>45075</v>
      </c>
      <c r="B827" s="14">
        <v>45075</v>
      </c>
      <c r="C827" s="6">
        <v>45075</v>
      </c>
      <c r="D827" s="6">
        <v>45238</v>
      </c>
      <c r="E827" s="6">
        <v>45244</v>
      </c>
      <c r="F827" s="115">
        <v>25193</v>
      </c>
      <c r="G827" s="8" t="s">
        <v>3320</v>
      </c>
      <c r="H827" s="8" t="s">
        <v>3164</v>
      </c>
      <c r="I827" s="8">
        <v>15144</v>
      </c>
      <c r="J827" s="8">
        <v>17160</v>
      </c>
      <c r="K827" s="9">
        <f>Tabla156798[[#This Row],[PRECIO CLIENTE]]-Tabla156798[[#This Row],[CANTIDAD PUBLICA]]</f>
        <v>2016</v>
      </c>
      <c r="L827" s="10">
        <f>Tabla156798[[#This Row],[COMISION AGENCIA]]*0.05</f>
        <v>100.80000000000001</v>
      </c>
      <c r="M827" s="7"/>
      <c r="N827" s="7" t="s">
        <v>3321</v>
      </c>
      <c r="O827" s="7" t="s">
        <v>47</v>
      </c>
      <c r="P827" s="7"/>
    </row>
    <row r="828" spans="1:16" x14ac:dyDescent="0.25">
      <c r="A828" s="14">
        <v>45076</v>
      </c>
      <c r="B828" s="14">
        <v>45076</v>
      </c>
      <c r="C828" s="6">
        <v>45076</v>
      </c>
      <c r="D828" s="6">
        <v>45078</v>
      </c>
      <c r="E828" s="6">
        <v>45084</v>
      </c>
      <c r="F828" s="115">
        <v>25197</v>
      </c>
      <c r="G828" s="8" t="s">
        <v>1543</v>
      </c>
      <c r="H828" s="8" t="s">
        <v>1544</v>
      </c>
      <c r="I828" s="8">
        <v>10044</v>
      </c>
      <c r="J828" s="8">
        <v>11150</v>
      </c>
      <c r="K828" s="9">
        <f>Tabla156798[[#This Row],[PRECIO CLIENTE]]-Tabla156798[[#This Row],[CANTIDAD PUBLICA]]</f>
        <v>1106</v>
      </c>
      <c r="L828" s="10">
        <f>Tabla156798[[#This Row],[COMISION AGENCIA]]*0.05</f>
        <v>55.300000000000004</v>
      </c>
      <c r="M828" s="7"/>
      <c r="N828" s="7" t="s">
        <v>3322</v>
      </c>
      <c r="O828" s="7" t="s">
        <v>47</v>
      </c>
      <c r="P828" s="7"/>
    </row>
    <row r="829" spans="1:16" x14ac:dyDescent="0.25">
      <c r="A829" s="14">
        <v>45076</v>
      </c>
      <c r="B829" s="14">
        <v>45076</v>
      </c>
      <c r="C829" s="6">
        <v>45076</v>
      </c>
      <c r="D829" s="6">
        <v>45077</v>
      </c>
      <c r="E829" s="6">
        <v>45080</v>
      </c>
      <c r="F829" s="115">
        <v>25184</v>
      </c>
      <c r="G829" s="8" t="s">
        <v>3323</v>
      </c>
      <c r="H829" s="8" t="s">
        <v>2499</v>
      </c>
      <c r="I829" s="8">
        <v>4552</v>
      </c>
      <c r="J829" s="8">
        <v>5660</v>
      </c>
      <c r="K829" s="9">
        <f>Tabla156798[[#This Row],[PRECIO CLIENTE]]-Tabla156798[[#This Row],[CANTIDAD PUBLICA]]</f>
        <v>1108</v>
      </c>
      <c r="L829" s="10">
        <f>Tabla156798[[#This Row],[COMISION AGENCIA]]*0.05</f>
        <v>55.400000000000006</v>
      </c>
      <c r="M829" s="7"/>
      <c r="N829" s="7" t="s">
        <v>3324</v>
      </c>
      <c r="O829" s="7" t="s">
        <v>47</v>
      </c>
      <c r="P829" s="7"/>
    </row>
    <row r="830" spans="1:16" x14ac:dyDescent="0.25">
      <c r="A830" s="14">
        <v>45077</v>
      </c>
      <c r="B830" s="14">
        <v>45077</v>
      </c>
      <c r="C830" s="6">
        <v>45077</v>
      </c>
      <c r="D830" s="6">
        <v>45096</v>
      </c>
      <c r="E830" s="6">
        <v>45111</v>
      </c>
      <c r="F830" s="115">
        <v>25236</v>
      </c>
      <c r="G830" s="8" t="s">
        <v>3325</v>
      </c>
      <c r="H830" s="8" t="s">
        <v>1743</v>
      </c>
      <c r="I830" s="8">
        <v>12542</v>
      </c>
      <c r="J830" s="8">
        <v>13210</v>
      </c>
      <c r="K830" s="9">
        <f>Tabla156798[[#This Row],[PRECIO CLIENTE]]-Tabla156798[[#This Row],[CANTIDAD PUBLICA]]</f>
        <v>668</v>
      </c>
      <c r="L830" s="10">
        <f>Tabla156798[[#This Row],[COMISION AGENCIA]]*0.05</f>
        <v>33.4</v>
      </c>
      <c r="M830" s="7"/>
      <c r="N830" s="7" t="s">
        <v>3326</v>
      </c>
      <c r="O830" s="7" t="s">
        <v>47</v>
      </c>
      <c r="P830" s="7"/>
    </row>
    <row r="831" spans="1:16" x14ac:dyDescent="0.25">
      <c r="A831" s="14">
        <v>45077</v>
      </c>
      <c r="B831" s="14">
        <v>45077</v>
      </c>
      <c r="C831" s="6">
        <v>45077</v>
      </c>
      <c r="D831" s="6">
        <v>45087</v>
      </c>
      <c r="E831" s="7"/>
      <c r="F831" s="115">
        <v>25203</v>
      </c>
      <c r="G831" s="8" t="s">
        <v>3327</v>
      </c>
      <c r="H831" s="8" t="s">
        <v>1625</v>
      </c>
      <c r="I831" s="8">
        <v>3738</v>
      </c>
      <c r="J831" s="8">
        <v>4560</v>
      </c>
      <c r="K831" s="9">
        <f>Tabla156798[[#This Row],[PRECIO CLIENTE]]-Tabla156798[[#This Row],[CANTIDAD PUBLICA]]</f>
        <v>822</v>
      </c>
      <c r="L831" s="10">
        <f>Tabla156798[[#This Row],[COMISION AGENCIA]]*0.05</f>
        <v>41.1</v>
      </c>
      <c r="M831" s="7"/>
      <c r="N831" s="7" t="s">
        <v>3328</v>
      </c>
      <c r="O831" s="7" t="s">
        <v>47</v>
      </c>
      <c r="P831" s="7"/>
    </row>
    <row r="832" spans="1:16" x14ac:dyDescent="0.25">
      <c r="A832" s="14">
        <v>45077</v>
      </c>
      <c r="B832" s="14">
        <v>45077</v>
      </c>
      <c r="C832" s="6">
        <v>45077</v>
      </c>
      <c r="D832" s="6">
        <v>45089</v>
      </c>
      <c r="E832" s="6">
        <v>45100</v>
      </c>
      <c r="F832" s="115">
        <v>25216</v>
      </c>
      <c r="G832" s="8" t="s">
        <v>3329</v>
      </c>
      <c r="H832" s="8" t="s">
        <v>1726</v>
      </c>
      <c r="I832" s="8">
        <v>4410</v>
      </c>
      <c r="J832" s="8">
        <v>5280</v>
      </c>
      <c r="K832" s="9">
        <f>Tabla156798[[#This Row],[PRECIO CLIENTE]]-Tabla156798[[#This Row],[CANTIDAD PUBLICA]]</f>
        <v>870</v>
      </c>
      <c r="L832" s="10">
        <f>Tabla156798[[#This Row],[COMISION AGENCIA]]*0.05</f>
        <v>43.5</v>
      </c>
      <c r="M832" s="7"/>
      <c r="N832" s="7" t="s">
        <v>3330</v>
      </c>
      <c r="O832" s="7" t="s">
        <v>47</v>
      </c>
      <c r="P832" s="7"/>
    </row>
    <row r="833" spans="1:16" x14ac:dyDescent="0.25">
      <c r="A833" s="14">
        <v>45077</v>
      </c>
      <c r="B833" s="14">
        <v>45077</v>
      </c>
      <c r="C833" s="6">
        <v>45077</v>
      </c>
      <c r="D833" s="6">
        <v>45085</v>
      </c>
      <c r="E833" s="7"/>
      <c r="F833" s="115">
        <v>25220</v>
      </c>
      <c r="G833" s="8" t="s">
        <v>3331</v>
      </c>
      <c r="H833" s="8" t="s">
        <v>1906</v>
      </c>
      <c r="I833" s="8">
        <v>2024</v>
      </c>
      <c r="J833" s="8">
        <v>2430</v>
      </c>
      <c r="K833" s="9">
        <f>Tabla156798[[#This Row],[PRECIO CLIENTE]]-Tabla156798[[#This Row],[CANTIDAD PUBLICA]]</f>
        <v>406</v>
      </c>
      <c r="L833" s="10">
        <f>Tabla156798[[#This Row],[COMISION AGENCIA]]*0.05</f>
        <v>20.3</v>
      </c>
      <c r="M833" s="7"/>
      <c r="N833" s="7" t="s">
        <v>3332</v>
      </c>
      <c r="O833" s="7" t="s">
        <v>47</v>
      </c>
      <c r="P833" s="7"/>
    </row>
    <row r="834" spans="1:16" x14ac:dyDescent="0.25">
      <c r="A834" s="14">
        <v>45077</v>
      </c>
      <c r="B834" s="14">
        <v>45077</v>
      </c>
      <c r="C834" s="6">
        <v>45077</v>
      </c>
      <c r="D834" s="6">
        <v>45091</v>
      </c>
      <c r="E834" s="7"/>
      <c r="F834" s="115">
        <v>25220</v>
      </c>
      <c r="G834" s="8" t="s">
        <v>3331</v>
      </c>
      <c r="H834" s="8" t="s">
        <v>1544</v>
      </c>
      <c r="I834" s="8">
        <v>2604</v>
      </c>
      <c r="J834" s="8">
        <v>3015</v>
      </c>
      <c r="K834" s="9">
        <f>Tabla156798[[#This Row],[PRECIO CLIENTE]]-Tabla156798[[#This Row],[CANTIDAD PUBLICA]]</f>
        <v>411</v>
      </c>
      <c r="L834" s="10">
        <f>Tabla156798[[#This Row],[COMISION AGENCIA]]*0.05</f>
        <v>20.55</v>
      </c>
      <c r="M834" s="7"/>
      <c r="N834" s="7" t="s">
        <v>3333</v>
      </c>
      <c r="O834" s="7" t="s">
        <v>47</v>
      </c>
      <c r="P834" s="7"/>
    </row>
    <row r="835" spans="1:16" x14ac:dyDescent="0.25">
      <c r="A835" s="14">
        <v>45077</v>
      </c>
      <c r="B835" s="14">
        <v>45077</v>
      </c>
      <c r="C835" s="6">
        <v>45077</v>
      </c>
      <c r="D835" s="6">
        <v>45086</v>
      </c>
      <c r="E835" s="6">
        <v>45102</v>
      </c>
      <c r="F835" s="115">
        <v>25226</v>
      </c>
      <c r="G835" s="8" t="s">
        <v>3334</v>
      </c>
      <c r="H835" s="8" t="s">
        <v>2399</v>
      </c>
      <c r="I835" s="8">
        <v>9911</v>
      </c>
      <c r="J835" s="8">
        <v>12235</v>
      </c>
      <c r="K835" s="9">
        <f>Tabla156798[[#This Row],[PRECIO CLIENTE]]-Tabla156798[[#This Row],[CANTIDAD PUBLICA]]</f>
        <v>2324</v>
      </c>
      <c r="L835" s="10">
        <f>Tabla156798[[#This Row],[COMISION AGENCIA]]*0.05</f>
        <v>116.2</v>
      </c>
      <c r="M835" s="7"/>
      <c r="N835" s="7" t="s">
        <v>3335</v>
      </c>
      <c r="O835" s="7" t="s">
        <v>47</v>
      </c>
      <c r="P835" s="7"/>
    </row>
    <row r="836" spans="1:16" x14ac:dyDescent="0.25">
      <c r="A836" s="14">
        <v>45077</v>
      </c>
      <c r="B836" s="14">
        <v>45077</v>
      </c>
      <c r="C836" s="6">
        <v>45077</v>
      </c>
      <c r="D836" s="6">
        <v>45085</v>
      </c>
      <c r="E836" s="6">
        <v>45089</v>
      </c>
      <c r="F836" s="115">
        <v>25228</v>
      </c>
      <c r="G836" s="8" t="s">
        <v>3336</v>
      </c>
      <c r="H836" s="8" t="s">
        <v>1906</v>
      </c>
      <c r="I836" s="8">
        <v>9165</v>
      </c>
      <c r="J836" s="8">
        <v>10240</v>
      </c>
      <c r="K836" s="9">
        <f>Tabla156798[[#This Row],[PRECIO CLIENTE]]-Tabla156798[[#This Row],[CANTIDAD PUBLICA]]</f>
        <v>1075</v>
      </c>
      <c r="L836" s="10">
        <f>Tabla156798[[#This Row],[COMISION AGENCIA]]*0.05</f>
        <v>53.75</v>
      </c>
      <c r="M836" s="7"/>
      <c r="N836" s="7" t="s">
        <v>3337</v>
      </c>
      <c r="O836" s="7" t="s">
        <v>47</v>
      </c>
      <c r="P836" s="7"/>
    </row>
    <row r="837" spans="1:16" x14ac:dyDescent="0.25">
      <c r="A837" s="14">
        <v>45077</v>
      </c>
      <c r="B837" s="14">
        <v>45077</v>
      </c>
      <c r="C837" s="6">
        <v>45077</v>
      </c>
      <c r="D837" s="6">
        <v>45085</v>
      </c>
      <c r="E837" s="6">
        <v>45089</v>
      </c>
      <c r="F837" s="115">
        <v>25230</v>
      </c>
      <c r="G837" s="8" t="s">
        <v>3338</v>
      </c>
      <c r="H837" s="8" t="s">
        <v>1906</v>
      </c>
      <c r="I837" s="8">
        <v>4933</v>
      </c>
      <c r="J837" s="8">
        <v>5665</v>
      </c>
      <c r="K837" s="9">
        <f>Tabla156798[[#This Row],[PRECIO CLIENTE]]-Tabla156798[[#This Row],[CANTIDAD PUBLICA]]</f>
        <v>732</v>
      </c>
      <c r="L837" s="10">
        <f>Tabla156798[[#This Row],[COMISION AGENCIA]]*0.05</f>
        <v>36.6</v>
      </c>
      <c r="M837" s="7"/>
      <c r="N837" s="7" t="s">
        <v>3339</v>
      </c>
      <c r="O837" s="7" t="s">
        <v>47</v>
      </c>
      <c r="P837" s="7"/>
    </row>
    <row r="838" spans="1:16" x14ac:dyDescent="0.25">
      <c r="A838" s="14">
        <v>45077</v>
      </c>
      <c r="B838" s="14">
        <v>45077</v>
      </c>
      <c r="C838" s="6">
        <v>45077</v>
      </c>
      <c r="D838" s="6">
        <v>45109</v>
      </c>
      <c r="E838" s="6">
        <v>45119</v>
      </c>
      <c r="F838" s="115">
        <v>25192</v>
      </c>
      <c r="G838" s="8" t="s">
        <v>3340</v>
      </c>
      <c r="H838" s="8" t="s">
        <v>2822</v>
      </c>
      <c r="I838" s="8">
        <v>38974</v>
      </c>
      <c r="J838" s="8">
        <v>43320</v>
      </c>
      <c r="K838" s="9">
        <f>Tabla156798[[#This Row],[CANTIDAD PUBLICA]]*0.05</f>
        <v>1948.7</v>
      </c>
      <c r="L838" s="10">
        <f>Tabla156798[[#This Row],[COMISION AGENCIA]]*0.05</f>
        <v>97.435000000000002</v>
      </c>
      <c r="M838" s="7"/>
      <c r="N838" s="7" t="s">
        <v>3328</v>
      </c>
      <c r="O838" s="7" t="s">
        <v>47</v>
      </c>
      <c r="P838" s="7"/>
    </row>
    <row r="839" spans="1:16" x14ac:dyDescent="0.25">
      <c r="A839" s="14">
        <f>Tabla156798[[#This Row],[FECHA IN]]-15</f>
        <v>45078</v>
      </c>
      <c r="B839" s="14">
        <v>45082</v>
      </c>
      <c r="C839" s="6">
        <v>45030</v>
      </c>
      <c r="D839" s="6">
        <v>45093</v>
      </c>
      <c r="E839" s="6">
        <v>45097</v>
      </c>
      <c r="F839" s="115">
        <v>24449</v>
      </c>
      <c r="G839" s="8" t="s">
        <v>2947</v>
      </c>
      <c r="H839" s="8" t="s">
        <v>1505</v>
      </c>
      <c r="I839" s="8">
        <v>14398.35</v>
      </c>
      <c r="J839" s="8">
        <v>12530</v>
      </c>
      <c r="K839" s="9">
        <f>Tabla156798[[#This Row],[CANTIDAD PUBLICA]]*0.05</f>
        <v>719.91750000000002</v>
      </c>
      <c r="L839" s="10">
        <f>Tabla156798[[#This Row],[COMISION AGENCIA]]*0.05</f>
        <v>35.995875000000005</v>
      </c>
      <c r="M839" s="7">
        <v>18064719743</v>
      </c>
      <c r="N839" s="7" t="s">
        <v>3341</v>
      </c>
      <c r="O839" s="7" t="s">
        <v>6</v>
      </c>
      <c r="P839" s="7"/>
    </row>
    <row r="840" spans="1:16" x14ac:dyDescent="0.25">
      <c r="A840" s="14">
        <f>Tabla156798[[#This Row],[FECHA IN]]-15</f>
        <v>45078</v>
      </c>
      <c r="B840" s="14">
        <v>45082</v>
      </c>
      <c r="C840" s="6">
        <v>45000</v>
      </c>
      <c r="D840" s="6">
        <v>45093</v>
      </c>
      <c r="E840" s="6">
        <v>45097</v>
      </c>
      <c r="F840" s="115">
        <v>24057</v>
      </c>
      <c r="G840" s="8" t="s">
        <v>2747</v>
      </c>
      <c r="H840" s="8" t="s">
        <v>1505</v>
      </c>
      <c r="I840" s="8">
        <v>27307.23</v>
      </c>
      <c r="J840" s="8">
        <v>23760</v>
      </c>
      <c r="K840" s="9">
        <f>Tabla156798[[#This Row],[CANTIDAD PUBLICA]]*0.05</f>
        <v>1365.3615</v>
      </c>
      <c r="L840" s="10">
        <f>Tabla156798[[#This Row],[COMISION AGENCIA]]*0.05</f>
        <v>68.268074999999996</v>
      </c>
      <c r="M840" s="7">
        <v>18063925663</v>
      </c>
      <c r="N840" s="7" t="s">
        <v>3342</v>
      </c>
      <c r="O840" s="7" t="s">
        <v>6</v>
      </c>
      <c r="P840" s="7"/>
    </row>
    <row r="841" spans="1:16" x14ac:dyDescent="0.25">
      <c r="A841" s="14">
        <f>Tabla156798[[#This Row],[FECHA IN]]-15</f>
        <v>45078</v>
      </c>
      <c r="B841" s="14">
        <v>45082</v>
      </c>
      <c r="C841" s="6">
        <v>45000</v>
      </c>
      <c r="D841" s="6">
        <v>45093</v>
      </c>
      <c r="E841" s="6">
        <v>45097</v>
      </c>
      <c r="F841" s="115">
        <v>24057</v>
      </c>
      <c r="G841" s="8" t="s">
        <v>3343</v>
      </c>
      <c r="H841" s="8" t="s">
        <v>1505</v>
      </c>
      <c r="I841" s="8">
        <v>27307.23</v>
      </c>
      <c r="J841" s="8">
        <v>23760</v>
      </c>
      <c r="K841" s="9">
        <f>Tabla156798[[#This Row],[CANTIDAD PUBLICA]]*0.05</f>
        <v>1365.3615</v>
      </c>
      <c r="L841" s="10">
        <f>Tabla156798[[#This Row],[COMISION AGENCIA]]*0.05</f>
        <v>68.268074999999996</v>
      </c>
      <c r="M841" s="7">
        <v>18063925663</v>
      </c>
      <c r="N841" s="7" t="s">
        <v>3344</v>
      </c>
      <c r="O841" s="7" t="s">
        <v>6</v>
      </c>
      <c r="P841" s="7"/>
    </row>
    <row r="842" spans="1:16" x14ac:dyDescent="0.25">
      <c r="A842" s="14">
        <f>Tabla156798[[#This Row],[FECHA IN]]-15</f>
        <v>45078</v>
      </c>
      <c r="B842" s="14">
        <v>45082</v>
      </c>
      <c r="C842" s="6">
        <v>45000</v>
      </c>
      <c r="D842" s="6">
        <v>45093</v>
      </c>
      <c r="E842" s="6">
        <v>45097</v>
      </c>
      <c r="F842" s="115">
        <v>24057</v>
      </c>
      <c r="G842" s="8" t="s">
        <v>3345</v>
      </c>
      <c r="H842" s="8" t="s">
        <v>1505</v>
      </c>
      <c r="I842" s="8">
        <v>27307.23</v>
      </c>
      <c r="J842" s="8">
        <v>23760</v>
      </c>
      <c r="K842" s="9">
        <f>Tabla156798[[#This Row],[CANTIDAD PUBLICA]]*0.05</f>
        <v>1365.3615</v>
      </c>
      <c r="L842" s="10">
        <f>Tabla156798[[#This Row],[COMISION AGENCIA]]*0.05</f>
        <v>68.268074999999996</v>
      </c>
      <c r="M842" s="7">
        <v>18063925663</v>
      </c>
      <c r="N842" s="7" t="s">
        <v>3346</v>
      </c>
      <c r="O842" s="7" t="s">
        <v>6</v>
      </c>
      <c r="P842" s="7"/>
    </row>
    <row r="843" spans="1:16" x14ac:dyDescent="0.25">
      <c r="A843" s="14">
        <f>Tabla156798[[#This Row],[FECHA IN]]-15</f>
        <v>45078</v>
      </c>
      <c r="B843" s="14">
        <v>45082</v>
      </c>
      <c r="C843" s="6">
        <v>45000</v>
      </c>
      <c r="D843" s="6">
        <v>45093</v>
      </c>
      <c r="E843" s="6">
        <v>45097</v>
      </c>
      <c r="F843" s="115">
        <v>24057</v>
      </c>
      <c r="G843" s="8" t="s">
        <v>3347</v>
      </c>
      <c r="H843" s="8" t="s">
        <v>1505</v>
      </c>
      <c r="I843" s="8">
        <v>27307.23</v>
      </c>
      <c r="J843" s="8">
        <v>23760</v>
      </c>
      <c r="K843" s="9">
        <f>Tabla156798[[#This Row],[CANTIDAD PUBLICA]]*0.05</f>
        <v>1365.3615</v>
      </c>
      <c r="L843" s="10">
        <f>Tabla156798[[#This Row],[COMISION AGENCIA]]*0.05</f>
        <v>68.268074999999996</v>
      </c>
      <c r="M843" s="7">
        <v>18063925663</v>
      </c>
      <c r="N843" s="7" t="s">
        <v>3348</v>
      </c>
      <c r="O843" s="7" t="s">
        <v>6</v>
      </c>
      <c r="P843" s="7"/>
    </row>
    <row r="844" spans="1:16" x14ac:dyDescent="0.25">
      <c r="A844" s="14">
        <f>Tabla156798[[#This Row],[FECHA IN]]-15</f>
        <v>45078</v>
      </c>
      <c r="B844" s="14">
        <v>45082</v>
      </c>
      <c r="C844" s="6">
        <v>45000</v>
      </c>
      <c r="D844" s="6">
        <v>45093</v>
      </c>
      <c r="E844" s="6">
        <v>45097</v>
      </c>
      <c r="F844" s="115">
        <v>24057</v>
      </c>
      <c r="G844" s="8" t="s">
        <v>3349</v>
      </c>
      <c r="H844" s="8" t="s">
        <v>1505</v>
      </c>
      <c r="I844" s="8">
        <v>27307.23</v>
      </c>
      <c r="J844" s="8">
        <v>23760</v>
      </c>
      <c r="K844" s="9">
        <f>Tabla156798[[#This Row],[CANTIDAD PUBLICA]]*0.05</f>
        <v>1365.3615</v>
      </c>
      <c r="L844" s="10">
        <f>Tabla156798[[#This Row],[COMISION AGENCIA]]*0.05</f>
        <v>68.268074999999996</v>
      </c>
      <c r="M844" s="7">
        <v>18063925663</v>
      </c>
      <c r="N844" s="7" t="s">
        <v>3350</v>
      </c>
      <c r="O844" s="7" t="s">
        <v>6</v>
      </c>
      <c r="P844" s="7"/>
    </row>
    <row r="845" spans="1:16" x14ac:dyDescent="0.25">
      <c r="A845" s="14">
        <f>Tabla156798[[#This Row],[FECHA IN]]-15</f>
        <v>45078</v>
      </c>
      <c r="B845" s="14">
        <v>45082</v>
      </c>
      <c r="C845" s="6">
        <v>45000</v>
      </c>
      <c r="D845" s="6">
        <v>45093</v>
      </c>
      <c r="E845" s="6">
        <v>45097</v>
      </c>
      <c r="F845" s="115">
        <v>24057</v>
      </c>
      <c r="G845" s="8" t="s">
        <v>2747</v>
      </c>
      <c r="H845" s="8" t="s">
        <v>3351</v>
      </c>
      <c r="I845" s="8">
        <v>5760</v>
      </c>
      <c r="J845" s="8">
        <v>6750</v>
      </c>
      <c r="K845" s="9">
        <f>Tabla156798[[#This Row],[PRECIO CLIENTE]]-Tabla156798[[#This Row],[CANTIDAD PUBLICA]]</f>
        <v>990</v>
      </c>
      <c r="L845" s="10">
        <f>Tabla156798[[#This Row],[COMISION AGENCIA]]*0.05</f>
        <v>49.5</v>
      </c>
      <c r="M845" s="7">
        <v>18063925663</v>
      </c>
      <c r="N845" s="7"/>
      <c r="O845" s="7"/>
      <c r="P845" s="7"/>
    </row>
    <row r="846" spans="1:16" x14ac:dyDescent="0.25">
      <c r="A846" s="14">
        <v>45078</v>
      </c>
      <c r="B846" s="14">
        <v>45078</v>
      </c>
      <c r="C846" s="6">
        <v>45078</v>
      </c>
      <c r="D846" s="6">
        <v>45080</v>
      </c>
      <c r="E846" s="7"/>
      <c r="F846" s="115">
        <v>25242</v>
      </c>
      <c r="G846" s="8" t="s">
        <v>3352</v>
      </c>
      <c r="H846" s="8" t="s">
        <v>1290</v>
      </c>
      <c r="I846" s="8">
        <v>1869</v>
      </c>
      <c r="J846" s="8">
        <v>2220</v>
      </c>
      <c r="K846" s="9">
        <f>Tabla156798[[#This Row],[PRECIO CLIENTE]]-Tabla156798[[#This Row],[CANTIDAD PUBLICA]]</f>
        <v>351</v>
      </c>
      <c r="L846" s="10">
        <f>Tabla156798[[#This Row],[COMISION AGENCIA]]*0.05</f>
        <v>17.55</v>
      </c>
      <c r="M846" s="7"/>
      <c r="N846" s="7" t="s">
        <v>3353</v>
      </c>
      <c r="O846" s="7" t="s">
        <v>47</v>
      </c>
      <c r="P846" s="7"/>
    </row>
    <row r="847" spans="1:16" x14ac:dyDescent="0.25">
      <c r="A847" s="14">
        <v>45078</v>
      </c>
      <c r="B847" s="14">
        <v>45078</v>
      </c>
      <c r="C847" s="6">
        <v>45078</v>
      </c>
      <c r="D847" s="6">
        <v>45190</v>
      </c>
      <c r="E847" s="6">
        <v>45200</v>
      </c>
      <c r="F847" s="115" t="s">
        <v>3354</v>
      </c>
      <c r="G847" s="8" t="s">
        <v>3355</v>
      </c>
      <c r="H847" s="8" t="s">
        <v>3356</v>
      </c>
      <c r="I847" s="8">
        <v>28492</v>
      </c>
      <c r="J847" s="8">
        <v>30020</v>
      </c>
      <c r="K847" s="9">
        <f>Tabla156798[[#This Row],[PRECIO CLIENTE]]-Tabla156798[[#This Row],[CANTIDAD PUBLICA]]</f>
        <v>1528</v>
      </c>
      <c r="L847" s="10">
        <f>Tabla156798[[#This Row],[COMISION AGENCIA]]*0.05</f>
        <v>76.400000000000006</v>
      </c>
      <c r="M847" s="7"/>
      <c r="N847" s="7" t="s">
        <v>3357</v>
      </c>
      <c r="O847" s="7" t="s">
        <v>1863</v>
      </c>
      <c r="P847" s="7"/>
    </row>
    <row r="848" spans="1:16" x14ac:dyDescent="0.25">
      <c r="A848" s="14">
        <v>45078</v>
      </c>
      <c r="B848" s="14">
        <v>45078</v>
      </c>
      <c r="C848" s="6">
        <v>45078</v>
      </c>
      <c r="D848" s="6">
        <v>45085</v>
      </c>
      <c r="E848" s="6">
        <v>45089</v>
      </c>
      <c r="F848" s="115">
        <v>25248</v>
      </c>
      <c r="G848" s="8" t="s">
        <v>3358</v>
      </c>
      <c r="H848" s="8" t="s">
        <v>1906</v>
      </c>
      <c r="I848" s="8">
        <v>9237</v>
      </c>
      <c r="J848" s="8">
        <v>10260</v>
      </c>
      <c r="K848" s="9">
        <f>Tabla156798[[#This Row],[PRECIO CLIENTE]]-Tabla156798[[#This Row],[CANTIDAD PUBLICA]]</f>
        <v>1023</v>
      </c>
      <c r="L848" s="10">
        <f>Tabla156798[[#This Row],[COMISION AGENCIA]]*0.05</f>
        <v>51.150000000000006</v>
      </c>
      <c r="M848" s="7"/>
      <c r="N848" s="7" t="s">
        <v>3359</v>
      </c>
      <c r="O848" s="7" t="s">
        <v>47</v>
      </c>
      <c r="P848" s="7"/>
    </row>
    <row r="849" spans="1:16" x14ac:dyDescent="0.25">
      <c r="A849" s="14">
        <v>45078</v>
      </c>
      <c r="B849" s="14">
        <v>45078</v>
      </c>
      <c r="C849" s="6">
        <v>45078</v>
      </c>
      <c r="D849" s="6">
        <v>45238</v>
      </c>
      <c r="E849" s="6">
        <v>45244</v>
      </c>
      <c r="F849" s="115">
        <v>25251</v>
      </c>
      <c r="G849" s="8" t="s">
        <v>3360</v>
      </c>
      <c r="H849" s="8" t="s">
        <v>3164</v>
      </c>
      <c r="I849" s="8">
        <v>1983</v>
      </c>
      <c r="J849" s="8">
        <v>2415</v>
      </c>
      <c r="K849" s="9">
        <f>Tabla156798[[#This Row],[PRECIO CLIENTE]]-Tabla156798[[#This Row],[CANTIDAD PUBLICA]]</f>
        <v>432</v>
      </c>
      <c r="L849" s="10">
        <f>Tabla156798[[#This Row],[COMISION AGENCIA]]*0.05</f>
        <v>21.6</v>
      </c>
      <c r="M849" s="7"/>
      <c r="N849" s="7" t="s">
        <v>3361</v>
      </c>
      <c r="O849" s="7" t="s">
        <v>47</v>
      </c>
      <c r="P849" s="7"/>
    </row>
    <row r="850" spans="1:16" x14ac:dyDescent="0.25">
      <c r="A850" s="14">
        <v>45078</v>
      </c>
      <c r="B850" s="14">
        <v>45078</v>
      </c>
      <c r="C850" s="6">
        <v>45078</v>
      </c>
      <c r="D850" s="6">
        <v>45081</v>
      </c>
      <c r="E850" s="7"/>
      <c r="F850" s="115">
        <v>25252</v>
      </c>
      <c r="G850" s="8" t="s">
        <v>3362</v>
      </c>
      <c r="H850" s="8" t="s">
        <v>3363</v>
      </c>
      <c r="I850" s="8">
        <v>3170</v>
      </c>
      <c r="J850" s="8">
        <v>3470</v>
      </c>
      <c r="K850" s="9">
        <f>Tabla156798[[#This Row],[PRECIO CLIENTE]]-Tabla156798[[#This Row],[CANTIDAD PUBLICA]]</f>
        <v>300</v>
      </c>
      <c r="L850" s="10">
        <f>Tabla156798[[#This Row],[COMISION AGENCIA]]*0.05</f>
        <v>15</v>
      </c>
      <c r="M850" s="7"/>
      <c r="N850" s="7" t="s">
        <v>3364</v>
      </c>
      <c r="O850" s="7" t="s">
        <v>47</v>
      </c>
      <c r="P850" s="7"/>
    </row>
    <row r="851" spans="1:16" x14ac:dyDescent="0.25">
      <c r="A851" s="14">
        <v>45078</v>
      </c>
      <c r="B851" s="14">
        <v>45078</v>
      </c>
      <c r="C851" s="6">
        <v>45078</v>
      </c>
      <c r="D851" s="6">
        <v>45081</v>
      </c>
      <c r="E851" s="7"/>
      <c r="F851" s="115">
        <v>25252</v>
      </c>
      <c r="G851" s="8" t="s">
        <v>3362</v>
      </c>
      <c r="H851" s="8" t="s">
        <v>3365</v>
      </c>
      <c r="I851" s="8">
        <v>3196</v>
      </c>
      <c r="J851" s="8">
        <v>3395</v>
      </c>
      <c r="K851" s="9">
        <f>Tabla156798[[#This Row],[PRECIO CLIENTE]]-Tabla156798[[#This Row],[CANTIDAD PUBLICA]]</f>
        <v>199</v>
      </c>
      <c r="L851" s="10">
        <f>Tabla156798[[#This Row],[COMISION AGENCIA]]*0.05</f>
        <v>9.9500000000000011</v>
      </c>
      <c r="M851" s="7"/>
      <c r="N851" s="7" t="s">
        <v>3366</v>
      </c>
      <c r="O851" s="7" t="s">
        <v>2929</v>
      </c>
      <c r="P851" s="7"/>
    </row>
    <row r="852" spans="1:16" x14ac:dyDescent="0.25">
      <c r="A852" s="14">
        <v>45079</v>
      </c>
      <c r="B852" s="14">
        <v>45079</v>
      </c>
      <c r="C852" s="6">
        <v>45079</v>
      </c>
      <c r="D852" s="6">
        <v>45245</v>
      </c>
      <c r="E852" s="6">
        <v>45248</v>
      </c>
      <c r="F852" s="115">
        <v>25255</v>
      </c>
      <c r="G852" s="8" t="s">
        <v>3367</v>
      </c>
      <c r="H852" s="8" t="s">
        <v>2286</v>
      </c>
      <c r="I852" s="8">
        <v>1877</v>
      </c>
      <c r="J852" s="8">
        <v>2030</v>
      </c>
      <c r="K852" s="9">
        <f>Tabla156798[[#This Row],[PRECIO CLIENTE]]-Tabla156798[[#This Row],[CANTIDAD PUBLICA]]</f>
        <v>153</v>
      </c>
      <c r="L852" s="10">
        <f>Tabla156798[[#This Row],[COMISION AGENCIA]]*0.05</f>
        <v>7.65</v>
      </c>
      <c r="M852" s="7"/>
      <c r="N852" s="7" t="s">
        <v>3368</v>
      </c>
      <c r="O852" s="7" t="s">
        <v>47</v>
      </c>
      <c r="P852" s="7"/>
    </row>
    <row r="853" spans="1:16" x14ac:dyDescent="0.25">
      <c r="A853" s="14">
        <v>45079</v>
      </c>
      <c r="B853" s="14">
        <v>45079</v>
      </c>
      <c r="C853" s="6">
        <v>45079</v>
      </c>
      <c r="D853" s="6">
        <v>45217</v>
      </c>
      <c r="E853" s="6">
        <v>45229</v>
      </c>
      <c r="F853" s="115">
        <v>25257</v>
      </c>
      <c r="G853" s="8" t="s">
        <v>3369</v>
      </c>
      <c r="H853" s="8" t="s">
        <v>1532</v>
      </c>
      <c r="I853" s="8">
        <v>20620</v>
      </c>
      <c r="J853" s="8">
        <v>23000</v>
      </c>
      <c r="K853" s="9">
        <f>Tabla156798[[#This Row],[PRECIO CLIENTE]]-Tabla156798[[#This Row],[CANTIDAD PUBLICA]]</f>
        <v>2380</v>
      </c>
      <c r="L853" s="10">
        <f>Tabla156798[[#This Row],[COMISION AGENCIA]]*0.05</f>
        <v>119</v>
      </c>
      <c r="M853" s="7"/>
      <c r="N853" s="7" t="s">
        <v>3370</v>
      </c>
      <c r="O853" s="7" t="s">
        <v>47</v>
      </c>
      <c r="P853" s="7"/>
    </row>
    <row r="854" spans="1:16" x14ac:dyDescent="0.25">
      <c r="A854" s="14">
        <v>45079</v>
      </c>
      <c r="B854" s="14">
        <v>45079</v>
      </c>
      <c r="C854" s="6">
        <v>45079</v>
      </c>
      <c r="D854" s="6">
        <v>45132</v>
      </c>
      <c r="E854" s="6">
        <v>45157</v>
      </c>
      <c r="F854" s="115">
        <v>25258</v>
      </c>
      <c r="G854" s="8" t="s">
        <v>3371</v>
      </c>
      <c r="H854" s="8" t="s">
        <v>1837</v>
      </c>
      <c r="I854" s="8">
        <v>10430</v>
      </c>
      <c r="J854" s="8">
        <v>11310</v>
      </c>
      <c r="K854" s="9">
        <f>Tabla156798[[#This Row],[PRECIO CLIENTE]]-Tabla156798[[#This Row],[CANTIDAD PUBLICA]]</f>
        <v>880</v>
      </c>
      <c r="L854" s="10">
        <f>Tabla156798[[#This Row],[COMISION AGENCIA]]*0.05</f>
        <v>44</v>
      </c>
      <c r="M854" s="7"/>
      <c r="N854" s="7" t="s">
        <v>3372</v>
      </c>
      <c r="O854" s="7" t="s">
        <v>47</v>
      </c>
      <c r="P854" s="7"/>
    </row>
    <row r="855" spans="1:16" x14ac:dyDescent="0.25">
      <c r="A855" s="14">
        <f>Tabla156798[[#This Row],[FECHA IN]]-22</f>
        <v>45080</v>
      </c>
      <c r="B855" s="14">
        <v>45081</v>
      </c>
      <c r="C855" s="6">
        <v>45062</v>
      </c>
      <c r="D855" s="6">
        <v>45102</v>
      </c>
      <c r="E855" s="6">
        <v>45107</v>
      </c>
      <c r="F855" s="115">
        <v>24952</v>
      </c>
      <c r="G855" s="8" t="s">
        <v>3373</v>
      </c>
      <c r="H855" s="8" t="s">
        <v>1703</v>
      </c>
      <c r="I855" s="8">
        <v>19506.580000000002</v>
      </c>
      <c r="J855" s="8">
        <v>16970</v>
      </c>
      <c r="K855" s="9">
        <f>Tabla156798[[#This Row],[CANTIDAD PUBLICA]]*0.05</f>
        <v>975.32900000000018</v>
      </c>
      <c r="L855" s="10">
        <f>Tabla156798[[#This Row],[COMISION AGENCIA]]*0.05</f>
        <v>48.766450000000013</v>
      </c>
      <c r="M855" s="7">
        <v>3481498623</v>
      </c>
      <c r="N855" s="7" t="s">
        <v>3374</v>
      </c>
      <c r="O855" s="7" t="s">
        <v>6</v>
      </c>
      <c r="P855" s="7"/>
    </row>
    <row r="856" spans="1:16" x14ac:dyDescent="0.25">
      <c r="A856" s="14">
        <f>Tabla156798[[#This Row],[FECHA IN]]-22</f>
        <v>45080</v>
      </c>
      <c r="B856" s="14">
        <v>45081</v>
      </c>
      <c r="C856" s="6">
        <v>45062</v>
      </c>
      <c r="D856" s="6">
        <v>45102</v>
      </c>
      <c r="E856" s="6">
        <v>45107</v>
      </c>
      <c r="F856" s="115">
        <v>24952</v>
      </c>
      <c r="G856" s="8" t="s">
        <v>3375</v>
      </c>
      <c r="H856" s="8" t="s">
        <v>1703</v>
      </c>
      <c r="I856" s="8">
        <v>22641.5</v>
      </c>
      <c r="J856" s="8">
        <v>19700</v>
      </c>
      <c r="K856" s="9">
        <f>Tabla156798[[#This Row],[CANTIDAD PUBLICA]]*0.05</f>
        <v>1132.075</v>
      </c>
      <c r="L856" s="10">
        <f>Tabla156798[[#This Row],[COMISION AGENCIA]]*0.05</f>
        <v>56.603750000000005</v>
      </c>
      <c r="M856" s="7">
        <v>3481498623</v>
      </c>
      <c r="N856" s="7" t="s">
        <v>3376</v>
      </c>
      <c r="O856" s="7" t="s">
        <v>6</v>
      </c>
      <c r="P856" s="7"/>
    </row>
    <row r="857" spans="1:16" x14ac:dyDescent="0.25">
      <c r="A857" s="14">
        <f>Tabla156798[[#This Row],[FECHA IN]]-22</f>
        <v>45080</v>
      </c>
      <c r="B857" s="14">
        <v>45082</v>
      </c>
      <c r="C857" s="6">
        <v>45077</v>
      </c>
      <c r="D857" s="6">
        <v>45102</v>
      </c>
      <c r="E857" s="6">
        <v>45106</v>
      </c>
      <c r="F857" s="115">
        <v>25249</v>
      </c>
      <c r="G857" s="8" t="s">
        <v>3377</v>
      </c>
      <c r="H857" s="8" t="s">
        <v>1703</v>
      </c>
      <c r="I857" s="8">
        <v>13419.4</v>
      </c>
      <c r="J857" s="8">
        <v>11675</v>
      </c>
      <c r="K857" s="9">
        <f>Tabla156798[[#This Row],[CANTIDAD PUBLICA]]*0.05</f>
        <v>670.97</v>
      </c>
      <c r="L857" s="10">
        <f>Tabla156798[[#This Row],[COMISION AGENCIA]]*0.05</f>
        <v>33.548500000000004</v>
      </c>
      <c r="M857" s="7">
        <v>3333704758</v>
      </c>
      <c r="N857" s="7" t="s">
        <v>3378</v>
      </c>
      <c r="O857" s="7" t="s">
        <v>6</v>
      </c>
      <c r="P857" s="7"/>
    </row>
    <row r="858" spans="1:16" x14ac:dyDescent="0.25">
      <c r="A858" s="14">
        <v>45081</v>
      </c>
      <c r="B858" s="14">
        <v>45081</v>
      </c>
      <c r="C858" s="6">
        <v>45081</v>
      </c>
      <c r="D858" s="6">
        <v>45098</v>
      </c>
      <c r="E858" s="6">
        <v>45101</v>
      </c>
      <c r="F858" s="115">
        <v>25285</v>
      </c>
      <c r="G858" s="8" t="s">
        <v>3379</v>
      </c>
      <c r="H858" s="8" t="s">
        <v>1683</v>
      </c>
      <c r="I858" s="8">
        <f>11811.3*0.975</f>
        <v>11516.0175</v>
      </c>
      <c r="J858" s="8">
        <v>10020</v>
      </c>
      <c r="K858" s="9">
        <f>Tabla156798[[#This Row],[CANTIDAD PUBLICA]]*0.05</f>
        <v>575.80087500000002</v>
      </c>
      <c r="L858" s="10">
        <f>Tabla156798[[#This Row],[COMISION AGENCIA]]*0.05</f>
        <v>28.790043750000002</v>
      </c>
      <c r="M858" s="7">
        <v>3481028711</v>
      </c>
      <c r="N858" s="7" t="s">
        <v>3380</v>
      </c>
      <c r="O858" s="7" t="s">
        <v>6</v>
      </c>
      <c r="P858" s="7"/>
    </row>
    <row r="859" spans="1:16" x14ac:dyDescent="0.25">
      <c r="A859" s="14">
        <v>45082</v>
      </c>
      <c r="B859" s="14">
        <v>45082</v>
      </c>
      <c r="C859" s="6">
        <v>45082</v>
      </c>
      <c r="D859" s="6">
        <v>45165</v>
      </c>
      <c r="E859" s="7"/>
      <c r="F859" s="115">
        <v>25296</v>
      </c>
      <c r="G859" s="8" t="s">
        <v>3381</v>
      </c>
      <c r="H859" s="8" t="s">
        <v>1743</v>
      </c>
      <c r="I859" s="8">
        <v>1688</v>
      </c>
      <c r="J859" s="8">
        <v>2110</v>
      </c>
      <c r="K859" s="9">
        <f>Tabla156798[[#This Row],[PRECIO CLIENTE]]-Tabla156798[[#This Row],[CANTIDAD PUBLICA]]</f>
        <v>422</v>
      </c>
      <c r="L859" s="10">
        <f>Tabla156798[[#This Row],[COMISION AGENCIA]]*0.05</f>
        <v>21.1</v>
      </c>
      <c r="M859" s="7"/>
      <c r="N859" s="7" t="s">
        <v>3382</v>
      </c>
      <c r="O859" s="7" t="s">
        <v>47</v>
      </c>
      <c r="P859" s="7"/>
    </row>
    <row r="860" spans="1:16" x14ac:dyDescent="0.25">
      <c r="A860" s="14">
        <v>45082</v>
      </c>
      <c r="B860" s="14">
        <v>45082</v>
      </c>
      <c r="C860" s="6">
        <v>45082</v>
      </c>
      <c r="D860" s="6">
        <v>45107</v>
      </c>
      <c r="E860" s="6">
        <v>45112</v>
      </c>
      <c r="F860" s="115">
        <v>25302</v>
      </c>
      <c r="G860" s="8" t="s">
        <v>1610</v>
      </c>
      <c r="H860" s="8" t="s">
        <v>1625</v>
      </c>
      <c r="I860" s="8">
        <v>9006</v>
      </c>
      <c r="J860" s="8">
        <v>10215</v>
      </c>
      <c r="K860" s="9">
        <f>Tabla156798[[#This Row],[PRECIO CLIENTE]]-Tabla156798[[#This Row],[CANTIDAD PUBLICA]]</f>
        <v>1209</v>
      </c>
      <c r="L860" s="10">
        <f>Tabla156798[[#This Row],[COMISION AGENCIA]]*0.05</f>
        <v>60.45</v>
      </c>
      <c r="M860" s="7"/>
      <c r="N860" s="7" t="s">
        <v>3383</v>
      </c>
      <c r="O860" s="7" t="s">
        <v>47</v>
      </c>
      <c r="P860" s="7"/>
    </row>
    <row r="861" spans="1:16" x14ac:dyDescent="0.25">
      <c r="A861" s="14">
        <v>45082</v>
      </c>
      <c r="B861" s="14">
        <v>45082</v>
      </c>
      <c r="C861" s="6">
        <v>45082</v>
      </c>
      <c r="D861" s="6">
        <v>45148</v>
      </c>
      <c r="E861" s="6">
        <v>45175</v>
      </c>
      <c r="F861" s="115">
        <v>25304</v>
      </c>
      <c r="G861" s="8" t="s">
        <v>3384</v>
      </c>
      <c r="H861" s="8" t="s">
        <v>2121</v>
      </c>
      <c r="I861" s="8">
        <v>28412</v>
      </c>
      <c r="J861" s="8">
        <v>31510</v>
      </c>
      <c r="K861" s="9">
        <f>Tabla156798[[#This Row],[PRECIO CLIENTE]]-Tabla156798[[#This Row],[CANTIDAD PUBLICA]]</f>
        <v>3098</v>
      </c>
      <c r="L861" s="10">
        <f>Tabla156798[[#This Row],[COMISION AGENCIA]]*0.05</f>
        <v>154.9</v>
      </c>
      <c r="M861" s="7"/>
      <c r="N861" s="7" t="s">
        <v>3385</v>
      </c>
      <c r="O861" s="7" t="s">
        <v>47</v>
      </c>
      <c r="P861" s="7"/>
    </row>
    <row r="862" spans="1:16" x14ac:dyDescent="0.25">
      <c r="A862" s="14">
        <v>45082</v>
      </c>
      <c r="B862" s="14">
        <v>45082</v>
      </c>
      <c r="C862" s="6">
        <v>45082</v>
      </c>
      <c r="D862" s="6">
        <v>45126</v>
      </c>
      <c r="E862" s="7"/>
      <c r="F862" s="115">
        <v>25306</v>
      </c>
      <c r="G862" s="8" t="s">
        <v>3386</v>
      </c>
      <c r="H862" s="8" t="s">
        <v>1788</v>
      </c>
      <c r="I862" s="8">
        <v>2996</v>
      </c>
      <c r="J862" s="8">
        <v>3480</v>
      </c>
      <c r="K862" s="9">
        <f>Tabla156798[[#This Row],[PRECIO CLIENTE]]-Tabla156798[[#This Row],[CANTIDAD PUBLICA]]</f>
        <v>484</v>
      </c>
      <c r="L862" s="10">
        <f>Tabla156798[[#This Row],[COMISION AGENCIA]]*0.05</f>
        <v>24.200000000000003</v>
      </c>
      <c r="M862" s="7"/>
      <c r="N862" s="7" t="s">
        <v>3387</v>
      </c>
      <c r="O862" s="7" t="s">
        <v>47</v>
      </c>
      <c r="P862" s="7"/>
    </row>
    <row r="863" spans="1:16" x14ac:dyDescent="0.25">
      <c r="A863" s="14">
        <v>45082</v>
      </c>
      <c r="B863" s="14">
        <v>45082</v>
      </c>
      <c r="C863" s="6">
        <v>45082</v>
      </c>
      <c r="D863" s="6">
        <v>45088</v>
      </c>
      <c r="E863" s="6">
        <v>45092</v>
      </c>
      <c r="F863" s="115">
        <v>25307</v>
      </c>
      <c r="G863" s="8" t="s">
        <v>3388</v>
      </c>
      <c r="H863" s="8" t="s">
        <v>2181</v>
      </c>
      <c r="I863" s="8">
        <v>14812.5</v>
      </c>
      <c r="J863" s="8">
        <v>12890</v>
      </c>
      <c r="K863" s="9">
        <f>Tabla156798[[#This Row],[CANTIDAD PUBLICA]]*0.05</f>
        <v>740.625</v>
      </c>
      <c r="L863" s="10">
        <f>Tabla156798[[#This Row],[COMISION AGENCIA]]*0.05</f>
        <v>37.03125</v>
      </c>
      <c r="M863" s="7">
        <v>3485939920</v>
      </c>
      <c r="N863" s="7" t="s">
        <v>3389</v>
      </c>
      <c r="O863" s="7" t="s">
        <v>6</v>
      </c>
      <c r="P863" s="7"/>
    </row>
    <row r="864" spans="1:16" x14ac:dyDescent="0.25">
      <c r="A864" s="14">
        <v>45083</v>
      </c>
      <c r="B864" s="14">
        <v>45083</v>
      </c>
      <c r="C864" s="6">
        <v>45083</v>
      </c>
      <c r="D864" s="6">
        <v>45084</v>
      </c>
      <c r="E864" s="7"/>
      <c r="F864" s="115">
        <v>25328</v>
      </c>
      <c r="G864" s="8" t="s">
        <v>3390</v>
      </c>
      <c r="H864" s="8" t="s">
        <v>3391</v>
      </c>
      <c r="I864" s="8">
        <v>3036</v>
      </c>
      <c r="J864" s="8">
        <v>4140</v>
      </c>
      <c r="K864" s="9">
        <f>Tabla156798[[#This Row],[PRECIO CLIENTE]]-Tabla156798[[#This Row],[CANTIDAD PUBLICA]]</f>
        <v>1104</v>
      </c>
      <c r="L864" s="10">
        <f>Tabla156798[[#This Row],[COMISION AGENCIA]]*0.05</f>
        <v>55.2</v>
      </c>
      <c r="M864" s="7"/>
      <c r="N864" s="7" t="s">
        <v>3392</v>
      </c>
      <c r="O864" s="7" t="s">
        <v>47</v>
      </c>
      <c r="P864" s="7"/>
    </row>
    <row r="865" spans="1:16" x14ac:dyDescent="0.25">
      <c r="A865" s="14">
        <v>45083</v>
      </c>
      <c r="B865" s="14">
        <v>45083</v>
      </c>
      <c r="C865" s="6">
        <v>45083</v>
      </c>
      <c r="D865" s="6">
        <v>45103</v>
      </c>
      <c r="E865" s="6">
        <v>45108</v>
      </c>
      <c r="F865" s="115">
        <v>25332</v>
      </c>
      <c r="G865" s="8" t="s">
        <v>3393</v>
      </c>
      <c r="H865" s="8" t="s">
        <v>1861</v>
      </c>
      <c r="I865" s="8">
        <v>750</v>
      </c>
      <c r="J865" s="8">
        <v>750</v>
      </c>
      <c r="K865" s="9">
        <v>750</v>
      </c>
      <c r="L865" s="10">
        <f>Tabla156798[[#This Row],[COMISION AGENCIA]]*0.05</f>
        <v>37.5</v>
      </c>
      <c r="M865" s="7"/>
      <c r="N865" s="7" t="s">
        <v>3394</v>
      </c>
      <c r="O865" s="7" t="s">
        <v>86</v>
      </c>
      <c r="P865" s="7"/>
    </row>
    <row r="866" spans="1:16" x14ac:dyDescent="0.25">
      <c r="A866" s="14">
        <v>45083</v>
      </c>
      <c r="B866" s="14">
        <v>45083</v>
      </c>
      <c r="C866" s="6">
        <v>45083</v>
      </c>
      <c r="D866" s="6">
        <v>45116</v>
      </c>
      <c r="E866" s="6">
        <v>45123</v>
      </c>
      <c r="F866" s="115">
        <v>25357</v>
      </c>
      <c r="G866" s="8" t="s">
        <v>2521</v>
      </c>
      <c r="H866" s="8" t="s">
        <v>1731</v>
      </c>
      <c r="I866" s="8">
        <v>1450</v>
      </c>
      <c r="J866" s="8">
        <v>1980</v>
      </c>
      <c r="K866" s="9">
        <f>Tabla156798[[#This Row],[PRECIO CLIENTE]]-Tabla156798[[#This Row],[CANTIDAD PUBLICA]]</f>
        <v>530</v>
      </c>
      <c r="L866" s="10">
        <f>Tabla156798[[#This Row],[COMISION AGENCIA]]*0.05</f>
        <v>26.5</v>
      </c>
      <c r="M866" s="7"/>
      <c r="N866" s="7" t="s">
        <v>3395</v>
      </c>
      <c r="O866" s="7" t="s">
        <v>47</v>
      </c>
      <c r="P866" s="7"/>
    </row>
    <row r="867" spans="1:16" x14ac:dyDescent="0.25">
      <c r="A867" s="14">
        <f>Tabla156798[[#This Row],[FECHA IN]]-22</f>
        <v>45083</v>
      </c>
      <c r="B867" s="14">
        <v>45091</v>
      </c>
      <c r="C867" s="6">
        <v>45075</v>
      </c>
      <c r="D867" s="6">
        <v>45105</v>
      </c>
      <c r="E867" s="6">
        <v>41092</v>
      </c>
      <c r="F867" s="115">
        <v>25185</v>
      </c>
      <c r="G867" s="8" t="s">
        <v>3396</v>
      </c>
      <c r="H867" s="8" t="s">
        <v>1773</v>
      </c>
      <c r="I867" s="8">
        <v>25341.9</v>
      </c>
      <c r="J867" s="8">
        <v>22815</v>
      </c>
      <c r="K867" s="9">
        <f>Tabla156798[[#This Row],[CANTIDAD PUBLICA]]*0.05</f>
        <v>1267.0950000000003</v>
      </c>
      <c r="L867" s="10">
        <f>Tabla156798[[#This Row],[COMISION AGENCIA]]*0.05</f>
        <v>63.354750000000017</v>
      </c>
      <c r="M867" s="7">
        <v>3481274980</v>
      </c>
      <c r="N867" s="7">
        <v>10962635</v>
      </c>
      <c r="O867" s="7" t="s">
        <v>5</v>
      </c>
      <c r="P867" s="7"/>
    </row>
    <row r="868" spans="1:16" x14ac:dyDescent="0.25">
      <c r="A868" s="14">
        <f>Tabla156798[[#This Row],[FECHA IN]]-22</f>
        <v>45083</v>
      </c>
      <c r="B868" s="14">
        <v>45091</v>
      </c>
      <c r="C868" s="6">
        <v>45075</v>
      </c>
      <c r="D868" s="6">
        <v>45105</v>
      </c>
      <c r="E868" s="6">
        <v>41092</v>
      </c>
      <c r="F868" s="115">
        <v>25185</v>
      </c>
      <c r="G868" s="8" t="s">
        <v>3397</v>
      </c>
      <c r="H868" s="8" t="s">
        <v>1773</v>
      </c>
      <c r="I868" s="8">
        <v>28979.84</v>
      </c>
      <c r="J868" s="8">
        <v>27550</v>
      </c>
      <c r="K868" s="9">
        <f>Tabla156798[[#This Row],[CANTIDAD PUBLICA]]*0.05</f>
        <v>1448.9920000000002</v>
      </c>
      <c r="L868" s="10">
        <f>Tabla156798[[#This Row],[COMISION AGENCIA]]*0.05</f>
        <v>72.449600000000018</v>
      </c>
      <c r="M868" s="7">
        <v>3481274980</v>
      </c>
      <c r="N868" s="7">
        <v>10962644</v>
      </c>
      <c r="O868" s="7" t="s">
        <v>5</v>
      </c>
      <c r="P868" s="7"/>
    </row>
    <row r="869" spans="1:16" x14ac:dyDescent="0.25">
      <c r="A869" s="14">
        <f>Tabla156798[[#This Row],[FECHA IN]]-22</f>
        <v>45083</v>
      </c>
      <c r="B869" s="14">
        <v>45091</v>
      </c>
      <c r="C869" s="6">
        <v>45075</v>
      </c>
      <c r="D869" s="6">
        <v>45105</v>
      </c>
      <c r="E869" s="6">
        <v>41092</v>
      </c>
      <c r="F869" s="115">
        <v>25185</v>
      </c>
      <c r="G869" s="8" t="s">
        <v>3398</v>
      </c>
      <c r="H869" s="8" t="s">
        <v>1773</v>
      </c>
      <c r="I869" s="8">
        <v>6630.58</v>
      </c>
      <c r="J869" s="8">
        <v>5970</v>
      </c>
      <c r="K869" s="9">
        <f>Tabla156798[[#This Row],[CANTIDAD PUBLICA]]*0.05</f>
        <v>331.529</v>
      </c>
      <c r="L869" s="10">
        <f>Tabla156798[[#This Row],[COMISION AGENCIA]]*0.05</f>
        <v>16.576450000000001</v>
      </c>
      <c r="M869" s="7">
        <v>3481274980</v>
      </c>
      <c r="N869" s="7">
        <v>10962650</v>
      </c>
      <c r="O869" s="7" t="s">
        <v>5</v>
      </c>
      <c r="P869" s="7"/>
    </row>
    <row r="870" spans="1:16" x14ac:dyDescent="0.25">
      <c r="A870" s="14">
        <f>Tabla156798[[#This Row],[FECHA IN]]-15</f>
        <v>45084</v>
      </c>
      <c r="B870" s="14">
        <v>44970</v>
      </c>
      <c r="C870" s="6">
        <v>44951</v>
      </c>
      <c r="D870" s="6">
        <v>45099</v>
      </c>
      <c r="E870" s="6">
        <v>45102</v>
      </c>
      <c r="F870" s="115">
        <v>23273</v>
      </c>
      <c r="G870" s="8" t="s">
        <v>3399</v>
      </c>
      <c r="H870" s="8" t="s">
        <v>2129</v>
      </c>
      <c r="I870" s="8">
        <v>15077.92</v>
      </c>
      <c r="J870" s="8">
        <v>13120</v>
      </c>
      <c r="K870" s="9">
        <f>Tabla156798[[#This Row],[CANTIDAD PUBLICA]]*0.05</f>
        <v>753.89600000000007</v>
      </c>
      <c r="L870" s="10">
        <f>Tabla156798[[#This Row],[COMISION AGENCIA]]*0.05</f>
        <v>37.694800000000008</v>
      </c>
      <c r="M870" s="7">
        <v>3481164049</v>
      </c>
      <c r="N870" s="7" t="s">
        <v>3400</v>
      </c>
      <c r="O870" s="7" t="s">
        <v>6</v>
      </c>
      <c r="P870" s="7"/>
    </row>
    <row r="871" spans="1:16" x14ac:dyDescent="0.25">
      <c r="A871" s="14">
        <f>Tabla156798[[#This Row],[FECHA IN]]-15</f>
        <v>45084</v>
      </c>
      <c r="B871" s="14">
        <v>44970</v>
      </c>
      <c r="C871" s="6">
        <v>44951</v>
      </c>
      <c r="D871" s="6">
        <v>45099</v>
      </c>
      <c r="E871" s="6">
        <v>45102</v>
      </c>
      <c r="F871" s="115">
        <v>23273</v>
      </c>
      <c r="G871" s="8" t="s">
        <v>3401</v>
      </c>
      <c r="H871" s="8" t="s">
        <v>2129</v>
      </c>
      <c r="I871" s="8">
        <v>15077.92</v>
      </c>
      <c r="J871" s="8">
        <v>13120</v>
      </c>
      <c r="K871" s="9">
        <f>Tabla156798[[#This Row],[CANTIDAD PUBLICA]]*0.05</f>
        <v>753.89600000000007</v>
      </c>
      <c r="L871" s="10">
        <f>Tabla156798[[#This Row],[COMISION AGENCIA]]*0.05</f>
        <v>37.694800000000008</v>
      </c>
      <c r="M871" s="7">
        <v>3481164050</v>
      </c>
      <c r="N871" s="7" t="s">
        <v>3402</v>
      </c>
      <c r="O871" s="7" t="s">
        <v>6</v>
      </c>
      <c r="P871" s="7"/>
    </row>
    <row r="872" spans="1:16" x14ac:dyDescent="0.25">
      <c r="A872" s="14">
        <f>Tabla156798[[#This Row],[FECHA IN]]-15</f>
        <v>45084</v>
      </c>
      <c r="B872" s="14">
        <v>44970</v>
      </c>
      <c r="C872" s="6">
        <v>44951</v>
      </c>
      <c r="D872" s="6">
        <v>45099</v>
      </c>
      <c r="E872" s="6">
        <v>45102</v>
      </c>
      <c r="F872" s="115">
        <v>23273</v>
      </c>
      <c r="G872" s="8" t="s">
        <v>3403</v>
      </c>
      <c r="H872" s="8" t="s">
        <v>2129</v>
      </c>
      <c r="I872" s="8">
        <v>15077.92</v>
      </c>
      <c r="J872" s="8">
        <v>13120</v>
      </c>
      <c r="K872" s="9">
        <f>Tabla156798[[#This Row],[CANTIDAD PUBLICA]]*0.05</f>
        <v>753.89600000000007</v>
      </c>
      <c r="L872" s="10">
        <f>Tabla156798[[#This Row],[COMISION AGENCIA]]*0.05</f>
        <v>37.694800000000008</v>
      </c>
      <c r="M872" s="7">
        <v>3481164051</v>
      </c>
      <c r="N872" s="7" t="s">
        <v>3404</v>
      </c>
      <c r="O872" s="7" t="s">
        <v>6</v>
      </c>
      <c r="P872" s="7"/>
    </row>
    <row r="873" spans="1:16" x14ac:dyDescent="0.25">
      <c r="A873" s="14">
        <f>Tabla156798[[#This Row],[FECHA IN]]-15</f>
        <v>45084</v>
      </c>
      <c r="B873" s="14">
        <v>44970</v>
      </c>
      <c r="C873" s="6">
        <v>44951</v>
      </c>
      <c r="D873" s="6">
        <v>45099</v>
      </c>
      <c r="E873" s="6">
        <v>45102</v>
      </c>
      <c r="F873" s="115">
        <v>23273</v>
      </c>
      <c r="G873" s="8" t="s">
        <v>3405</v>
      </c>
      <c r="H873" s="8" t="s">
        <v>2129</v>
      </c>
      <c r="I873" s="8">
        <v>15077.92</v>
      </c>
      <c r="J873" s="8">
        <v>13120</v>
      </c>
      <c r="K873" s="9">
        <f>Tabla156798[[#This Row],[CANTIDAD PUBLICA]]*0.05</f>
        <v>753.89600000000007</v>
      </c>
      <c r="L873" s="10">
        <f>Tabla156798[[#This Row],[COMISION AGENCIA]]*0.05</f>
        <v>37.694800000000008</v>
      </c>
      <c r="M873" s="7">
        <v>3481164052</v>
      </c>
      <c r="N873" s="7" t="s">
        <v>3406</v>
      </c>
      <c r="O873" s="7" t="s">
        <v>6</v>
      </c>
      <c r="P873" s="7"/>
    </row>
    <row r="874" spans="1:16" x14ac:dyDescent="0.25">
      <c r="A874" s="14">
        <v>45084</v>
      </c>
      <c r="B874" s="14">
        <v>45084</v>
      </c>
      <c r="C874" s="6">
        <v>45084</v>
      </c>
      <c r="D874" s="6">
        <v>45095</v>
      </c>
      <c r="E874" s="7"/>
      <c r="F874" s="115">
        <v>25367</v>
      </c>
      <c r="G874" s="8" t="s">
        <v>2699</v>
      </c>
      <c r="H874" s="8" t="s">
        <v>1625</v>
      </c>
      <c r="I874" s="8">
        <v>1234</v>
      </c>
      <c r="J874" s="8">
        <v>1850</v>
      </c>
      <c r="K874" s="9">
        <f>Tabla156798[[#This Row],[PRECIO CLIENTE]]-Tabla156798[[#This Row],[CANTIDAD PUBLICA]]</f>
        <v>616</v>
      </c>
      <c r="L874" s="10">
        <f>Tabla156798[[#This Row],[COMISION AGENCIA]]*0.05</f>
        <v>30.8</v>
      </c>
      <c r="M874" s="7"/>
      <c r="N874" s="7" t="s">
        <v>3407</v>
      </c>
      <c r="O874" s="7" t="s">
        <v>47</v>
      </c>
      <c r="P874" s="7"/>
    </row>
    <row r="875" spans="1:16" x14ac:dyDescent="0.25">
      <c r="A875" s="14">
        <v>45084</v>
      </c>
      <c r="B875" s="14">
        <v>45084</v>
      </c>
      <c r="C875" s="6">
        <v>45084</v>
      </c>
      <c r="D875" s="6">
        <v>45135</v>
      </c>
      <c r="E875" s="7"/>
      <c r="F875" s="115">
        <v>25369</v>
      </c>
      <c r="G875" s="8" t="s">
        <v>2701</v>
      </c>
      <c r="H875" s="8" t="s">
        <v>2253</v>
      </c>
      <c r="I875" s="8">
        <v>6788</v>
      </c>
      <c r="J875" s="8">
        <v>7700</v>
      </c>
      <c r="K875" s="9">
        <f>Tabla156798[[#This Row],[PRECIO CLIENTE]]-Tabla156798[[#This Row],[CANTIDAD PUBLICA]]</f>
        <v>912</v>
      </c>
      <c r="L875" s="10">
        <f>Tabla156798[[#This Row],[COMISION AGENCIA]]*0.05</f>
        <v>45.6</v>
      </c>
      <c r="M875" s="7"/>
      <c r="N875" s="7" t="s">
        <v>3408</v>
      </c>
      <c r="O875" s="7" t="s">
        <v>47</v>
      </c>
      <c r="P875" s="7"/>
    </row>
    <row r="876" spans="1:16" x14ac:dyDescent="0.25">
      <c r="A876" s="14">
        <v>45084</v>
      </c>
      <c r="B876" s="14">
        <v>45084</v>
      </c>
      <c r="C876" s="6">
        <v>45084</v>
      </c>
      <c r="D876" s="6">
        <v>45087</v>
      </c>
      <c r="E876" s="6">
        <v>45090</v>
      </c>
      <c r="F876" s="115" t="s">
        <v>3409</v>
      </c>
      <c r="G876" s="8" t="s">
        <v>3410</v>
      </c>
      <c r="H876" s="8" t="s">
        <v>3411</v>
      </c>
      <c r="I876" s="8">
        <v>8775.43</v>
      </c>
      <c r="J876" s="8">
        <v>7635</v>
      </c>
      <c r="K876" s="9">
        <f>Tabla156798[[#This Row],[CANTIDAD PUBLICA]]*0.05</f>
        <v>438.77150000000006</v>
      </c>
      <c r="L876" s="10">
        <f>Tabla156798[[#This Row],[COMISION AGENCIA]]*0.05</f>
        <v>21.938575000000004</v>
      </c>
      <c r="M876" s="7">
        <v>3481058120</v>
      </c>
      <c r="N876" s="7" t="s">
        <v>3412</v>
      </c>
      <c r="O876" s="7" t="s">
        <v>6</v>
      </c>
      <c r="P876" s="7"/>
    </row>
    <row r="877" spans="1:16" x14ac:dyDescent="0.25">
      <c r="A877" s="14">
        <f>Tabla156798[[#This Row],[FECHA IN]]-22</f>
        <v>45085</v>
      </c>
      <c r="B877" s="14">
        <v>45089</v>
      </c>
      <c r="C877" s="6">
        <v>45019</v>
      </c>
      <c r="D877" s="6">
        <v>45107</v>
      </c>
      <c r="E877" s="6">
        <v>45110</v>
      </c>
      <c r="F877" s="115" t="s">
        <v>3413</v>
      </c>
      <c r="G877" s="8" t="s">
        <v>3414</v>
      </c>
      <c r="H877" s="8" t="s">
        <v>2903</v>
      </c>
      <c r="I877" s="8">
        <f>19497.35*0.975</f>
        <v>19009.916249999998</v>
      </c>
      <c r="J877" s="8">
        <v>16540</v>
      </c>
      <c r="K877" s="9">
        <f>Tabla156798[[#This Row],[CANTIDAD PUBLICA]]*0.05</f>
        <v>950.49581249999994</v>
      </c>
      <c r="L877" s="10">
        <f>Tabla156798[[#This Row],[COMISION AGENCIA]]*0.05</f>
        <v>47.524790625000001</v>
      </c>
      <c r="M877" s="7">
        <v>3335817641</v>
      </c>
      <c r="N877" s="7" t="s">
        <v>3415</v>
      </c>
      <c r="O877" s="7" t="s">
        <v>6</v>
      </c>
      <c r="P877" s="7"/>
    </row>
    <row r="878" spans="1:16" x14ac:dyDescent="0.25">
      <c r="A878" s="14">
        <f>Tabla156798[[#This Row],[FECHA IN]]-22</f>
        <v>45085</v>
      </c>
      <c r="B878" s="14">
        <v>45089</v>
      </c>
      <c r="C878" s="6">
        <v>45019</v>
      </c>
      <c r="D878" s="6">
        <v>45107</v>
      </c>
      <c r="E878" s="6">
        <v>45110</v>
      </c>
      <c r="F878" s="115" t="s">
        <v>3413</v>
      </c>
      <c r="G878" s="8" t="s">
        <v>3416</v>
      </c>
      <c r="H878" s="8" t="s">
        <v>2903</v>
      </c>
      <c r="I878" s="8">
        <f>19497.35*0.975</f>
        <v>19009.916249999998</v>
      </c>
      <c r="J878" s="8">
        <v>16540</v>
      </c>
      <c r="K878" s="9">
        <f>Tabla156798[[#This Row],[CANTIDAD PUBLICA]]*0.05</f>
        <v>950.49581249999994</v>
      </c>
      <c r="L878" s="10">
        <f>Tabla156798[[#This Row],[COMISION AGENCIA]]*0.05</f>
        <v>47.524790625000001</v>
      </c>
      <c r="M878" s="7">
        <v>3335817641</v>
      </c>
      <c r="N878" s="7" t="s">
        <v>3417</v>
      </c>
      <c r="O878" s="7" t="s">
        <v>6</v>
      </c>
      <c r="P878" s="7"/>
    </row>
    <row r="879" spans="1:16" x14ac:dyDescent="0.25">
      <c r="A879" s="14">
        <v>45085</v>
      </c>
      <c r="B879" s="14">
        <v>45085</v>
      </c>
      <c r="C879" s="6">
        <v>45085</v>
      </c>
      <c r="D879" s="6">
        <v>45106</v>
      </c>
      <c r="E879" s="6">
        <v>45110</v>
      </c>
      <c r="F879" s="115">
        <v>25370</v>
      </c>
      <c r="G879" s="8" t="s">
        <v>3418</v>
      </c>
      <c r="H879" s="8" t="s">
        <v>2286</v>
      </c>
      <c r="I879" s="8">
        <v>4442</v>
      </c>
      <c r="J879" s="8">
        <v>5550</v>
      </c>
      <c r="K879" s="9">
        <f>Tabla156798[[#This Row],[PRECIO CLIENTE]]-Tabla156798[[#This Row],[CANTIDAD PUBLICA]]</f>
        <v>1108</v>
      </c>
      <c r="L879" s="10">
        <f>Tabla156798[[#This Row],[COMISION AGENCIA]]*0.05</f>
        <v>55.400000000000006</v>
      </c>
      <c r="M879" s="7"/>
      <c r="N879" s="7" t="s">
        <v>3419</v>
      </c>
      <c r="O879" s="7" t="s">
        <v>47</v>
      </c>
      <c r="P879" s="7"/>
    </row>
    <row r="880" spans="1:16" x14ac:dyDescent="0.25">
      <c r="A880" s="14">
        <v>45085</v>
      </c>
      <c r="B880" s="14">
        <v>45085</v>
      </c>
      <c r="C880" s="6">
        <v>45085</v>
      </c>
      <c r="D880" s="6">
        <v>45089</v>
      </c>
      <c r="E880" s="6">
        <v>45092</v>
      </c>
      <c r="F880" s="115">
        <v>25376</v>
      </c>
      <c r="G880" s="8" t="s">
        <v>1879</v>
      </c>
      <c r="H880" s="8" t="s">
        <v>1290</v>
      </c>
      <c r="I880" s="8">
        <v>11412</v>
      </c>
      <c r="J880" s="8">
        <v>11720</v>
      </c>
      <c r="K880" s="9">
        <f>Tabla156798[[#This Row],[PRECIO CLIENTE]]-Tabla156798[[#This Row],[CANTIDAD PUBLICA]]</f>
        <v>308</v>
      </c>
      <c r="L880" s="10">
        <f>Tabla156798[[#This Row],[COMISION AGENCIA]]*0.05</f>
        <v>15.4</v>
      </c>
      <c r="M880" s="7"/>
      <c r="N880" s="7" t="s">
        <v>3420</v>
      </c>
      <c r="O880" s="7" t="s">
        <v>86</v>
      </c>
      <c r="P880" s="7"/>
    </row>
    <row r="881" spans="1:16" x14ac:dyDescent="0.25">
      <c r="A881" s="14">
        <v>45085</v>
      </c>
      <c r="B881" s="14">
        <v>45085</v>
      </c>
      <c r="C881" s="6">
        <v>45085</v>
      </c>
      <c r="D881" s="6">
        <v>45090</v>
      </c>
      <c r="E881" s="6">
        <v>45093</v>
      </c>
      <c r="F881" s="115">
        <v>25382</v>
      </c>
      <c r="G881" s="8" t="s">
        <v>3421</v>
      </c>
      <c r="H881" s="8" t="s">
        <v>2286</v>
      </c>
      <c r="I881" s="8">
        <v>4032</v>
      </c>
      <c r="J881" s="8">
        <v>4440</v>
      </c>
      <c r="K881" s="9">
        <f>Tabla156798[[#This Row],[PRECIO CLIENTE]]-Tabla156798[[#This Row],[CANTIDAD PUBLICA]]</f>
        <v>408</v>
      </c>
      <c r="L881" s="10">
        <f>Tabla156798[[#This Row],[COMISION AGENCIA]]*0.05</f>
        <v>20.400000000000002</v>
      </c>
      <c r="M881" s="7"/>
      <c r="N881" s="7" t="s">
        <v>3422</v>
      </c>
      <c r="O881" s="7" t="s">
        <v>86</v>
      </c>
      <c r="P881" s="7"/>
    </row>
    <row r="882" spans="1:16" x14ac:dyDescent="0.25">
      <c r="A882" s="14">
        <v>45085</v>
      </c>
      <c r="B882" s="14">
        <v>45085</v>
      </c>
      <c r="C882" s="6">
        <v>45085</v>
      </c>
      <c r="D882" s="6">
        <v>45279</v>
      </c>
      <c r="E882" s="6">
        <v>45286</v>
      </c>
      <c r="F882" s="115">
        <v>25391</v>
      </c>
      <c r="G882" s="8" t="s">
        <v>3423</v>
      </c>
      <c r="H882" s="8" t="s">
        <v>1290</v>
      </c>
      <c r="I882" s="8">
        <v>14028</v>
      </c>
      <c r="J882" s="8">
        <v>15960</v>
      </c>
      <c r="K882" s="9">
        <f>Tabla156798[[#This Row],[PRECIO CLIENTE]]-Tabla156798[[#This Row],[CANTIDAD PUBLICA]]</f>
        <v>1932</v>
      </c>
      <c r="L882" s="10">
        <f>Tabla156798[[#This Row],[COMISION AGENCIA]]*0.05</f>
        <v>96.600000000000009</v>
      </c>
      <c r="M882" s="7"/>
      <c r="N882" s="7" t="s">
        <v>3424</v>
      </c>
      <c r="O882" s="7" t="s">
        <v>47</v>
      </c>
      <c r="P882" s="7"/>
    </row>
    <row r="883" spans="1:16" x14ac:dyDescent="0.25">
      <c r="A883" s="14">
        <f>Tabla156798[[#This Row],[FECHA IN]]-22</f>
        <v>45085</v>
      </c>
      <c r="B883" s="14">
        <v>45083</v>
      </c>
      <c r="C883" s="6">
        <v>45064</v>
      </c>
      <c r="D883" s="6">
        <v>45107</v>
      </c>
      <c r="E883" s="6">
        <v>45110</v>
      </c>
      <c r="F883" s="115">
        <v>25231</v>
      </c>
      <c r="G883" s="8" t="s">
        <v>3425</v>
      </c>
      <c r="H883" s="8" t="s">
        <v>2903</v>
      </c>
      <c r="I883" s="8">
        <v>12461.7</v>
      </c>
      <c r="J883" s="8">
        <v>10845</v>
      </c>
      <c r="K883" s="9">
        <f>Tabla156798[[#This Row],[CANTIDAD PUBLICA]]*0.05</f>
        <v>623.08500000000004</v>
      </c>
      <c r="L883" s="10">
        <f>Tabla156798[[#This Row],[COMISION AGENCIA]]*0.05</f>
        <v>31.154250000000005</v>
      </c>
      <c r="M883" s="7">
        <v>3481268555</v>
      </c>
      <c r="N883" s="7" t="s">
        <v>3426</v>
      </c>
      <c r="O883" s="7" t="s">
        <v>6</v>
      </c>
      <c r="P883" s="7"/>
    </row>
    <row r="884" spans="1:16" x14ac:dyDescent="0.25">
      <c r="A884" s="14">
        <v>45085</v>
      </c>
      <c r="B884" s="14">
        <v>45085</v>
      </c>
      <c r="C884" s="6">
        <v>45085</v>
      </c>
      <c r="D884" s="6">
        <v>45089</v>
      </c>
      <c r="E884" s="6">
        <v>45092</v>
      </c>
      <c r="F884" s="115">
        <v>25376</v>
      </c>
      <c r="G884" s="8" t="s">
        <v>1879</v>
      </c>
      <c r="H884" s="8" t="s">
        <v>3427</v>
      </c>
      <c r="I884" s="8">
        <v>33120.129999999997</v>
      </c>
      <c r="J884" s="8">
        <v>28815</v>
      </c>
      <c r="K884" s="9">
        <f>Tabla156798[[#This Row],[CANTIDAD PUBLICA]]*0.05</f>
        <v>1656.0065</v>
      </c>
      <c r="L884" s="10">
        <f>Tabla156798[[#This Row],[COMISION AGENCIA]]*0.05</f>
        <v>82.800325000000001</v>
      </c>
      <c r="M884" s="7">
        <v>8115542664</v>
      </c>
      <c r="N884" s="7" t="s">
        <v>3428</v>
      </c>
      <c r="O884" s="7" t="s">
        <v>6</v>
      </c>
      <c r="P884" s="7"/>
    </row>
    <row r="885" spans="1:16" x14ac:dyDescent="0.25">
      <c r="A885" s="14">
        <v>45085</v>
      </c>
      <c r="B885" s="14">
        <v>45085</v>
      </c>
      <c r="C885" s="6">
        <v>45085</v>
      </c>
      <c r="D885" s="6">
        <v>45089</v>
      </c>
      <c r="E885" s="6">
        <v>45092</v>
      </c>
      <c r="F885" s="115">
        <v>25376</v>
      </c>
      <c r="G885" s="8" t="s">
        <v>1879</v>
      </c>
      <c r="H885" s="8" t="s">
        <v>3429</v>
      </c>
      <c r="I885" s="8">
        <v>512</v>
      </c>
      <c r="J885" s="8">
        <v>1500</v>
      </c>
      <c r="K885" s="9">
        <f>Tabla156798[[#This Row],[PRECIO CLIENTE]]-Tabla156798[[#This Row],[CANTIDAD PUBLICA]]</f>
        <v>988</v>
      </c>
      <c r="L885" s="10">
        <f>Tabla156798[[#This Row],[COMISION AGENCIA]]*0.05</f>
        <v>49.400000000000006</v>
      </c>
      <c r="M885" s="7">
        <v>8115542664</v>
      </c>
      <c r="N885" s="7"/>
      <c r="O885" s="7" t="s">
        <v>4</v>
      </c>
      <c r="P885" s="7"/>
    </row>
    <row r="886" spans="1:16" x14ac:dyDescent="0.25">
      <c r="A886" s="14">
        <v>45085</v>
      </c>
      <c r="B886" s="14">
        <v>45085</v>
      </c>
      <c r="C886" s="6">
        <v>45085</v>
      </c>
      <c r="D886" s="6">
        <v>45090</v>
      </c>
      <c r="E886" s="6">
        <v>45093</v>
      </c>
      <c r="F886" s="115">
        <v>25382</v>
      </c>
      <c r="G886" s="8" t="s">
        <v>3421</v>
      </c>
      <c r="H886" s="8" t="s">
        <v>2597</v>
      </c>
      <c r="I886" s="8">
        <v>12741.79</v>
      </c>
      <c r="J886" s="8">
        <v>11085</v>
      </c>
      <c r="K886" s="9">
        <f>Tabla156798[[#This Row],[CANTIDAD PUBLICA]]*0.05</f>
        <v>637.08950000000004</v>
      </c>
      <c r="L886" s="10">
        <f>Tabla156798[[#This Row],[COMISION AGENCIA]]*0.05</f>
        <v>31.854475000000004</v>
      </c>
      <c r="M886" s="7">
        <v>3481818864</v>
      </c>
      <c r="N886" s="7" t="s">
        <v>3430</v>
      </c>
      <c r="O886" s="7" t="s">
        <v>6</v>
      </c>
      <c r="P886" s="7"/>
    </row>
    <row r="887" spans="1:16" x14ac:dyDescent="0.25">
      <c r="A887" s="14">
        <v>45086</v>
      </c>
      <c r="B887" s="14">
        <v>45086</v>
      </c>
      <c r="C887" s="6">
        <v>45086</v>
      </c>
      <c r="D887" s="6">
        <v>45088</v>
      </c>
      <c r="E887" s="7"/>
      <c r="F887" s="115">
        <v>25396</v>
      </c>
      <c r="G887" s="8" t="s">
        <v>3431</v>
      </c>
      <c r="H887" s="8" t="s">
        <v>1541</v>
      </c>
      <c r="I887" s="8">
        <v>3429</v>
      </c>
      <c r="J887" s="8">
        <v>3835</v>
      </c>
      <c r="K887" s="9">
        <f>Tabla156798[[#This Row],[PRECIO CLIENTE]]-Tabla156798[[#This Row],[CANTIDAD PUBLICA]]</f>
        <v>406</v>
      </c>
      <c r="L887" s="10">
        <f>Tabla156798[[#This Row],[COMISION AGENCIA]]*0.05</f>
        <v>20.3</v>
      </c>
      <c r="M887" s="7"/>
      <c r="N887" s="7" t="s">
        <v>3432</v>
      </c>
      <c r="O887" s="7" t="s">
        <v>47</v>
      </c>
      <c r="P887" s="7"/>
    </row>
    <row r="888" spans="1:16" x14ac:dyDescent="0.25">
      <c r="A888" s="14">
        <v>45087</v>
      </c>
      <c r="B888" s="14">
        <v>45087</v>
      </c>
      <c r="C888" s="6">
        <v>45087</v>
      </c>
      <c r="D888" s="6">
        <v>45093</v>
      </c>
      <c r="E888" s="6">
        <v>45093</v>
      </c>
      <c r="F888" s="115">
        <v>25410</v>
      </c>
      <c r="G888" s="8" t="s">
        <v>3433</v>
      </c>
      <c r="H888" s="8" t="s">
        <v>3434</v>
      </c>
      <c r="I888" s="8">
        <v>6360.37</v>
      </c>
      <c r="J888" s="8">
        <v>5585</v>
      </c>
      <c r="K888" s="9">
        <f>Tabla156798[[#This Row],[CANTIDAD PUBLICA]]*0.05</f>
        <v>318.01850000000002</v>
      </c>
      <c r="L888" s="10">
        <f>Tabla156798[[#This Row],[COMISION AGENCIA]]*0.05</f>
        <v>15.900925000000001</v>
      </c>
      <c r="M888" s="7">
        <v>3781491507</v>
      </c>
      <c r="N888" s="7" t="s">
        <v>3435</v>
      </c>
      <c r="O888" s="7" t="s">
        <v>6</v>
      </c>
      <c r="P888" s="7"/>
    </row>
    <row r="889" spans="1:16" x14ac:dyDescent="0.25">
      <c r="A889" s="14">
        <f>Tabla156798[[#This Row],[FECHA IN]]-22</f>
        <v>45087</v>
      </c>
      <c r="B889" s="14">
        <v>45091</v>
      </c>
      <c r="C889" s="6">
        <v>45087</v>
      </c>
      <c r="D889" s="6">
        <v>45109</v>
      </c>
      <c r="E889" s="6">
        <v>45115</v>
      </c>
      <c r="F889" s="115" t="s">
        <v>3436</v>
      </c>
      <c r="G889" s="8" t="s">
        <v>3437</v>
      </c>
      <c r="H889" s="8" t="s">
        <v>3438</v>
      </c>
      <c r="I889" s="8">
        <v>26146.92</v>
      </c>
      <c r="J889" s="8">
        <v>22750</v>
      </c>
      <c r="K889" s="9">
        <f>Tabla156798[[#This Row],[CANTIDAD PUBLICA]]*0.05</f>
        <v>1307.346</v>
      </c>
      <c r="L889" s="10">
        <f>Tabla156798[[#This Row],[COMISION AGENCIA]]*0.05</f>
        <v>65.3673</v>
      </c>
      <c r="M889" s="7">
        <v>19516639022</v>
      </c>
      <c r="N889" s="7" t="s">
        <v>3439</v>
      </c>
      <c r="O889" s="7" t="s">
        <v>6</v>
      </c>
      <c r="P889" s="7"/>
    </row>
    <row r="890" spans="1:16" x14ac:dyDescent="0.25">
      <c r="A890" s="14">
        <v>45087</v>
      </c>
      <c r="B890" s="14">
        <v>45087</v>
      </c>
      <c r="C890" s="6">
        <v>45087</v>
      </c>
      <c r="D890" s="6">
        <v>45090</v>
      </c>
      <c r="E890" s="6">
        <v>45093</v>
      </c>
      <c r="F890" s="115">
        <v>25418</v>
      </c>
      <c r="G890" s="8" t="s">
        <v>3440</v>
      </c>
      <c r="H890" s="8" t="s">
        <v>3256</v>
      </c>
      <c r="I890" s="8">
        <v>1727</v>
      </c>
      <c r="J890" s="8">
        <v>2110</v>
      </c>
      <c r="K890" s="9">
        <f>Tabla156798[[#This Row],[PRECIO CLIENTE]]-Tabla156798[[#This Row],[CANTIDAD PUBLICA]]</f>
        <v>383</v>
      </c>
      <c r="L890" s="10">
        <f>Tabla156798[[#This Row],[COMISION AGENCIA]]*0.05</f>
        <v>19.150000000000002</v>
      </c>
      <c r="M890" s="7"/>
      <c r="N890" s="7" t="s">
        <v>3441</v>
      </c>
      <c r="O890" s="7" t="s">
        <v>47</v>
      </c>
      <c r="P890" s="7"/>
    </row>
    <row r="891" spans="1:16" x14ac:dyDescent="0.25">
      <c r="A891" s="14">
        <v>45087</v>
      </c>
      <c r="B891" s="14">
        <v>45087</v>
      </c>
      <c r="C891" s="6">
        <v>45087</v>
      </c>
      <c r="D891" s="6">
        <v>45109</v>
      </c>
      <c r="E891" s="6">
        <v>45115</v>
      </c>
      <c r="F891" s="115" t="s">
        <v>3442</v>
      </c>
      <c r="G891" s="8" t="s">
        <v>3443</v>
      </c>
      <c r="H891" s="8" t="s">
        <v>3444</v>
      </c>
      <c r="I891" s="8">
        <v>17496</v>
      </c>
      <c r="J891" s="8">
        <v>19030</v>
      </c>
      <c r="K891" s="9">
        <f>Tabla156798[[#This Row],[PRECIO CLIENTE]]-Tabla156798[[#This Row],[CANTIDAD PUBLICA]]</f>
        <v>1534</v>
      </c>
      <c r="L891" s="10">
        <f>Tabla156798[[#This Row],[COMISION AGENCIA]]*0.05</f>
        <v>76.7</v>
      </c>
      <c r="M891" s="7"/>
      <c r="N891" s="7" t="s">
        <v>3445</v>
      </c>
      <c r="O891" s="7" t="s">
        <v>47</v>
      </c>
      <c r="P891" s="7"/>
    </row>
    <row r="892" spans="1:16" x14ac:dyDescent="0.25">
      <c r="A892" s="14">
        <v>45089</v>
      </c>
      <c r="B892" s="14">
        <v>45089</v>
      </c>
      <c r="C892" s="6">
        <v>45089</v>
      </c>
      <c r="D892" s="6">
        <v>45090</v>
      </c>
      <c r="E892" s="6">
        <v>45095</v>
      </c>
      <c r="F892" s="115">
        <v>25432</v>
      </c>
      <c r="G892" s="8" t="s">
        <v>3446</v>
      </c>
      <c r="H892" s="8" t="s">
        <v>1290</v>
      </c>
      <c r="I892" s="8">
        <v>14332</v>
      </c>
      <c r="J892" s="8">
        <v>14940</v>
      </c>
      <c r="K892" s="9">
        <f>Tabla156798[[#This Row],[PRECIO CLIENTE]]-Tabla156798[[#This Row],[CANTIDAD PUBLICA]]</f>
        <v>608</v>
      </c>
      <c r="L892" s="10">
        <f>Tabla156798[[#This Row],[COMISION AGENCIA]]*0.05</f>
        <v>30.400000000000002</v>
      </c>
      <c r="M892" s="7"/>
      <c r="N892" s="7" t="s">
        <v>3447</v>
      </c>
      <c r="O892" s="7" t="s">
        <v>47</v>
      </c>
      <c r="P892" s="7"/>
    </row>
    <row r="893" spans="1:16" x14ac:dyDescent="0.25">
      <c r="A893" s="14">
        <v>45089</v>
      </c>
      <c r="B893" s="14">
        <v>45089</v>
      </c>
      <c r="C893" s="6">
        <v>45089</v>
      </c>
      <c r="D893" s="6">
        <v>45095</v>
      </c>
      <c r="E893" s="6">
        <v>45110</v>
      </c>
      <c r="F893" s="115">
        <v>25437</v>
      </c>
      <c r="G893" s="8" t="s">
        <v>3448</v>
      </c>
      <c r="H893" s="8" t="s">
        <v>1979</v>
      </c>
      <c r="I893" s="8">
        <v>7708</v>
      </c>
      <c r="J893" s="8">
        <v>9115</v>
      </c>
      <c r="K893" s="9">
        <f>Tabla156798[[#This Row],[PRECIO CLIENTE]]-Tabla156798[[#This Row],[CANTIDAD PUBLICA]]</f>
        <v>1407</v>
      </c>
      <c r="L893" s="10">
        <f>Tabla156798[[#This Row],[COMISION AGENCIA]]*0.05</f>
        <v>70.350000000000009</v>
      </c>
      <c r="M893" s="7"/>
      <c r="N893" s="7" t="s">
        <v>3449</v>
      </c>
      <c r="O893" s="7" t="s">
        <v>47</v>
      </c>
      <c r="P893" s="7"/>
    </row>
    <row r="894" spans="1:16" x14ac:dyDescent="0.25">
      <c r="A894" s="14">
        <v>45089</v>
      </c>
      <c r="B894" s="14">
        <v>45089</v>
      </c>
      <c r="C894" s="6">
        <v>45089</v>
      </c>
      <c r="D894" s="6">
        <v>45095</v>
      </c>
      <c r="E894" s="7"/>
      <c r="F894" s="115">
        <v>25437</v>
      </c>
      <c r="G894" s="8" t="s">
        <v>3450</v>
      </c>
      <c r="H894" s="8" t="s">
        <v>1979</v>
      </c>
      <c r="I894" s="8">
        <v>4743</v>
      </c>
      <c r="J894" s="8">
        <v>5990</v>
      </c>
      <c r="K894" s="9">
        <f>Tabla156798[[#This Row],[PRECIO CLIENTE]]-Tabla156798[[#This Row],[CANTIDAD PUBLICA]]</f>
        <v>1247</v>
      </c>
      <c r="L894" s="10">
        <f>Tabla156798[[#This Row],[COMISION AGENCIA]]*0.05</f>
        <v>62.35</v>
      </c>
      <c r="M894" s="7"/>
      <c r="N894" s="7" t="s">
        <v>3451</v>
      </c>
      <c r="O894" s="7" t="s">
        <v>47</v>
      </c>
      <c r="P894" s="7"/>
    </row>
    <row r="895" spans="1:16" x14ac:dyDescent="0.25">
      <c r="A895" s="14">
        <v>45089</v>
      </c>
      <c r="B895" s="14">
        <v>45089</v>
      </c>
      <c r="C895" s="6">
        <v>45089</v>
      </c>
      <c r="D895" s="6">
        <v>45090</v>
      </c>
      <c r="E895" s="6">
        <v>45095</v>
      </c>
      <c r="F895" s="115">
        <v>25432</v>
      </c>
      <c r="G895" s="8" t="s">
        <v>3446</v>
      </c>
      <c r="H895" s="8" t="s">
        <v>2540</v>
      </c>
      <c r="I895" s="8">
        <v>24518.7</v>
      </c>
      <c r="J895" s="8">
        <v>21335</v>
      </c>
      <c r="K895" s="9">
        <f>Tabla156798[[#This Row],[CANTIDAD PUBLICA]]*0.05</f>
        <v>1225.9350000000002</v>
      </c>
      <c r="L895" s="10">
        <f>Tabla156798[[#This Row],[COMISION AGENCIA]]*0.05</f>
        <v>61.29675000000001</v>
      </c>
      <c r="M895" s="7">
        <v>3481274980</v>
      </c>
      <c r="N895" s="7" t="s">
        <v>3452</v>
      </c>
      <c r="O895" s="7" t="s">
        <v>6</v>
      </c>
      <c r="P895" s="7"/>
    </row>
    <row r="896" spans="1:16" x14ac:dyDescent="0.25">
      <c r="A896" s="14">
        <v>45090</v>
      </c>
      <c r="B896" s="14">
        <v>45090</v>
      </c>
      <c r="C896" s="6">
        <v>45090</v>
      </c>
      <c r="D896" s="6">
        <v>45142</v>
      </c>
      <c r="E896" s="7"/>
      <c r="F896" s="115">
        <v>25461</v>
      </c>
      <c r="G896" s="8" t="s">
        <v>3453</v>
      </c>
      <c r="H896" s="8" t="s">
        <v>1625</v>
      </c>
      <c r="I896" s="8">
        <v>3444</v>
      </c>
      <c r="J896" s="8">
        <v>4250</v>
      </c>
      <c r="K896" s="9">
        <f>Tabla156798[[#This Row],[PRECIO CLIENTE]]-Tabla156798[[#This Row],[CANTIDAD PUBLICA]]</f>
        <v>806</v>
      </c>
      <c r="L896" s="10">
        <f>Tabla156798[[#This Row],[COMISION AGENCIA]]*0.05</f>
        <v>40.300000000000004</v>
      </c>
      <c r="M896" s="7"/>
      <c r="N896" s="7" t="s">
        <v>3454</v>
      </c>
      <c r="O896" s="7" t="s">
        <v>47</v>
      </c>
      <c r="P896" s="7"/>
    </row>
    <row r="897" spans="1:16" x14ac:dyDescent="0.25">
      <c r="A897" s="14">
        <v>45090</v>
      </c>
      <c r="B897" s="14">
        <v>45090</v>
      </c>
      <c r="C897" s="6">
        <v>45090</v>
      </c>
      <c r="D897" s="6">
        <v>45094</v>
      </c>
      <c r="E897" s="7"/>
      <c r="F897" s="115">
        <v>25465</v>
      </c>
      <c r="G897" s="8" t="s">
        <v>3455</v>
      </c>
      <c r="H897" s="8" t="s">
        <v>1625</v>
      </c>
      <c r="I897" s="8">
        <v>1241</v>
      </c>
      <c r="J897" s="8">
        <v>1615</v>
      </c>
      <c r="K897" s="9">
        <f>Tabla156798[[#This Row],[PRECIO CLIENTE]]-Tabla156798[[#This Row],[CANTIDAD PUBLICA]]</f>
        <v>374</v>
      </c>
      <c r="L897" s="10">
        <f>Tabla156798[[#This Row],[COMISION AGENCIA]]*0.05</f>
        <v>18.7</v>
      </c>
      <c r="M897" s="7"/>
      <c r="N897" s="7" t="s">
        <v>3456</v>
      </c>
      <c r="O897" s="7" t="s">
        <v>47</v>
      </c>
      <c r="P897" s="7"/>
    </row>
    <row r="898" spans="1:16" x14ac:dyDescent="0.25">
      <c r="A898" s="14">
        <v>45090</v>
      </c>
      <c r="B898" s="14">
        <v>45090</v>
      </c>
      <c r="C898" s="6">
        <v>45090</v>
      </c>
      <c r="D898" s="6">
        <v>37423</v>
      </c>
      <c r="E898" s="6">
        <v>45094</v>
      </c>
      <c r="F898" s="115">
        <v>25455</v>
      </c>
      <c r="G898" s="8" t="s">
        <v>3457</v>
      </c>
      <c r="H898" s="8" t="s">
        <v>3458</v>
      </c>
      <c r="I898" s="8">
        <v>1439.29</v>
      </c>
      <c r="J898" s="8">
        <v>1295</v>
      </c>
      <c r="K898" s="9">
        <f>Tabla156798[[#This Row],[CANTIDAD PUBLICA]]*0.05</f>
        <v>71.964500000000001</v>
      </c>
      <c r="L898" s="10">
        <f>Tabla156798[[#This Row],[COMISION AGENCIA]]*0.05</f>
        <v>3.5982250000000002</v>
      </c>
      <c r="M898" s="7">
        <v>3787066019</v>
      </c>
      <c r="N898" s="7">
        <v>10936844</v>
      </c>
      <c r="O898" s="7" t="s">
        <v>5</v>
      </c>
      <c r="P898" s="7"/>
    </row>
    <row r="899" spans="1:16" x14ac:dyDescent="0.25">
      <c r="A899" s="14">
        <v>45090</v>
      </c>
      <c r="B899" s="14">
        <v>45090</v>
      </c>
      <c r="C899" s="6">
        <v>45090</v>
      </c>
      <c r="D899" s="6">
        <v>37423</v>
      </c>
      <c r="E899" s="6">
        <v>45094</v>
      </c>
      <c r="F899" s="115">
        <v>25456</v>
      </c>
      <c r="G899" s="8" t="s">
        <v>3459</v>
      </c>
      <c r="H899" s="8" t="s">
        <v>3458</v>
      </c>
      <c r="I899" s="8">
        <v>1439.29</v>
      </c>
      <c r="J899" s="8">
        <v>1295</v>
      </c>
      <c r="K899" s="9">
        <f>Tabla156798[[#This Row],[CANTIDAD PUBLICA]]*0.05</f>
        <v>71.964500000000001</v>
      </c>
      <c r="L899" s="10">
        <f>Tabla156798[[#This Row],[COMISION AGENCIA]]*0.05</f>
        <v>3.5982250000000002</v>
      </c>
      <c r="M899" s="7">
        <v>3787066019</v>
      </c>
      <c r="N899" s="7">
        <v>10936859</v>
      </c>
      <c r="O899" s="7" t="s">
        <v>5</v>
      </c>
      <c r="P899" s="7"/>
    </row>
    <row r="900" spans="1:16" x14ac:dyDescent="0.25">
      <c r="A900" s="14">
        <v>45090</v>
      </c>
      <c r="B900" s="14">
        <v>45090</v>
      </c>
      <c r="C900" s="6">
        <v>45090</v>
      </c>
      <c r="D900" s="6">
        <v>37423</v>
      </c>
      <c r="E900" s="6">
        <v>45094</v>
      </c>
      <c r="F900" s="115">
        <v>25459</v>
      </c>
      <c r="G900" s="8" t="s">
        <v>3460</v>
      </c>
      <c r="H900" s="8" t="s">
        <v>3458</v>
      </c>
      <c r="I900" s="8">
        <v>1439.29</v>
      </c>
      <c r="J900" s="8">
        <v>1295</v>
      </c>
      <c r="K900" s="9">
        <f>Tabla156798[[#This Row],[CANTIDAD PUBLICA]]*0.05</f>
        <v>71.964500000000001</v>
      </c>
      <c r="L900" s="10">
        <f>Tabla156798[[#This Row],[COMISION AGENCIA]]*0.05</f>
        <v>3.5982250000000002</v>
      </c>
      <c r="M900" s="7">
        <v>3787066019</v>
      </c>
      <c r="N900" s="7">
        <v>10936923</v>
      </c>
      <c r="O900" s="7" t="s">
        <v>5</v>
      </c>
      <c r="P900" s="7"/>
    </row>
    <row r="901" spans="1:16" x14ac:dyDescent="0.25">
      <c r="A901" s="14">
        <v>45090</v>
      </c>
      <c r="B901" s="14">
        <v>45090</v>
      </c>
      <c r="C901" s="6">
        <v>45090</v>
      </c>
      <c r="D901" s="6">
        <v>37423</v>
      </c>
      <c r="E901" s="6">
        <v>45094</v>
      </c>
      <c r="F901" s="115">
        <v>25458</v>
      </c>
      <c r="G901" s="8" t="s">
        <v>3461</v>
      </c>
      <c r="H901" s="8" t="s">
        <v>3458</v>
      </c>
      <c r="I901" s="8">
        <v>1439.29</v>
      </c>
      <c r="J901" s="8">
        <v>1295</v>
      </c>
      <c r="K901" s="9">
        <f>Tabla156798[[#This Row],[CANTIDAD PUBLICA]]*0.05</f>
        <v>71.964500000000001</v>
      </c>
      <c r="L901" s="10">
        <f>Tabla156798[[#This Row],[COMISION AGENCIA]]*0.05</f>
        <v>3.5982250000000002</v>
      </c>
      <c r="M901" s="7">
        <v>3787066019</v>
      </c>
      <c r="N901" s="7">
        <v>10936912</v>
      </c>
      <c r="O901" s="7" t="s">
        <v>5</v>
      </c>
      <c r="P901" s="7"/>
    </row>
    <row r="902" spans="1:16" x14ac:dyDescent="0.25">
      <c r="A902" s="14">
        <v>45090</v>
      </c>
      <c r="B902" s="14">
        <v>45090</v>
      </c>
      <c r="C902" s="6">
        <v>45090</v>
      </c>
      <c r="D902" s="6">
        <v>37423</v>
      </c>
      <c r="E902" s="6">
        <v>45094</v>
      </c>
      <c r="F902" s="115">
        <v>25457</v>
      </c>
      <c r="G902" s="8" t="s">
        <v>3462</v>
      </c>
      <c r="H902" s="8" t="s">
        <v>3458</v>
      </c>
      <c r="I902" s="8">
        <v>1439.29</v>
      </c>
      <c r="J902" s="8">
        <v>1295</v>
      </c>
      <c r="K902" s="9">
        <f>Tabla156798[[#This Row],[CANTIDAD PUBLICA]]*0.05</f>
        <v>71.964500000000001</v>
      </c>
      <c r="L902" s="10">
        <f>Tabla156798[[#This Row],[COMISION AGENCIA]]*0.05</f>
        <v>3.5982250000000002</v>
      </c>
      <c r="M902" s="7">
        <v>3787066019</v>
      </c>
      <c r="N902" s="7">
        <v>10936873</v>
      </c>
      <c r="O902" s="7" t="s">
        <v>5</v>
      </c>
      <c r="P902" s="7"/>
    </row>
    <row r="903" spans="1:16" x14ac:dyDescent="0.25">
      <c r="A903" s="14">
        <v>45091</v>
      </c>
      <c r="B903" s="14">
        <v>45091</v>
      </c>
      <c r="C903" s="6">
        <v>45091</v>
      </c>
      <c r="D903" s="6">
        <v>45126</v>
      </c>
      <c r="E903" s="6">
        <v>45153</v>
      </c>
      <c r="F903" s="115">
        <v>25480</v>
      </c>
      <c r="G903" s="8" t="s">
        <v>3463</v>
      </c>
      <c r="H903" s="8" t="s">
        <v>1788</v>
      </c>
      <c r="I903" s="8">
        <v>5152</v>
      </c>
      <c r="J903" s="8">
        <v>6008</v>
      </c>
      <c r="K903" s="9">
        <f>Tabla156798[[#This Row],[PRECIO CLIENTE]]-Tabla156798[[#This Row],[CANTIDAD PUBLICA]]</f>
        <v>856</v>
      </c>
      <c r="L903" s="10">
        <f>Tabla156798[[#This Row],[COMISION AGENCIA]]*0.05</f>
        <v>42.800000000000004</v>
      </c>
      <c r="M903" s="7"/>
      <c r="N903" s="7" t="s">
        <v>3464</v>
      </c>
      <c r="O903" s="7" t="s">
        <v>47</v>
      </c>
      <c r="P903" s="7"/>
    </row>
    <row r="904" spans="1:16" x14ac:dyDescent="0.25">
      <c r="A904" s="14">
        <v>45091</v>
      </c>
      <c r="B904" s="14">
        <v>45091</v>
      </c>
      <c r="C904" s="6">
        <v>45091</v>
      </c>
      <c r="D904" s="6">
        <v>45093</v>
      </c>
      <c r="E904" s="6">
        <v>45095</v>
      </c>
      <c r="F904" s="115">
        <v>25492</v>
      </c>
      <c r="G904" s="8" t="s">
        <v>3433</v>
      </c>
      <c r="H904" s="8" t="s">
        <v>1539</v>
      </c>
      <c r="I904" s="8">
        <v>2600</v>
      </c>
      <c r="J904" s="8">
        <v>2600</v>
      </c>
      <c r="K904" s="9">
        <f>Tabla156798[[#This Row],[CANTIDAD PUBLICA]]*AGENTES!D10</f>
        <v>520</v>
      </c>
      <c r="L904" s="10">
        <f>Tabla156798[[#This Row],[COMISION AGENCIA]]*0.05</f>
        <v>26</v>
      </c>
      <c r="M904" s="7">
        <v>3781491507</v>
      </c>
      <c r="N904" s="7">
        <v>4812</v>
      </c>
      <c r="O904" s="7" t="s">
        <v>12</v>
      </c>
      <c r="P904" s="7"/>
    </row>
    <row r="905" spans="1:16" x14ac:dyDescent="0.25">
      <c r="A905" s="14">
        <v>45092</v>
      </c>
      <c r="B905" s="14">
        <v>45092</v>
      </c>
      <c r="C905" s="6">
        <v>45092</v>
      </c>
      <c r="D905" s="6">
        <v>45187</v>
      </c>
      <c r="E905" s="6">
        <v>45197</v>
      </c>
      <c r="F905" s="115">
        <v>25499</v>
      </c>
      <c r="G905" s="8" t="s">
        <v>3465</v>
      </c>
      <c r="H905" s="8" t="s">
        <v>1544</v>
      </c>
      <c r="I905" s="8">
        <v>10935</v>
      </c>
      <c r="J905" s="8">
        <v>12450</v>
      </c>
      <c r="K905" s="9">
        <f>Tabla156798[[#This Row],[PRECIO CLIENTE]]-Tabla156798[[#This Row],[CANTIDAD PUBLICA]]</f>
        <v>1515</v>
      </c>
      <c r="L905" s="10">
        <f>Tabla156798[[#This Row],[COMISION AGENCIA]]*0.05</f>
        <v>75.75</v>
      </c>
      <c r="M905" s="7"/>
      <c r="N905" s="7" t="s">
        <v>3466</v>
      </c>
      <c r="O905" s="7" t="s">
        <v>47</v>
      </c>
      <c r="P905" s="7"/>
    </row>
    <row r="906" spans="1:16" x14ac:dyDescent="0.25">
      <c r="A906" s="14">
        <v>45092</v>
      </c>
      <c r="B906" s="14">
        <v>45092</v>
      </c>
      <c r="C906" s="6">
        <v>45092</v>
      </c>
      <c r="D906" s="6">
        <v>45184</v>
      </c>
      <c r="E906" s="6">
        <v>45187</v>
      </c>
      <c r="F906" s="115">
        <v>25506</v>
      </c>
      <c r="G906" s="8" t="s">
        <v>3467</v>
      </c>
      <c r="H906" s="8" t="s">
        <v>1906</v>
      </c>
      <c r="I906" s="8">
        <v>5191</v>
      </c>
      <c r="J906" s="8">
        <v>5800</v>
      </c>
      <c r="K906" s="9">
        <f>Tabla156798[[#This Row],[PRECIO CLIENTE]]-Tabla156798[[#This Row],[CANTIDAD PUBLICA]]</f>
        <v>609</v>
      </c>
      <c r="L906" s="10">
        <f>Tabla156798[[#This Row],[COMISION AGENCIA]]*0.05</f>
        <v>30.450000000000003</v>
      </c>
      <c r="M906" s="7"/>
      <c r="N906" s="7" t="s">
        <v>3468</v>
      </c>
      <c r="O906" s="7" t="s">
        <v>47</v>
      </c>
      <c r="P906" s="7"/>
    </row>
    <row r="907" spans="1:16" x14ac:dyDescent="0.25">
      <c r="A907" s="14">
        <v>45093</v>
      </c>
      <c r="B907" s="14">
        <v>45093</v>
      </c>
      <c r="C907" s="6">
        <v>45093</v>
      </c>
      <c r="D907" s="6">
        <v>45116</v>
      </c>
      <c r="E907" s="6">
        <v>45122</v>
      </c>
      <c r="F907" s="115" t="s">
        <v>3469</v>
      </c>
      <c r="G907" s="8" t="s">
        <v>3470</v>
      </c>
      <c r="H907" s="8" t="s">
        <v>1290</v>
      </c>
      <c r="I907" s="8">
        <v>26840</v>
      </c>
      <c r="J907" s="8">
        <v>28400</v>
      </c>
      <c r="K907" s="9">
        <f>Tabla156798[[#This Row],[PRECIO CLIENTE]]-Tabla156798[[#This Row],[CANTIDAD PUBLICA]]</f>
        <v>1560</v>
      </c>
      <c r="L907" s="10">
        <f>Tabla156798[[#This Row],[COMISION AGENCIA]]*0.05</f>
        <v>78</v>
      </c>
      <c r="M907" s="7"/>
      <c r="N907" s="7" t="s">
        <v>3471</v>
      </c>
      <c r="O907" s="7" t="s">
        <v>47</v>
      </c>
      <c r="P907" s="7"/>
    </row>
    <row r="908" spans="1:16" x14ac:dyDescent="0.25">
      <c r="A908" s="14">
        <v>45093</v>
      </c>
      <c r="B908" s="14">
        <v>45093</v>
      </c>
      <c r="C908" s="6">
        <v>45093</v>
      </c>
      <c r="D908" s="6">
        <v>45096</v>
      </c>
      <c r="E908" s="7"/>
      <c r="F908" s="115">
        <v>25518</v>
      </c>
      <c r="G908" s="8" t="s">
        <v>3472</v>
      </c>
      <c r="H908" s="8" t="s">
        <v>3473</v>
      </c>
      <c r="I908" s="8">
        <v>1623</v>
      </c>
      <c r="J908" s="8">
        <v>1925</v>
      </c>
      <c r="K908" s="9">
        <f>Tabla156798[[#This Row],[PRECIO CLIENTE]]-Tabla156798[[#This Row],[CANTIDAD PUBLICA]]</f>
        <v>302</v>
      </c>
      <c r="L908" s="10">
        <f>Tabla156798[[#This Row],[COMISION AGENCIA]]*0.05</f>
        <v>15.100000000000001</v>
      </c>
      <c r="M908" s="7"/>
      <c r="N908" s="7" t="s">
        <v>3474</v>
      </c>
      <c r="O908" s="7" t="s">
        <v>47</v>
      </c>
      <c r="P908" s="7"/>
    </row>
    <row r="909" spans="1:16" x14ac:dyDescent="0.25">
      <c r="A909" s="14">
        <v>45093</v>
      </c>
      <c r="B909" s="14">
        <v>45093</v>
      </c>
      <c r="C909" s="6">
        <v>45093</v>
      </c>
      <c r="D909" s="6">
        <v>45097</v>
      </c>
      <c r="E909" s="7"/>
      <c r="F909" s="115">
        <v>25524</v>
      </c>
      <c r="G909" s="8" t="s">
        <v>3475</v>
      </c>
      <c r="H909" s="8" t="s">
        <v>1532</v>
      </c>
      <c r="I909" s="8">
        <v>5308</v>
      </c>
      <c r="J909" s="8">
        <v>5860</v>
      </c>
      <c r="K909" s="9">
        <f>Tabla156798[[#This Row],[PRECIO CLIENTE]]-Tabla156798[[#This Row],[CANTIDAD PUBLICA]]</f>
        <v>552</v>
      </c>
      <c r="L909" s="10">
        <f>Tabla156798[[#This Row],[COMISION AGENCIA]]*0.05</f>
        <v>27.6</v>
      </c>
      <c r="M909" s="7"/>
      <c r="N909" s="7" t="s">
        <v>3476</v>
      </c>
      <c r="O909" s="7" t="s">
        <v>47</v>
      </c>
      <c r="P909" s="7"/>
    </row>
    <row r="910" spans="1:16" x14ac:dyDescent="0.25">
      <c r="A910" s="14">
        <v>45093</v>
      </c>
      <c r="B910" s="14">
        <v>45093</v>
      </c>
      <c r="C910" s="6">
        <v>45093</v>
      </c>
      <c r="D910" s="6">
        <v>45116</v>
      </c>
      <c r="E910" s="6">
        <v>45122</v>
      </c>
      <c r="F910" s="115" t="s">
        <v>3477</v>
      </c>
      <c r="G910" s="8" t="s">
        <v>3470</v>
      </c>
      <c r="H910" s="8" t="s">
        <v>3427</v>
      </c>
      <c r="I910" s="8">
        <v>119370.38</v>
      </c>
      <c r="J910" s="8">
        <v>103855</v>
      </c>
      <c r="K910" s="9">
        <f>Tabla156798[[#This Row],[CANTIDAD PUBLICA]]*0.05</f>
        <v>5968.5190000000002</v>
      </c>
      <c r="L910" s="10">
        <f>Tabla156798[[#This Row],[COMISION AGENCIA]]*0.05</f>
        <v>298.42595</v>
      </c>
      <c r="M910" s="7">
        <v>3511151963</v>
      </c>
      <c r="N910" s="7" t="s">
        <v>3478</v>
      </c>
      <c r="O910" s="7" t="s">
        <v>6</v>
      </c>
      <c r="P910" s="7"/>
    </row>
    <row r="911" spans="1:16" x14ac:dyDescent="0.25">
      <c r="A911" s="14">
        <v>45093</v>
      </c>
      <c r="B911" s="14">
        <v>45093</v>
      </c>
      <c r="C911" s="6">
        <v>45093</v>
      </c>
      <c r="D911" s="6">
        <v>45116</v>
      </c>
      <c r="E911" s="6">
        <v>45122</v>
      </c>
      <c r="F911" s="115" t="s">
        <v>3477</v>
      </c>
      <c r="G911" s="8" t="s">
        <v>3470</v>
      </c>
      <c r="H911" s="8" t="s">
        <v>3479</v>
      </c>
      <c r="I911" s="8"/>
      <c r="J911" s="8">
        <v>1750</v>
      </c>
      <c r="K911" s="9">
        <f>Tabla156798[[#This Row],[CANTIDAD PUBLICA]]*0.05</f>
        <v>0</v>
      </c>
      <c r="L911" s="10">
        <f>Tabla156798[[#This Row],[COMISION AGENCIA]]*0.05</f>
        <v>0</v>
      </c>
      <c r="M911" s="7">
        <v>3511151963</v>
      </c>
      <c r="N911" s="7"/>
      <c r="O911" s="7"/>
      <c r="P911" s="7"/>
    </row>
    <row r="912" spans="1:16" x14ac:dyDescent="0.25">
      <c r="A912" s="14">
        <v>45093</v>
      </c>
      <c r="B912" s="14">
        <v>45093</v>
      </c>
      <c r="C912" s="6">
        <v>45093</v>
      </c>
      <c r="D912" s="6">
        <v>45119</v>
      </c>
      <c r="E912" s="6"/>
      <c r="F912" s="115" t="s">
        <v>3477</v>
      </c>
      <c r="G912" s="8" t="s">
        <v>3470</v>
      </c>
      <c r="H912" s="8" t="s">
        <v>1824</v>
      </c>
      <c r="I912" s="8">
        <v>15412</v>
      </c>
      <c r="J912" s="8">
        <v>14180</v>
      </c>
      <c r="K912" s="9">
        <f>Tabla156798[[#This Row],[CANTIDAD PUBLICA]]*AGENTES!D6</f>
        <v>1078.8399999999999</v>
      </c>
      <c r="L912" s="10">
        <f>Tabla156798[[#This Row],[COMISION AGENCIA]]*0.05</f>
        <v>53.942</v>
      </c>
      <c r="M912" s="7">
        <v>3511151963</v>
      </c>
      <c r="N912" s="7" t="s">
        <v>3480</v>
      </c>
      <c r="O912" s="7" t="s">
        <v>1826</v>
      </c>
      <c r="P912" s="7"/>
    </row>
    <row r="913" spans="1:16" x14ac:dyDescent="0.25">
      <c r="A913" s="14">
        <f>Tabla156798[[#This Row],[FECHA IN]]-22</f>
        <v>45095</v>
      </c>
      <c r="B913" s="14">
        <v>45100</v>
      </c>
      <c r="C913" s="6">
        <v>45085</v>
      </c>
      <c r="D913" s="6">
        <v>45117</v>
      </c>
      <c r="E913" s="6">
        <v>45120</v>
      </c>
      <c r="F913" s="115">
        <v>25425</v>
      </c>
      <c r="G913" s="8" t="s">
        <v>3481</v>
      </c>
      <c r="H913" s="8" t="s">
        <v>2903</v>
      </c>
      <c r="I913" s="8">
        <v>19435.59</v>
      </c>
      <c r="J913" s="8">
        <v>16910</v>
      </c>
      <c r="K913" s="9">
        <f>Tabla156798[[#This Row],[CANTIDAD PUBLICA]]*0.05</f>
        <v>971.7795000000001</v>
      </c>
      <c r="L913" s="10">
        <f>Tabla156798[[#This Row],[COMISION AGENCIA]]*0.05</f>
        <v>48.588975000000005</v>
      </c>
      <c r="M913" s="7">
        <v>16204302527</v>
      </c>
      <c r="N913" s="7" t="s">
        <v>3482</v>
      </c>
      <c r="O913" s="7" t="s">
        <v>6</v>
      </c>
      <c r="P913" s="7"/>
    </row>
    <row r="914" spans="1:16" x14ac:dyDescent="0.25">
      <c r="A914" s="14">
        <v>45095</v>
      </c>
      <c r="B914" s="14">
        <v>45095</v>
      </c>
      <c r="C914" s="6">
        <v>45095</v>
      </c>
      <c r="D914" s="6">
        <v>45100</v>
      </c>
      <c r="E914" s="6">
        <v>45103</v>
      </c>
      <c r="F914" s="115">
        <v>25543</v>
      </c>
      <c r="G914" s="8" t="s">
        <v>3483</v>
      </c>
      <c r="H914" s="8" t="s">
        <v>1383</v>
      </c>
      <c r="I914" s="8">
        <v>10546.88</v>
      </c>
      <c r="J914" s="8">
        <v>9180</v>
      </c>
      <c r="K914" s="9">
        <f>Tabla156798[[#This Row],[CANTIDAD PUBLICA]]*0.05</f>
        <v>527.34399999999994</v>
      </c>
      <c r="L914" s="10">
        <f>Tabla156798[[#This Row],[COMISION AGENCIA]]*0.05</f>
        <v>26.367199999999997</v>
      </c>
      <c r="M914" s="7">
        <v>3481020965</v>
      </c>
      <c r="N914" s="7" t="s">
        <v>3484</v>
      </c>
      <c r="O914" s="7" t="s">
        <v>6</v>
      </c>
      <c r="P914" s="7"/>
    </row>
    <row r="915" spans="1:16" x14ac:dyDescent="0.25">
      <c r="A915" s="14">
        <v>45096</v>
      </c>
      <c r="B915" s="14">
        <v>45097</v>
      </c>
      <c r="C915" s="6">
        <v>45096</v>
      </c>
      <c r="D915" s="6">
        <v>45107</v>
      </c>
      <c r="E915" s="6">
        <v>45110</v>
      </c>
      <c r="F915" s="115">
        <v>25563</v>
      </c>
      <c r="G915" s="8" t="s">
        <v>3485</v>
      </c>
      <c r="H915" s="8" t="s">
        <v>3486</v>
      </c>
      <c r="I915" s="8">
        <v>22162.65</v>
      </c>
      <c r="J915" s="8">
        <v>19285</v>
      </c>
      <c r="K915" s="9">
        <f>Tabla156798[[#This Row],[CANTIDAD PUBLICA]]*0.05</f>
        <v>1108.1325000000002</v>
      </c>
      <c r="L915" s="10">
        <f>Tabla156798[[#This Row],[COMISION AGENCIA]]*0.05</f>
        <v>55.406625000000012</v>
      </c>
      <c r="M915" s="7">
        <v>3328037249</v>
      </c>
      <c r="N915" s="7" t="s">
        <v>3487</v>
      </c>
      <c r="O915" s="7" t="s">
        <v>6</v>
      </c>
      <c r="P915" s="7"/>
    </row>
    <row r="916" spans="1:16" x14ac:dyDescent="0.25">
      <c r="A916" s="14">
        <v>45096</v>
      </c>
      <c r="B916" s="14">
        <v>45097</v>
      </c>
      <c r="C916" s="6">
        <v>45096</v>
      </c>
      <c r="D916" s="6">
        <v>45107</v>
      </c>
      <c r="E916" s="6">
        <v>45110</v>
      </c>
      <c r="F916" s="115">
        <v>25563</v>
      </c>
      <c r="G916" s="8" t="s">
        <v>3485</v>
      </c>
      <c r="H916" s="8" t="s">
        <v>3488</v>
      </c>
      <c r="I916" s="8">
        <v>354.29</v>
      </c>
      <c r="J916" s="8">
        <v>700</v>
      </c>
      <c r="K916" s="9">
        <f>Tabla156798[[#This Row],[PRECIO CLIENTE]]-Tabla156798[[#This Row],[CANTIDAD PUBLICA]]</f>
        <v>345.71</v>
      </c>
      <c r="L916" s="10">
        <f>Tabla156798[[#This Row],[COMISION AGENCIA]]*0.05</f>
        <v>17.285499999999999</v>
      </c>
      <c r="M916" s="7">
        <v>3328037249</v>
      </c>
      <c r="N916" s="7"/>
      <c r="O916" s="7"/>
      <c r="P916" s="7"/>
    </row>
    <row r="917" spans="1:16" x14ac:dyDescent="0.25">
      <c r="A917" s="14">
        <v>45096</v>
      </c>
      <c r="B917" s="14">
        <v>45096</v>
      </c>
      <c r="C917" s="6">
        <v>45096</v>
      </c>
      <c r="D917" s="6">
        <v>45107</v>
      </c>
      <c r="E917" s="6">
        <v>45110</v>
      </c>
      <c r="F917" s="115">
        <v>25563</v>
      </c>
      <c r="G917" s="8" t="s">
        <v>3485</v>
      </c>
      <c r="H917" s="8" t="s">
        <v>1290</v>
      </c>
      <c r="I917" s="8">
        <v>8278</v>
      </c>
      <c r="J917" s="8">
        <v>9840</v>
      </c>
      <c r="K917" s="9">
        <f>Tabla156798[[#This Row],[PRECIO CLIENTE]]-Tabla156798[[#This Row],[CANTIDAD PUBLICA]]</f>
        <v>1562</v>
      </c>
      <c r="L917" s="10">
        <f>Tabla156798[[#This Row],[COMISION AGENCIA]]*0.05</f>
        <v>78.100000000000009</v>
      </c>
      <c r="M917" s="7">
        <v>3328037249</v>
      </c>
      <c r="N917" s="7" t="s">
        <v>3489</v>
      </c>
      <c r="O917" s="7" t="s">
        <v>47</v>
      </c>
      <c r="P917" s="7"/>
    </row>
    <row r="918" spans="1:16" x14ac:dyDescent="0.25">
      <c r="A918" s="14">
        <v>45096</v>
      </c>
      <c r="B918" s="14">
        <v>45096</v>
      </c>
      <c r="C918" s="6">
        <v>45096</v>
      </c>
      <c r="D918" s="6">
        <v>45145</v>
      </c>
      <c r="E918" s="6">
        <v>37510</v>
      </c>
      <c r="F918" s="115">
        <v>25544</v>
      </c>
      <c r="G918" s="8" t="s">
        <v>3490</v>
      </c>
      <c r="H918" s="8" t="s">
        <v>1625</v>
      </c>
      <c r="I918" s="8">
        <v>2568</v>
      </c>
      <c r="J918" s="8">
        <v>3020</v>
      </c>
      <c r="K918" s="9">
        <f>Tabla156798[[#This Row],[PRECIO CLIENTE]]-Tabla156798[[#This Row],[CANTIDAD PUBLICA]]</f>
        <v>452</v>
      </c>
      <c r="L918" s="10">
        <f>Tabla156798[[#This Row],[COMISION AGENCIA]]*0.05</f>
        <v>22.6</v>
      </c>
      <c r="M918" s="7"/>
      <c r="N918" s="7" t="s">
        <v>3491</v>
      </c>
      <c r="O918" s="7" t="s">
        <v>47</v>
      </c>
      <c r="P918" s="7"/>
    </row>
    <row r="919" spans="1:16" x14ac:dyDescent="0.25">
      <c r="A919" s="14">
        <v>45096</v>
      </c>
      <c r="B919" s="14">
        <v>45096</v>
      </c>
      <c r="C919" s="6">
        <v>45096</v>
      </c>
      <c r="D919" s="6">
        <v>45139</v>
      </c>
      <c r="E919" s="6">
        <v>45153</v>
      </c>
      <c r="F919" s="115">
        <v>25550</v>
      </c>
      <c r="G919" s="8" t="s">
        <v>3492</v>
      </c>
      <c r="H919" s="8" t="s">
        <v>1541</v>
      </c>
      <c r="I919" s="8">
        <v>16803</v>
      </c>
      <c r="J919" s="8">
        <v>18705</v>
      </c>
      <c r="K919" s="9">
        <f>Tabla156798[[#This Row],[PRECIO CLIENTE]]-Tabla156798[[#This Row],[CANTIDAD PUBLICA]]</f>
        <v>1902</v>
      </c>
      <c r="L919" s="10">
        <f>Tabla156798[[#This Row],[COMISION AGENCIA]]*0.05</f>
        <v>95.100000000000009</v>
      </c>
      <c r="M919" s="7"/>
      <c r="N919" s="7" t="s">
        <v>3493</v>
      </c>
      <c r="O919" s="7" t="s">
        <v>47</v>
      </c>
      <c r="P919" s="7"/>
    </row>
    <row r="920" spans="1:16" x14ac:dyDescent="0.25">
      <c r="A920" s="14">
        <v>45096</v>
      </c>
      <c r="B920" s="14">
        <v>45096</v>
      </c>
      <c r="C920" s="6">
        <v>45096</v>
      </c>
      <c r="D920" s="6">
        <v>45101</v>
      </c>
      <c r="E920" s="7"/>
      <c r="F920" s="115" t="s">
        <v>3142</v>
      </c>
      <c r="G920" s="8" t="s">
        <v>3494</v>
      </c>
      <c r="H920" s="8" t="s">
        <v>2159</v>
      </c>
      <c r="I920" s="8">
        <v>3986</v>
      </c>
      <c r="J920" s="8">
        <v>4800</v>
      </c>
      <c r="K920" s="9">
        <f>Tabla156798[[#This Row],[PRECIO CLIENTE]]-Tabla156798[[#This Row],[CANTIDAD PUBLICA]]</f>
        <v>814</v>
      </c>
      <c r="L920" s="10">
        <f>Tabla156798[[#This Row],[COMISION AGENCIA]]*0.05</f>
        <v>40.700000000000003</v>
      </c>
      <c r="M920" s="7"/>
      <c r="N920" s="7" t="s">
        <v>3495</v>
      </c>
      <c r="O920" s="7" t="s">
        <v>47</v>
      </c>
      <c r="P920" s="7"/>
    </row>
    <row r="921" spans="1:16" x14ac:dyDescent="0.25">
      <c r="A921" s="14">
        <f>Tabla156798[[#This Row],[FECHA IN]]-15</f>
        <v>45097</v>
      </c>
      <c r="B921" s="14">
        <v>45097</v>
      </c>
      <c r="C921" s="18">
        <v>44979</v>
      </c>
      <c r="D921" s="6">
        <v>45112</v>
      </c>
      <c r="E921" s="6">
        <v>45116</v>
      </c>
      <c r="F921" s="115">
        <v>23683</v>
      </c>
      <c r="G921" s="8" t="s">
        <v>3496</v>
      </c>
      <c r="H921" s="8" t="s">
        <v>3497</v>
      </c>
      <c r="I921" s="8">
        <v>19787.740000000002</v>
      </c>
      <c r="J921" s="8">
        <v>18730</v>
      </c>
      <c r="K921" s="9">
        <f>(Tabla156798[[#This Row],[CANTIDAD PUBLICA]]*0.05)+1514</f>
        <v>2503.3870000000002</v>
      </c>
      <c r="L921" s="10">
        <f>Tabla156798[[#This Row],[COMISION AGENCIA]]*0.05</f>
        <v>125.16935000000001</v>
      </c>
      <c r="M921" s="7">
        <v>3481091396</v>
      </c>
      <c r="N921" s="7" t="s">
        <v>3498</v>
      </c>
      <c r="O921" s="7" t="s">
        <v>6</v>
      </c>
      <c r="P921" s="7" t="s">
        <v>3499</v>
      </c>
    </row>
    <row r="922" spans="1:16" x14ac:dyDescent="0.25">
      <c r="A922" s="14">
        <f>Tabla156798[[#This Row],[FECHA IN]]-15</f>
        <v>45097</v>
      </c>
      <c r="B922" s="14">
        <v>45097</v>
      </c>
      <c r="C922" s="6">
        <v>44979</v>
      </c>
      <c r="D922" s="6">
        <v>45112</v>
      </c>
      <c r="E922" s="6">
        <v>45116</v>
      </c>
      <c r="F922" s="115">
        <v>23683</v>
      </c>
      <c r="G922" s="8" t="s">
        <v>3496</v>
      </c>
      <c r="H922" s="8" t="s">
        <v>3500</v>
      </c>
      <c r="I922" s="8"/>
      <c r="J922" s="8">
        <v>700</v>
      </c>
      <c r="K922" s="9">
        <f>Tabla156798[[#This Row],[PRECIO CLIENTE]]-Tabla156798[[#This Row],[CANTIDAD PUBLICA]]</f>
        <v>700</v>
      </c>
      <c r="L922" s="10">
        <f>Tabla156798[[#This Row],[COMISION AGENCIA]]*0.05</f>
        <v>35</v>
      </c>
      <c r="M922" s="7">
        <v>3481091396</v>
      </c>
      <c r="N922" s="7"/>
      <c r="O922" s="7"/>
      <c r="P922" s="7"/>
    </row>
    <row r="923" spans="1:16" x14ac:dyDescent="0.25">
      <c r="A923" s="14">
        <v>45097</v>
      </c>
      <c r="B923" s="14">
        <v>45097</v>
      </c>
      <c r="C923" s="6">
        <v>45097</v>
      </c>
      <c r="D923" s="6">
        <v>45107</v>
      </c>
      <c r="E923" s="6">
        <v>45110</v>
      </c>
      <c r="F923" s="115">
        <v>25585</v>
      </c>
      <c r="G923" s="8" t="s">
        <v>3416</v>
      </c>
      <c r="H923" s="8" t="s">
        <v>2286</v>
      </c>
      <c r="I923" s="8">
        <v>2826</v>
      </c>
      <c r="J923" s="8">
        <v>2980</v>
      </c>
      <c r="K923" s="9">
        <f>Tabla156798[[#This Row],[PRECIO CLIENTE]]-Tabla156798[[#This Row],[CANTIDAD PUBLICA]]</f>
        <v>154</v>
      </c>
      <c r="L923" s="10">
        <f>Tabla156798[[#This Row],[COMISION AGENCIA]]*0.05</f>
        <v>7.7</v>
      </c>
      <c r="M923" s="7"/>
      <c r="N923" s="7" t="s">
        <v>3501</v>
      </c>
      <c r="O923" s="7" t="s">
        <v>86</v>
      </c>
      <c r="P923" s="7"/>
    </row>
    <row r="924" spans="1:16" x14ac:dyDescent="0.25">
      <c r="A924" s="14">
        <v>45097</v>
      </c>
      <c r="B924" s="14">
        <v>45097</v>
      </c>
      <c r="C924" s="6">
        <v>45097</v>
      </c>
      <c r="D924" s="6">
        <v>45099</v>
      </c>
      <c r="E924" s="7"/>
      <c r="F924" s="115">
        <v>25590</v>
      </c>
      <c r="G924" s="8" t="s">
        <v>3502</v>
      </c>
      <c r="H924" s="8" t="s">
        <v>1726</v>
      </c>
      <c r="I924" s="8">
        <v>4431</v>
      </c>
      <c r="J924" s="8">
        <v>5550</v>
      </c>
      <c r="K924" s="9">
        <f>Tabla156798[[#This Row],[PRECIO CLIENTE]]-Tabla156798[[#This Row],[CANTIDAD PUBLICA]]</f>
        <v>1119</v>
      </c>
      <c r="L924" s="10">
        <f>Tabla156798[[#This Row],[COMISION AGENCIA]]*0.05</f>
        <v>55.95</v>
      </c>
      <c r="M924" s="7"/>
      <c r="N924" s="7" t="s">
        <v>3503</v>
      </c>
      <c r="O924" s="7" t="s">
        <v>47</v>
      </c>
      <c r="P924" s="7"/>
    </row>
    <row r="925" spans="1:16" x14ac:dyDescent="0.25">
      <c r="A925" s="14">
        <v>45097</v>
      </c>
      <c r="B925" s="14">
        <v>45097</v>
      </c>
      <c r="C925" s="6">
        <v>45097</v>
      </c>
      <c r="D925" s="6">
        <v>45111</v>
      </c>
      <c r="E925" s="7"/>
      <c r="F925" s="115">
        <v>25595</v>
      </c>
      <c r="G925" s="8" t="s">
        <v>2605</v>
      </c>
      <c r="H925" s="8" t="s">
        <v>3504</v>
      </c>
      <c r="I925" s="8">
        <v>5322</v>
      </c>
      <c r="J925" s="8">
        <v>6900</v>
      </c>
      <c r="K925" s="9">
        <f>Tabla156798[[#This Row],[PRECIO CLIENTE]]-Tabla156798[[#This Row],[CANTIDAD PUBLICA]]</f>
        <v>1578</v>
      </c>
      <c r="L925" s="10">
        <f>Tabla156798[[#This Row],[COMISION AGENCIA]]*0.05</f>
        <v>78.900000000000006</v>
      </c>
      <c r="M925" s="7"/>
      <c r="N925" s="7" t="s">
        <v>3505</v>
      </c>
      <c r="O925" s="7" t="s">
        <v>47</v>
      </c>
      <c r="P925" s="7"/>
    </row>
    <row r="926" spans="1:16" x14ac:dyDescent="0.25">
      <c r="A926" s="14">
        <v>45098</v>
      </c>
      <c r="B926" s="14">
        <v>45098</v>
      </c>
      <c r="C926" s="6">
        <v>45098</v>
      </c>
      <c r="D926" s="6">
        <v>45107</v>
      </c>
      <c r="E926" s="6">
        <v>45109</v>
      </c>
      <c r="F926" s="115">
        <v>25610</v>
      </c>
      <c r="G926" s="8" t="s">
        <v>3506</v>
      </c>
      <c r="H926" s="8" t="s">
        <v>3507</v>
      </c>
      <c r="I926" s="8">
        <v>12359.55</v>
      </c>
      <c r="J926" s="8">
        <v>10760</v>
      </c>
      <c r="K926" s="9">
        <f>Tabla156798[[#This Row],[CANTIDAD PUBLICA]]*0.05</f>
        <v>617.97749999999996</v>
      </c>
      <c r="L926" s="10">
        <f>Tabla156798[[#This Row],[COMISION AGENCIA]]*0.05</f>
        <v>30.898875</v>
      </c>
      <c r="M926" s="7">
        <v>3481002227</v>
      </c>
      <c r="N926" s="7" t="s">
        <v>3508</v>
      </c>
      <c r="O926" s="7" t="s">
        <v>6</v>
      </c>
      <c r="P926" s="7"/>
    </row>
    <row r="927" spans="1:16" x14ac:dyDescent="0.25">
      <c r="A927" s="14">
        <v>45098</v>
      </c>
      <c r="B927" s="14">
        <v>45098</v>
      </c>
      <c r="C927" s="6">
        <v>45098</v>
      </c>
      <c r="D927" s="6">
        <v>45134</v>
      </c>
      <c r="E927" s="6">
        <v>45145</v>
      </c>
      <c r="F927" s="115">
        <v>25609</v>
      </c>
      <c r="G927" s="8" t="s">
        <v>3509</v>
      </c>
      <c r="H927" s="8" t="s">
        <v>2074</v>
      </c>
      <c r="I927" s="8">
        <v>7067</v>
      </c>
      <c r="J927" s="8">
        <v>8205</v>
      </c>
      <c r="K927" s="9">
        <f>Tabla156798[[#This Row],[PRECIO CLIENTE]]-Tabla156798[[#This Row],[CANTIDAD PUBLICA]]</f>
        <v>1138</v>
      </c>
      <c r="L927" s="10">
        <f>Tabla156798[[#This Row],[COMISION AGENCIA]]*0.05</f>
        <v>56.900000000000006</v>
      </c>
      <c r="M927" s="7"/>
      <c r="N927" s="7" t="s">
        <v>3510</v>
      </c>
      <c r="O927" s="7" t="s">
        <v>47</v>
      </c>
      <c r="P927" s="7"/>
    </row>
    <row r="928" spans="1:16" x14ac:dyDescent="0.25">
      <c r="A928" s="14">
        <v>45098</v>
      </c>
      <c r="B928" s="14">
        <v>45098</v>
      </c>
      <c r="C928" s="6">
        <v>45098</v>
      </c>
      <c r="D928" s="6">
        <v>45147</v>
      </c>
      <c r="E928" s="6">
        <v>45159</v>
      </c>
      <c r="F928" s="115">
        <v>25615</v>
      </c>
      <c r="G928" s="63" t="s">
        <v>3511</v>
      </c>
      <c r="H928" s="8" t="s">
        <v>1805</v>
      </c>
      <c r="I928" s="8">
        <v>2194</v>
      </c>
      <c r="J928" s="8">
        <v>2625</v>
      </c>
      <c r="K928" s="9">
        <f>Tabla156798[[#This Row],[PRECIO CLIENTE]]-Tabla156798[[#This Row],[CANTIDAD PUBLICA]]</f>
        <v>431</v>
      </c>
      <c r="L928" s="10">
        <f>Tabla156798[[#This Row],[COMISION AGENCIA]]*0.05</f>
        <v>21.55</v>
      </c>
      <c r="M928" s="7"/>
      <c r="N928" s="7" t="s">
        <v>3512</v>
      </c>
      <c r="O928" s="7" t="s">
        <v>47</v>
      </c>
      <c r="P928" s="7"/>
    </row>
    <row r="929" spans="1:16" x14ac:dyDescent="0.25">
      <c r="A929" s="14">
        <v>45098</v>
      </c>
      <c r="B929" s="14">
        <v>45098</v>
      </c>
      <c r="C929" s="6">
        <v>45098</v>
      </c>
      <c r="D929" s="6">
        <v>45104</v>
      </c>
      <c r="E929" s="6">
        <v>45105</v>
      </c>
      <c r="F929" s="115">
        <v>25629</v>
      </c>
      <c r="G929" s="8" t="s">
        <v>2369</v>
      </c>
      <c r="H929" s="8" t="s">
        <v>1544</v>
      </c>
      <c r="I929" s="8">
        <v>5683</v>
      </c>
      <c r="J929" s="8">
        <v>6314</v>
      </c>
      <c r="K929" s="9">
        <f>Tabla156798[[#This Row],[PRECIO CLIENTE]]-Tabla156798[[#This Row],[CANTIDAD PUBLICA]]</f>
        <v>631</v>
      </c>
      <c r="L929" s="10">
        <f>Tabla156798[[#This Row],[COMISION AGENCIA]]*0.05</f>
        <v>31.55</v>
      </c>
      <c r="M929" s="7"/>
      <c r="N929" s="7" t="s">
        <v>3513</v>
      </c>
      <c r="O929" s="7" t="s">
        <v>47</v>
      </c>
      <c r="P929" s="7"/>
    </row>
    <row r="930" spans="1:16" x14ac:dyDescent="0.25">
      <c r="A930" s="14">
        <v>45098</v>
      </c>
      <c r="B930" s="14">
        <v>45098</v>
      </c>
      <c r="C930" s="6">
        <v>45098</v>
      </c>
      <c r="D930" s="6">
        <v>45124</v>
      </c>
      <c r="E930" s="7"/>
      <c r="F930" s="7">
        <v>25617</v>
      </c>
      <c r="G930" s="8" t="s">
        <v>3514</v>
      </c>
      <c r="H930" s="8" t="s">
        <v>3515</v>
      </c>
      <c r="I930" s="8">
        <v>9940</v>
      </c>
      <c r="J930" s="8">
        <v>10245</v>
      </c>
      <c r="K930" s="9">
        <f>Tabla156798[[#This Row],[PRECIO CLIENTE]]-Tabla156798[[#This Row],[CANTIDAD PUBLICA]]</f>
        <v>305</v>
      </c>
      <c r="L930" s="10">
        <f>Tabla156798[[#This Row],[COMISION AGENCIA]]*0.05</f>
        <v>15.25</v>
      </c>
      <c r="M930" s="7"/>
      <c r="N930" s="7" t="s">
        <v>3516</v>
      </c>
      <c r="O930" s="7" t="s">
        <v>3517</v>
      </c>
      <c r="P930" s="7"/>
    </row>
    <row r="931" spans="1:16" x14ac:dyDescent="0.25">
      <c r="A931" s="14">
        <v>45099</v>
      </c>
      <c r="B931" s="14">
        <v>45099</v>
      </c>
      <c r="C931" s="6">
        <v>45099</v>
      </c>
      <c r="D931" s="6">
        <v>45101</v>
      </c>
      <c r="E931" s="6">
        <v>45117</v>
      </c>
      <c r="F931" s="115">
        <v>25631</v>
      </c>
      <c r="G931" s="8" t="s">
        <v>3518</v>
      </c>
      <c r="H931" s="8" t="s">
        <v>2108</v>
      </c>
      <c r="I931" s="8">
        <v>8193</v>
      </c>
      <c r="J931" s="8">
        <v>9605</v>
      </c>
      <c r="K931" s="9">
        <f>Tabla156798[[#This Row],[PRECIO CLIENTE]]-Tabla156798[[#This Row],[CANTIDAD PUBLICA]]</f>
        <v>1412</v>
      </c>
      <c r="L931" s="10">
        <f>Tabla156798[[#This Row],[COMISION AGENCIA]]*0.05</f>
        <v>70.600000000000009</v>
      </c>
      <c r="M931" s="7"/>
      <c r="N931" s="7" t="s">
        <v>3519</v>
      </c>
      <c r="O931" s="7" t="s">
        <v>47</v>
      </c>
      <c r="P931" s="7"/>
    </row>
    <row r="932" spans="1:16" x14ac:dyDescent="0.25">
      <c r="A932" s="14">
        <v>45099</v>
      </c>
      <c r="B932" s="14">
        <v>45099</v>
      </c>
      <c r="C932" s="6">
        <v>45099</v>
      </c>
      <c r="D932" s="6">
        <v>45107</v>
      </c>
      <c r="E932" s="6">
        <v>45109</v>
      </c>
      <c r="F932" s="115">
        <v>25630</v>
      </c>
      <c r="G932" s="8" t="s">
        <v>3520</v>
      </c>
      <c r="H932" s="8" t="s">
        <v>3507</v>
      </c>
      <c r="I932" s="8">
        <v>7173.35</v>
      </c>
      <c r="J932" s="8">
        <v>6240</v>
      </c>
      <c r="K932" s="9">
        <f>Tabla156798[[#This Row],[CANTIDAD PUBLICA]]*0.05</f>
        <v>358.66750000000002</v>
      </c>
      <c r="L932" s="10">
        <f>Tabla156798[[#This Row],[COMISION AGENCIA]]*0.05</f>
        <v>17.933375000000002</v>
      </c>
      <c r="M932" s="7">
        <v>3481057972</v>
      </c>
      <c r="N932" s="7" t="s">
        <v>3521</v>
      </c>
      <c r="O932" s="7" t="s">
        <v>6</v>
      </c>
      <c r="P932" s="7"/>
    </row>
    <row r="933" spans="1:16" x14ac:dyDescent="0.25">
      <c r="A933" s="14">
        <v>45099</v>
      </c>
      <c r="B933" s="14">
        <v>45099</v>
      </c>
      <c r="C933" s="6">
        <v>45099</v>
      </c>
      <c r="D933" s="6">
        <v>45107</v>
      </c>
      <c r="E933" s="6">
        <v>45109</v>
      </c>
      <c r="F933" s="115">
        <v>25630</v>
      </c>
      <c r="G933" s="8" t="s">
        <v>3522</v>
      </c>
      <c r="H933" s="8" t="s">
        <v>3507</v>
      </c>
      <c r="I933" s="8">
        <v>7173.35</v>
      </c>
      <c r="J933" s="8">
        <v>6240</v>
      </c>
      <c r="K933" s="9">
        <f>Tabla156798[[#This Row],[CANTIDAD PUBLICA]]*0.05</f>
        <v>358.66750000000002</v>
      </c>
      <c r="L933" s="10">
        <f>Tabla156798[[#This Row],[COMISION AGENCIA]]*0.05</f>
        <v>17.933375000000002</v>
      </c>
      <c r="M933" s="7">
        <v>3481057972</v>
      </c>
      <c r="N933" s="7" t="s">
        <v>3523</v>
      </c>
      <c r="O933" s="7" t="s">
        <v>6</v>
      </c>
      <c r="P933" s="7"/>
    </row>
    <row r="934" spans="1:16" x14ac:dyDescent="0.25">
      <c r="A934" s="14">
        <v>45101</v>
      </c>
      <c r="B934" s="14">
        <v>45103</v>
      </c>
      <c r="C934" s="6">
        <v>45101</v>
      </c>
      <c r="D934" s="6">
        <v>45130</v>
      </c>
      <c r="E934" s="6">
        <v>45136</v>
      </c>
      <c r="F934" s="115">
        <v>25659</v>
      </c>
      <c r="G934" s="8" t="s">
        <v>3524</v>
      </c>
      <c r="H934" s="8" t="s">
        <v>2242</v>
      </c>
      <c r="I934" s="8">
        <v>20653</v>
      </c>
      <c r="J934" s="8">
        <v>18590</v>
      </c>
      <c r="K934" s="9">
        <f>Tabla156798[[#This Row],[CANTIDAD PUBLICA]]*AGENTES!D5</f>
        <v>1652.2399999999998</v>
      </c>
      <c r="L934" s="10">
        <f>Tabla156798[[#This Row],[COMISION AGENCIA]]*0.05</f>
        <v>82.611999999999995</v>
      </c>
      <c r="M934" s="7">
        <v>3481199630</v>
      </c>
      <c r="N934" s="7" t="s">
        <v>3525</v>
      </c>
      <c r="O934" s="7" t="s">
        <v>6</v>
      </c>
      <c r="P934" s="7"/>
    </row>
    <row r="935" spans="1:16" x14ac:dyDescent="0.25">
      <c r="A935" s="14">
        <v>45101</v>
      </c>
      <c r="B935" s="14">
        <v>45101</v>
      </c>
      <c r="C935" s="6">
        <v>45101</v>
      </c>
      <c r="D935" s="6">
        <v>45130</v>
      </c>
      <c r="E935" s="7"/>
      <c r="F935" s="115">
        <v>25659</v>
      </c>
      <c r="G935" s="8" t="s">
        <v>3524</v>
      </c>
      <c r="H935" s="8" t="s">
        <v>3526</v>
      </c>
      <c r="I935" s="8">
        <v>2748</v>
      </c>
      <c r="J935" s="8">
        <v>3050</v>
      </c>
      <c r="K935" s="9">
        <f>Tabla156798[[#This Row],[PRECIO CLIENTE]]-Tabla156798[[#This Row],[CANTIDAD PUBLICA]]</f>
        <v>302</v>
      </c>
      <c r="L935" s="10">
        <f>Tabla156798[[#This Row],[COMISION AGENCIA]]*0.05</f>
        <v>15.100000000000001</v>
      </c>
      <c r="M935" s="7"/>
      <c r="N935" s="7" t="s">
        <v>3527</v>
      </c>
      <c r="O935" s="7" t="s">
        <v>86</v>
      </c>
      <c r="P935" s="7"/>
    </row>
    <row r="936" spans="1:16" x14ac:dyDescent="0.25">
      <c r="A936" s="14">
        <v>45101</v>
      </c>
      <c r="B936" s="14">
        <v>45101</v>
      </c>
      <c r="C936" s="6">
        <v>45101</v>
      </c>
      <c r="D936" s="6">
        <v>45136</v>
      </c>
      <c r="E936" s="7"/>
      <c r="F936" s="115">
        <v>25659</v>
      </c>
      <c r="G936" s="8" t="s">
        <v>3524</v>
      </c>
      <c r="H936" s="8" t="s">
        <v>3528</v>
      </c>
      <c r="I936" s="8">
        <v>4176</v>
      </c>
      <c r="J936" s="8">
        <v>4480</v>
      </c>
      <c r="K936" s="9">
        <f>Tabla156798[[#This Row],[PRECIO CLIENTE]]-Tabla156798[[#This Row],[CANTIDAD PUBLICA]]</f>
        <v>304</v>
      </c>
      <c r="L936" s="10">
        <f>Tabla156798[[#This Row],[COMISION AGENCIA]]*0.05</f>
        <v>15.200000000000001</v>
      </c>
      <c r="M936" s="7"/>
      <c r="N936" s="7" t="s">
        <v>3529</v>
      </c>
      <c r="O936" s="7" t="s">
        <v>86</v>
      </c>
      <c r="P936" s="7"/>
    </row>
    <row r="937" spans="1:16" x14ac:dyDescent="0.25">
      <c r="A937" s="14">
        <v>45101</v>
      </c>
      <c r="B937" s="14">
        <v>45101</v>
      </c>
      <c r="C937" s="6">
        <v>45101</v>
      </c>
      <c r="D937" s="6">
        <v>45127</v>
      </c>
      <c r="E937" s="6">
        <v>45136</v>
      </c>
      <c r="F937" s="115">
        <v>25660</v>
      </c>
      <c r="G937" s="8" t="s">
        <v>3155</v>
      </c>
      <c r="H937" s="8" t="s">
        <v>1955</v>
      </c>
      <c r="I937" s="8">
        <f>4178+3108</f>
        <v>7286</v>
      </c>
      <c r="J937" s="8">
        <v>8015</v>
      </c>
      <c r="K937" s="9">
        <f>Tabla156798[[#This Row],[PRECIO CLIENTE]]-Tabla156798[[#This Row],[CANTIDAD PUBLICA]]</f>
        <v>729</v>
      </c>
      <c r="L937" s="10">
        <f>Tabla156798[[#This Row],[COMISION AGENCIA]]*0.05</f>
        <v>36.450000000000003</v>
      </c>
      <c r="M937" s="7"/>
      <c r="N937" s="7" t="s">
        <v>3530</v>
      </c>
      <c r="O937" s="7" t="s">
        <v>47</v>
      </c>
      <c r="P937" s="7"/>
    </row>
    <row r="938" spans="1:16" x14ac:dyDescent="0.25">
      <c r="A938" s="14">
        <f>Tabla156798[[#This Row],[FECHA IN]]-22</f>
        <v>45102</v>
      </c>
      <c r="B938" s="14">
        <v>44968</v>
      </c>
      <c r="C938" s="6">
        <v>44994</v>
      </c>
      <c r="D938" s="6">
        <v>45124</v>
      </c>
      <c r="E938" s="6">
        <v>45128</v>
      </c>
      <c r="F938" s="115">
        <v>23916</v>
      </c>
      <c r="G938" s="8" t="s">
        <v>2180</v>
      </c>
      <c r="H938" s="8" t="s">
        <v>2129</v>
      </c>
      <c r="I938" s="8">
        <v>43152.39</v>
      </c>
      <c r="J938" s="8">
        <v>37545</v>
      </c>
      <c r="K938" s="9">
        <f>Tabla156798[[#This Row],[CANTIDAD PUBLICA]]*0.05</f>
        <v>2157.6195000000002</v>
      </c>
      <c r="L938" s="10">
        <f>Tabla156798[[#This Row],[COMISION AGENCIA]]*0.05</f>
        <v>107.88097500000002</v>
      </c>
      <c r="M938" s="7">
        <v>3481313664</v>
      </c>
      <c r="N938" s="7" t="s">
        <v>3531</v>
      </c>
      <c r="O938" s="7" t="s">
        <v>6</v>
      </c>
      <c r="P938" s="7"/>
    </row>
    <row r="939" spans="1:16" x14ac:dyDescent="0.25">
      <c r="A939" s="14">
        <f>Tabla156798[[#This Row],[FECHA IN]]-22</f>
        <v>45102</v>
      </c>
      <c r="B939" s="14">
        <v>45110</v>
      </c>
      <c r="C939" s="6">
        <v>45110</v>
      </c>
      <c r="D939" s="6">
        <v>45124</v>
      </c>
      <c r="E939" s="6">
        <v>45128</v>
      </c>
      <c r="F939" s="115">
        <v>25336</v>
      </c>
      <c r="G939" s="8" t="s">
        <v>3532</v>
      </c>
      <c r="H939" s="8" t="s">
        <v>2957</v>
      </c>
      <c r="I939" s="8">
        <f>25399.68*0.975</f>
        <v>24764.687999999998</v>
      </c>
      <c r="J939" s="8">
        <v>21545</v>
      </c>
      <c r="K939" s="9">
        <f>Tabla156798[[#This Row],[CANTIDAD PUBLICA]]*0.05</f>
        <v>1238.2344000000001</v>
      </c>
      <c r="L939" s="10">
        <f>Tabla156798[[#This Row],[COMISION AGENCIA]]*0.05</f>
        <v>61.911720000000003</v>
      </c>
      <c r="M939" s="7">
        <v>3481256808</v>
      </c>
      <c r="N939" s="7" t="s">
        <v>3533</v>
      </c>
      <c r="O939" s="7" t="s">
        <v>6</v>
      </c>
      <c r="P939" s="7"/>
    </row>
    <row r="940" spans="1:16" x14ac:dyDescent="0.25">
      <c r="A940" s="14">
        <f>Tabla156798[[#This Row],[FECHA IN]]-22</f>
        <v>45102</v>
      </c>
      <c r="B940" s="14">
        <v>45110</v>
      </c>
      <c r="C940" s="18">
        <v>45110</v>
      </c>
      <c r="D940" s="6">
        <v>45124</v>
      </c>
      <c r="E940" s="6">
        <v>45128</v>
      </c>
      <c r="F940" s="115">
        <v>35337</v>
      </c>
      <c r="G940" s="8" t="s">
        <v>3534</v>
      </c>
      <c r="H940" s="8" t="s">
        <v>2957</v>
      </c>
      <c r="I940" s="8">
        <f>25399.68*0.975</f>
        <v>24764.687999999998</v>
      </c>
      <c r="J940" s="8">
        <v>22330</v>
      </c>
      <c r="K940" s="9">
        <f>(Tabla156798[[#This Row],[CANTIDAD PUBLICA]]*0.05)+784</f>
        <v>2022.2344000000001</v>
      </c>
      <c r="L940" s="10">
        <f>Tabla156798[[#This Row],[COMISION AGENCIA]]*0.05</f>
        <v>101.11172000000001</v>
      </c>
      <c r="M940" s="7">
        <v>3481256808</v>
      </c>
      <c r="N940" s="7" t="s">
        <v>3535</v>
      </c>
      <c r="O940" s="7" t="s">
        <v>6</v>
      </c>
      <c r="P940" s="7" t="s">
        <v>3536</v>
      </c>
    </row>
    <row r="941" spans="1:16" x14ac:dyDescent="0.25">
      <c r="A941" s="14">
        <f>Tabla156798[[#This Row],[FECHA IN]]-22</f>
        <v>45102</v>
      </c>
      <c r="B941" s="14">
        <v>45110</v>
      </c>
      <c r="C941" s="18">
        <v>45110</v>
      </c>
      <c r="D941" s="6">
        <v>45124</v>
      </c>
      <c r="E941" s="6">
        <v>45128</v>
      </c>
      <c r="F941" s="115">
        <v>25338</v>
      </c>
      <c r="G941" s="8" t="s">
        <v>3537</v>
      </c>
      <c r="H941" s="8" t="s">
        <v>2957</v>
      </c>
      <c r="I941" s="8">
        <f>38099.53*0.975</f>
        <v>37147.041749999997</v>
      </c>
      <c r="J941" s="8">
        <v>33500</v>
      </c>
      <c r="K941" s="9">
        <f>(Tabla156798[[#This Row],[CANTIDAD PUBLICA]]*0.05)+1182</f>
        <v>3039.3520874999999</v>
      </c>
      <c r="L941" s="10">
        <f>Tabla156798[[#This Row],[COMISION AGENCIA]]*0.05</f>
        <v>151.96760437500001</v>
      </c>
      <c r="M941" s="7">
        <v>3481256808</v>
      </c>
      <c r="N941" s="7" t="s">
        <v>3538</v>
      </c>
      <c r="O941" s="7" t="s">
        <v>6</v>
      </c>
      <c r="P941" s="7" t="s">
        <v>3539</v>
      </c>
    </row>
    <row r="942" spans="1:16" x14ac:dyDescent="0.25">
      <c r="A942" s="14">
        <f>Tabla156798[[#This Row],[FECHA IN]]-22</f>
        <v>45102</v>
      </c>
      <c r="B942" s="14">
        <v>45110</v>
      </c>
      <c r="C942" s="18">
        <v>45110</v>
      </c>
      <c r="D942" s="6">
        <v>45124</v>
      </c>
      <c r="E942" s="6">
        <v>45128</v>
      </c>
      <c r="F942" s="115">
        <v>25339</v>
      </c>
      <c r="G942" s="8" t="s">
        <v>3540</v>
      </c>
      <c r="H942" s="8" t="s">
        <v>2957</v>
      </c>
      <c r="I942" s="8">
        <f>34924.57*0.975</f>
        <v>34051.455750000001</v>
      </c>
      <c r="J942" s="8">
        <v>31125</v>
      </c>
      <c r="K942" s="9">
        <f>(Tabla156798[[#This Row],[CANTIDAD PUBLICA]]*0.05)+1500</f>
        <v>3202.5727875000002</v>
      </c>
      <c r="L942" s="10">
        <f>Tabla156798[[#This Row],[COMISION AGENCIA]]*0.05</f>
        <v>160.12863937500003</v>
      </c>
      <c r="M942" s="7">
        <v>3481256808</v>
      </c>
      <c r="N942" s="7" t="s">
        <v>3541</v>
      </c>
      <c r="O942" s="7" t="s">
        <v>6</v>
      </c>
      <c r="P942" s="7" t="s">
        <v>3542</v>
      </c>
    </row>
    <row r="943" spans="1:16" x14ac:dyDescent="0.25">
      <c r="A943" s="14">
        <f>Tabla156798[[#This Row],[FECHA IN]]-22</f>
        <v>45102</v>
      </c>
      <c r="B943" s="14">
        <v>45110</v>
      </c>
      <c r="C943" s="18">
        <v>45110</v>
      </c>
      <c r="D943" s="6">
        <v>45124</v>
      </c>
      <c r="E943" s="6">
        <v>45128</v>
      </c>
      <c r="F943" s="115">
        <v>25364</v>
      </c>
      <c r="G943" s="8" t="s">
        <v>3543</v>
      </c>
      <c r="H943" s="8" t="s">
        <v>2957</v>
      </c>
      <c r="I943" s="8">
        <f>34924.57*0.975</f>
        <v>34051.455750000001</v>
      </c>
      <c r="J943" s="8">
        <v>31125</v>
      </c>
      <c r="K943" s="9">
        <f>(Tabla156798[[#This Row],[CANTIDAD PUBLICA]]*0.05)+1500</f>
        <v>3202.5727875000002</v>
      </c>
      <c r="L943" s="10">
        <f>Tabla156798[[#This Row],[COMISION AGENCIA]]*0.05</f>
        <v>160.12863937500003</v>
      </c>
      <c r="M943" s="7">
        <v>3481256808</v>
      </c>
      <c r="N943" s="7" t="s">
        <v>3544</v>
      </c>
      <c r="O943" s="7" t="s">
        <v>6</v>
      </c>
      <c r="P943" s="7" t="s">
        <v>3542</v>
      </c>
    </row>
    <row r="944" spans="1:16" x14ac:dyDescent="0.25">
      <c r="A944" s="14">
        <f>Tabla156798[[#This Row],[FECHA IN]]-22</f>
        <v>45102</v>
      </c>
      <c r="B944" s="14">
        <v>45110</v>
      </c>
      <c r="C944" s="18">
        <v>45110</v>
      </c>
      <c r="D944" s="6">
        <v>45124</v>
      </c>
      <c r="E944" s="6">
        <v>45128</v>
      </c>
      <c r="F944" s="115">
        <v>25340</v>
      </c>
      <c r="G944" s="8" t="s">
        <v>3545</v>
      </c>
      <c r="H944" s="8" t="s">
        <v>2957</v>
      </c>
      <c r="I944" s="8">
        <f>25399.68*0.975</f>
        <v>24764.687999999998</v>
      </c>
      <c r="J944" s="8">
        <v>22330</v>
      </c>
      <c r="K944" s="9">
        <f>(Tabla156798[[#This Row],[CANTIDAD PUBLICA]]*0.05)+784</f>
        <v>2022.2344000000001</v>
      </c>
      <c r="L944" s="10">
        <f>Tabla156798[[#This Row],[COMISION AGENCIA]]*0.05</f>
        <v>101.11172000000001</v>
      </c>
      <c r="M944" s="7">
        <v>3481256808</v>
      </c>
      <c r="N944" s="7" t="s">
        <v>3546</v>
      </c>
      <c r="O944" s="7" t="s">
        <v>6</v>
      </c>
      <c r="P944" s="7" t="s">
        <v>3536</v>
      </c>
    </row>
    <row r="945" spans="1:16" x14ac:dyDescent="0.25">
      <c r="A945" s="14">
        <f>Tabla156798[[#This Row],[FECHA IN]]-22</f>
        <v>45102</v>
      </c>
      <c r="B945" s="14">
        <v>45110</v>
      </c>
      <c r="C945" s="18">
        <v>45110</v>
      </c>
      <c r="D945" s="6">
        <v>45124</v>
      </c>
      <c r="E945" s="6">
        <v>45128</v>
      </c>
      <c r="F945" s="115">
        <v>25340</v>
      </c>
      <c r="G945" s="8" t="s">
        <v>3547</v>
      </c>
      <c r="H945" s="8" t="s">
        <v>2957</v>
      </c>
      <c r="I945" s="8">
        <f>34924.57*0.975</f>
        <v>34051.455750000001</v>
      </c>
      <c r="J945" s="8">
        <v>31125</v>
      </c>
      <c r="K945" s="9">
        <f>(Tabla156798[[#This Row],[CANTIDAD PUBLICA]]*0.05)+1500</f>
        <v>3202.5727875000002</v>
      </c>
      <c r="L945" s="10">
        <f>Tabla156798[[#This Row],[COMISION AGENCIA]]*0.05</f>
        <v>160.12863937500003</v>
      </c>
      <c r="M945" s="7">
        <v>3481256808</v>
      </c>
      <c r="N945" s="7" t="s">
        <v>3548</v>
      </c>
      <c r="O945" s="7" t="s">
        <v>6</v>
      </c>
      <c r="P945" s="7" t="s">
        <v>3542</v>
      </c>
    </row>
    <row r="946" spans="1:16" x14ac:dyDescent="0.25">
      <c r="A946" s="14">
        <f>Tabla156798[[#This Row],[FECHA IN]]-22</f>
        <v>45102</v>
      </c>
      <c r="B946" s="14">
        <v>45110</v>
      </c>
      <c r="C946" s="18">
        <v>45110</v>
      </c>
      <c r="D946" s="6">
        <v>45124</v>
      </c>
      <c r="E946" s="6">
        <v>45128</v>
      </c>
      <c r="F946" s="115">
        <v>25364</v>
      </c>
      <c r="G946" s="8" t="s">
        <v>3549</v>
      </c>
      <c r="H946" s="8" t="s">
        <v>2957</v>
      </c>
      <c r="I946" s="8">
        <f>25399.68*0.975</f>
        <v>24764.687999999998</v>
      </c>
      <c r="J946" s="8">
        <v>22330</v>
      </c>
      <c r="K946" s="9">
        <f>Tabla156798[[#This Row],[CANTIDAD PUBLICA]]*0.05</f>
        <v>1238.2344000000001</v>
      </c>
      <c r="L946" s="10">
        <f>Tabla156798[[#This Row],[COMISION AGENCIA]]*0.05</f>
        <v>61.911720000000003</v>
      </c>
      <c r="M946" s="7">
        <v>3481256808</v>
      </c>
      <c r="N946" s="7" t="s">
        <v>3550</v>
      </c>
      <c r="O946" s="7" t="s">
        <v>6</v>
      </c>
      <c r="P946" s="7" t="s">
        <v>3536</v>
      </c>
    </row>
    <row r="947" spans="1:16" x14ac:dyDescent="0.25">
      <c r="A947" s="14">
        <f>Tabla156798[[#This Row],[FECHA IN]]-22</f>
        <v>45102</v>
      </c>
      <c r="B947" s="14">
        <v>45110</v>
      </c>
      <c r="C947" s="18">
        <v>45110</v>
      </c>
      <c r="D947" s="6">
        <v>45124</v>
      </c>
      <c r="E947" s="6">
        <v>45128</v>
      </c>
      <c r="F947" s="115">
        <v>25342</v>
      </c>
      <c r="G947" s="8" t="s">
        <v>3551</v>
      </c>
      <c r="H947" s="8" t="s">
        <v>2957</v>
      </c>
      <c r="I947" s="8">
        <f>25399.68*0.975</f>
        <v>24764.687999999998</v>
      </c>
      <c r="J947" s="8">
        <v>22330</v>
      </c>
      <c r="K947" s="9">
        <f>Tabla156798[[#This Row],[CANTIDAD PUBLICA]]*0.05</f>
        <v>1238.2344000000001</v>
      </c>
      <c r="L947" s="10">
        <f>Tabla156798[[#This Row],[COMISION AGENCIA]]*0.05</f>
        <v>61.911720000000003</v>
      </c>
      <c r="M947" s="7">
        <v>3481256808</v>
      </c>
      <c r="N947" s="7" t="s">
        <v>3552</v>
      </c>
      <c r="O947" s="7" t="s">
        <v>6</v>
      </c>
      <c r="P947" s="7" t="s">
        <v>3536</v>
      </c>
    </row>
    <row r="948" spans="1:16" x14ac:dyDescent="0.25">
      <c r="A948" s="14">
        <f>Tabla156798[[#This Row],[FECHA IN]]-22</f>
        <v>45102</v>
      </c>
      <c r="B948" s="14">
        <v>45110</v>
      </c>
      <c r="C948" s="18">
        <v>45110</v>
      </c>
      <c r="D948" s="6">
        <v>45124</v>
      </c>
      <c r="E948" s="6">
        <v>45128</v>
      </c>
      <c r="F948" s="115">
        <v>25341</v>
      </c>
      <c r="G948" s="8" t="s">
        <v>3553</v>
      </c>
      <c r="H948" s="8" t="s">
        <v>2957</v>
      </c>
      <c r="I948" s="8">
        <f>31749.61*0.975</f>
        <v>30955.869750000002</v>
      </c>
      <c r="J948" s="8">
        <v>27915</v>
      </c>
      <c r="K948" s="9">
        <f>(Tabla156798[[#This Row],[CANTIDAD PUBLICA]]*0.05)+983</f>
        <v>2530.7934875000001</v>
      </c>
      <c r="L948" s="10">
        <f>Tabla156798[[#This Row],[COMISION AGENCIA]]*0.05</f>
        <v>126.539674375</v>
      </c>
      <c r="M948" s="7">
        <v>3481256808</v>
      </c>
      <c r="N948" s="7" t="s">
        <v>3554</v>
      </c>
      <c r="O948" s="7" t="s">
        <v>6</v>
      </c>
      <c r="P948" s="7" t="s">
        <v>3555</v>
      </c>
    </row>
    <row r="949" spans="1:16" x14ac:dyDescent="0.25">
      <c r="A949" s="14">
        <f>Tabla156798[[#This Row],[FECHA IN]]-22</f>
        <v>45102</v>
      </c>
      <c r="B949" s="14">
        <v>45110</v>
      </c>
      <c r="C949" s="18">
        <v>45110</v>
      </c>
      <c r="D949" s="6">
        <v>45124</v>
      </c>
      <c r="E949" s="6">
        <v>45128</v>
      </c>
      <c r="F949" s="115">
        <v>25344</v>
      </c>
      <c r="G949" s="8" t="s">
        <v>3556</v>
      </c>
      <c r="H949" s="8" t="s">
        <v>2957</v>
      </c>
      <c r="I949" s="8">
        <f>31749.61*0.975</f>
        <v>30955.869750000002</v>
      </c>
      <c r="J949" s="8">
        <v>27915</v>
      </c>
      <c r="K949" s="9">
        <f>(Tabla156798[[#This Row],[CANTIDAD PUBLICA]]*0.05)+983</f>
        <v>2530.7934875000001</v>
      </c>
      <c r="L949" s="10">
        <f>Tabla156798[[#This Row],[COMISION AGENCIA]]*0.05</f>
        <v>126.539674375</v>
      </c>
      <c r="M949" s="7">
        <v>3481256808</v>
      </c>
      <c r="N949" s="7" t="s">
        <v>3557</v>
      </c>
      <c r="O949" s="7" t="s">
        <v>6</v>
      </c>
      <c r="P949" s="7" t="s">
        <v>3555</v>
      </c>
    </row>
    <row r="950" spans="1:16" x14ac:dyDescent="0.25">
      <c r="A950" s="14">
        <f>Tabla156798[[#This Row],[FECHA IN]]-22</f>
        <v>45102</v>
      </c>
      <c r="B950" s="14">
        <v>45110</v>
      </c>
      <c r="C950" s="18">
        <v>45110</v>
      </c>
      <c r="D950" s="6">
        <v>45124</v>
      </c>
      <c r="E950" s="6">
        <v>45128</v>
      </c>
      <c r="F950" s="115">
        <v>25462</v>
      </c>
      <c r="G950" s="8" t="s">
        <v>3558</v>
      </c>
      <c r="H950" s="8" t="s">
        <v>2957</v>
      </c>
      <c r="I950" s="8">
        <f>44449.45*0.975</f>
        <v>43338.213749999995</v>
      </c>
      <c r="J950" s="8">
        <v>39720</v>
      </c>
      <c r="K950" s="9">
        <f>(Tabla156798[[#This Row],[CANTIDAD PUBLICA]]*0.05)+2015</f>
        <v>4181.9106874999998</v>
      </c>
      <c r="L950" s="10">
        <f>Tabla156798[[#This Row],[COMISION AGENCIA]]*0.05</f>
        <v>209.095534375</v>
      </c>
      <c r="M950" s="7">
        <v>3481256808</v>
      </c>
      <c r="N950" s="7" t="s">
        <v>3559</v>
      </c>
      <c r="O950" s="7" t="s">
        <v>6</v>
      </c>
      <c r="P950" s="7" t="s">
        <v>3560</v>
      </c>
    </row>
    <row r="951" spans="1:16" x14ac:dyDescent="0.25">
      <c r="A951" s="14">
        <f>Tabla156798[[#This Row],[FECHA IN]]-22</f>
        <v>45103</v>
      </c>
      <c r="B951" s="14">
        <v>45109</v>
      </c>
      <c r="C951" s="6">
        <v>45092</v>
      </c>
      <c r="D951" s="6">
        <v>45125</v>
      </c>
      <c r="E951" s="6">
        <v>45135</v>
      </c>
      <c r="F951" s="115">
        <v>25537</v>
      </c>
      <c r="G951" s="8" t="s">
        <v>3561</v>
      </c>
      <c r="H951" s="8" t="s">
        <v>3562</v>
      </c>
      <c r="I951" s="8">
        <v>13875.83</v>
      </c>
      <c r="J951" s="8">
        <v>12555</v>
      </c>
      <c r="K951" s="9">
        <f>Tabla156798[[#This Row],[CANTIDAD PUBLICA]]*0.05</f>
        <v>693.79150000000004</v>
      </c>
      <c r="L951" s="10">
        <f>Tabla156798[[#This Row],[COMISION AGENCIA]]*0.05</f>
        <v>34.689575000000005</v>
      </c>
      <c r="M951" s="7">
        <v>3481262992</v>
      </c>
      <c r="N951" s="7">
        <v>11037058</v>
      </c>
      <c r="O951" s="7" t="s">
        <v>5</v>
      </c>
      <c r="P951" s="7"/>
    </row>
    <row r="952" spans="1:16" x14ac:dyDescent="0.25">
      <c r="A952" s="14">
        <v>45103</v>
      </c>
      <c r="B952" s="14">
        <v>45103</v>
      </c>
      <c r="C952" s="6">
        <v>45103</v>
      </c>
      <c r="D952" s="6">
        <v>45134</v>
      </c>
      <c r="E952" s="7"/>
      <c r="F952" s="115"/>
      <c r="G952" s="63" t="s">
        <v>3563</v>
      </c>
      <c r="H952" s="8" t="s">
        <v>3564</v>
      </c>
      <c r="I952" s="8">
        <v>3802</v>
      </c>
      <c r="J952" s="8">
        <v>4445</v>
      </c>
      <c r="K952" s="9">
        <f>Tabla156798[[#This Row],[PRECIO CLIENTE]]-Tabla156798[[#This Row],[CANTIDAD PUBLICA]]</f>
        <v>643</v>
      </c>
      <c r="L952" s="10">
        <f>Tabla156798[[#This Row],[COMISION AGENCIA]]*0.05</f>
        <v>32.15</v>
      </c>
      <c r="M952" s="7"/>
      <c r="N952" s="7" t="s">
        <v>3565</v>
      </c>
      <c r="O952" s="7" t="s">
        <v>86</v>
      </c>
      <c r="P952" s="7"/>
    </row>
    <row r="953" spans="1:16" x14ac:dyDescent="0.25">
      <c r="A953" s="14">
        <v>45103</v>
      </c>
      <c r="B953" s="14">
        <v>45103</v>
      </c>
      <c r="C953" s="6">
        <v>45103</v>
      </c>
      <c r="D953" s="6">
        <v>45107</v>
      </c>
      <c r="E953" s="7"/>
      <c r="F953" s="115"/>
      <c r="G953" s="8" t="s">
        <v>3566</v>
      </c>
      <c r="H953" s="8" t="s">
        <v>1625</v>
      </c>
      <c r="I953" s="8">
        <v>927</v>
      </c>
      <c r="J953" s="8">
        <v>1270</v>
      </c>
      <c r="K953" s="9">
        <f>Tabla156798[[#This Row],[PRECIO CLIENTE]]-Tabla156798[[#This Row],[CANTIDAD PUBLICA]]</f>
        <v>343</v>
      </c>
      <c r="L953" s="10">
        <f>Tabla156798[[#This Row],[COMISION AGENCIA]]*0.05</f>
        <v>17.150000000000002</v>
      </c>
      <c r="M953" s="7"/>
      <c r="N953" s="7" t="s">
        <v>3567</v>
      </c>
      <c r="O953" s="7" t="s">
        <v>47</v>
      </c>
      <c r="P953" s="7"/>
    </row>
    <row r="954" spans="1:16" x14ac:dyDescent="0.25">
      <c r="A954" s="14">
        <v>45104</v>
      </c>
      <c r="B954" s="14">
        <v>45107</v>
      </c>
      <c r="C954" s="6">
        <v>45104</v>
      </c>
      <c r="D954" s="6">
        <v>45115</v>
      </c>
      <c r="E954" s="6">
        <v>45119</v>
      </c>
      <c r="F954" s="115">
        <v>25726</v>
      </c>
      <c r="G954" s="8" t="s">
        <v>3568</v>
      </c>
      <c r="H954" s="8" t="s">
        <v>3569</v>
      </c>
      <c r="I954" s="8">
        <v>33943</v>
      </c>
      <c r="J954" s="8">
        <v>29530</v>
      </c>
      <c r="K954" s="9">
        <f>Tabla156798[[#This Row],[CANTIDAD PUBLICA]]*0.05</f>
        <v>1697.15</v>
      </c>
      <c r="L954" s="10">
        <f>Tabla156798[[#This Row],[COMISION AGENCIA]]*0.05</f>
        <v>84.857500000000016</v>
      </c>
      <c r="M954" s="7">
        <v>3481140643</v>
      </c>
      <c r="N954" s="7" t="s">
        <v>3570</v>
      </c>
      <c r="O954" s="7" t="s">
        <v>6</v>
      </c>
      <c r="P954" s="7"/>
    </row>
    <row r="955" spans="1:16" x14ac:dyDescent="0.25">
      <c r="A955" s="14">
        <v>45104</v>
      </c>
      <c r="B955" s="14">
        <v>45107</v>
      </c>
      <c r="C955" s="6">
        <v>45104</v>
      </c>
      <c r="D955" s="6">
        <v>45115</v>
      </c>
      <c r="E955" s="6">
        <v>45119</v>
      </c>
      <c r="F955" s="115">
        <v>25726</v>
      </c>
      <c r="G955" s="8" t="s">
        <v>3568</v>
      </c>
      <c r="H955" s="8" t="s">
        <v>3571</v>
      </c>
      <c r="I955" s="8"/>
      <c r="J955" s="8">
        <v>3000</v>
      </c>
      <c r="K955" s="9">
        <f>Tabla156798[[#This Row],[CANTIDAD PUBLICA]]*0.05</f>
        <v>0</v>
      </c>
      <c r="L955" s="10">
        <f>Tabla156798[[#This Row],[COMISION AGENCIA]]*0.05</f>
        <v>0</v>
      </c>
      <c r="M955" s="7">
        <v>3481140643</v>
      </c>
      <c r="N955" s="7"/>
      <c r="O955" s="7"/>
      <c r="P955" s="7"/>
    </row>
    <row r="956" spans="1:16" x14ac:dyDescent="0.25">
      <c r="A956" s="14">
        <v>45104</v>
      </c>
      <c r="B956" s="14">
        <v>45104</v>
      </c>
      <c r="C956" s="6">
        <v>45104</v>
      </c>
      <c r="D956" s="6">
        <v>45107</v>
      </c>
      <c r="E956" s="7"/>
      <c r="F956" s="115"/>
      <c r="G956" s="8" t="s">
        <v>2494</v>
      </c>
      <c r="H956" s="8" t="s">
        <v>1955</v>
      </c>
      <c r="I956" s="8">
        <v>3683</v>
      </c>
      <c r="J956" s="8">
        <v>4260</v>
      </c>
      <c r="K956" s="9">
        <f>Tabla156798[[#This Row],[PRECIO CLIENTE]]-Tabla156798[[#This Row],[CANTIDAD PUBLICA]]</f>
        <v>577</v>
      </c>
      <c r="L956" s="10">
        <f>Tabla156798[[#This Row],[COMISION AGENCIA]]*0.05</f>
        <v>28.85</v>
      </c>
      <c r="M956" s="7"/>
      <c r="N956" s="7" t="s">
        <v>3572</v>
      </c>
      <c r="O956" s="7" t="s">
        <v>47</v>
      </c>
      <c r="P956" s="7"/>
    </row>
    <row r="957" spans="1:16" x14ac:dyDescent="0.25">
      <c r="A957" s="14">
        <v>45104</v>
      </c>
      <c r="B957" s="14">
        <v>45104</v>
      </c>
      <c r="C957" s="6">
        <v>45105</v>
      </c>
      <c r="D957" s="7"/>
      <c r="E957" s="7"/>
      <c r="F957" s="115"/>
      <c r="G957" s="8" t="s">
        <v>3573</v>
      </c>
      <c r="H957" s="8" t="s">
        <v>1614</v>
      </c>
      <c r="I957" s="8">
        <v>6069</v>
      </c>
      <c r="J957" s="8">
        <v>6880</v>
      </c>
      <c r="K957" s="9">
        <f>Tabla156798[[#This Row],[PRECIO CLIENTE]]-Tabla156798[[#This Row],[CANTIDAD PUBLICA]]</f>
        <v>811</v>
      </c>
      <c r="L957" s="10">
        <f>Tabla156798[[#This Row],[COMISION AGENCIA]]*0.05</f>
        <v>40.550000000000004</v>
      </c>
      <c r="M957" s="7"/>
      <c r="N957" s="7" t="s">
        <v>3574</v>
      </c>
      <c r="O957" s="7" t="s">
        <v>47</v>
      </c>
      <c r="P957" s="7"/>
    </row>
    <row r="958" spans="1:16" x14ac:dyDescent="0.25">
      <c r="A958" s="14">
        <f>Tabla156798[[#This Row],[FECHA IN]]-15</f>
        <v>45105</v>
      </c>
      <c r="B958" s="14">
        <v>45103</v>
      </c>
      <c r="C958" s="18">
        <v>44952</v>
      </c>
      <c r="D958" s="6">
        <v>45120</v>
      </c>
      <c r="E958" s="6">
        <v>45124</v>
      </c>
      <c r="F958" s="115" t="s">
        <v>3575</v>
      </c>
      <c r="G958" s="8" t="s">
        <v>3576</v>
      </c>
      <c r="H958" s="8" t="s">
        <v>3577</v>
      </c>
      <c r="I958" s="8">
        <v>16949.07</v>
      </c>
      <c r="J958" s="8">
        <v>15780</v>
      </c>
      <c r="K958" s="9">
        <f>(Tabla156798[[#This Row],[CANTIDAD PUBLICA]]*0.05)+525</f>
        <v>1372.4535000000001</v>
      </c>
      <c r="L958" s="10">
        <f>Tabla156798[[#This Row],[COMISION AGENCIA]]*0.05</f>
        <v>68.622675000000001</v>
      </c>
      <c r="M958" s="7">
        <v>3481249374</v>
      </c>
      <c r="N958" s="7" t="s">
        <v>3578</v>
      </c>
      <c r="O958" s="7" t="s">
        <v>6</v>
      </c>
      <c r="P958" s="7" t="s">
        <v>3579</v>
      </c>
    </row>
    <row r="959" spans="1:16" x14ac:dyDescent="0.25">
      <c r="A959" s="14">
        <f>Tabla156798[[#This Row],[FECHA IN]]-15</f>
        <v>45105</v>
      </c>
      <c r="B959" s="14">
        <v>45103</v>
      </c>
      <c r="C959" s="18">
        <v>44952</v>
      </c>
      <c r="D959" s="6">
        <v>45120</v>
      </c>
      <c r="E959" s="6">
        <v>45124</v>
      </c>
      <c r="F959" s="115" t="s">
        <v>3575</v>
      </c>
      <c r="G959" s="8" t="s">
        <v>3580</v>
      </c>
      <c r="H959" s="158" t="s">
        <v>3577</v>
      </c>
      <c r="I959" s="8">
        <v>16949.07</v>
      </c>
      <c r="J959" s="8">
        <v>15780</v>
      </c>
      <c r="K959" s="9">
        <f>(Tabla156798[[#This Row],[CANTIDAD PUBLICA]]*0.05)+525</f>
        <v>1372.4535000000001</v>
      </c>
      <c r="L959" s="10">
        <f>Tabla156798[[#This Row],[COMISION AGENCIA]]*0.05</f>
        <v>68.622675000000001</v>
      </c>
      <c r="M959" s="7">
        <v>3481249374</v>
      </c>
      <c r="N959" s="7" t="s">
        <v>3581</v>
      </c>
      <c r="O959" s="7" t="s">
        <v>5</v>
      </c>
      <c r="P959" s="7" t="s">
        <v>3582</v>
      </c>
    </row>
    <row r="960" spans="1:16" x14ac:dyDescent="0.25">
      <c r="A960" s="14">
        <f>Tabla156798[[#This Row],[FECHA IN]]-15</f>
        <v>45105</v>
      </c>
      <c r="B960" s="14">
        <v>45103</v>
      </c>
      <c r="C960" s="18">
        <v>44952</v>
      </c>
      <c r="D960" s="6">
        <v>45120</v>
      </c>
      <c r="E960" s="6">
        <v>45124</v>
      </c>
      <c r="F960" s="115" t="s">
        <v>3575</v>
      </c>
      <c r="G960" s="8" t="s">
        <v>3583</v>
      </c>
      <c r="H960" s="158" t="s">
        <v>3577</v>
      </c>
      <c r="I960" s="8">
        <v>25413.69</v>
      </c>
      <c r="J960" s="8">
        <v>23670</v>
      </c>
      <c r="K960" s="9">
        <f>(Tabla156798[[#This Row],[CANTIDAD PUBLICA]]*0.05)+798</f>
        <v>2068.6845000000003</v>
      </c>
      <c r="L960" s="10">
        <f>Tabla156798[[#This Row],[COMISION AGENCIA]]*0.05</f>
        <v>103.43422500000003</v>
      </c>
      <c r="M960" s="7">
        <v>3481249374</v>
      </c>
      <c r="N960" s="7">
        <v>10671599</v>
      </c>
      <c r="O960" s="7" t="s">
        <v>5</v>
      </c>
      <c r="P960" s="7" t="s">
        <v>3584</v>
      </c>
    </row>
    <row r="961" spans="1:16" x14ac:dyDescent="0.25">
      <c r="A961" s="14">
        <f>Tabla156798[[#This Row],[FECHA IN]]-15</f>
        <v>45105</v>
      </c>
      <c r="B961" s="14">
        <v>45103</v>
      </c>
      <c r="C961" s="18">
        <v>44952</v>
      </c>
      <c r="D961" s="6">
        <v>45120</v>
      </c>
      <c r="E961" s="6">
        <v>45124</v>
      </c>
      <c r="F961" s="115" t="s">
        <v>3575</v>
      </c>
      <c r="G961" s="8" t="s">
        <v>3585</v>
      </c>
      <c r="H961" s="158" t="s">
        <v>3577</v>
      </c>
      <c r="I961" s="8">
        <v>25413.69</v>
      </c>
      <c r="J961" s="8">
        <v>23670</v>
      </c>
      <c r="K961" s="9">
        <f>Tabla156798[[#This Row],[CANTIDAD PUBLICA]]*0.05</f>
        <v>1270.6845000000001</v>
      </c>
      <c r="L961" s="10">
        <f>Tabla156798[[#This Row],[COMISION AGENCIA]]*0.05</f>
        <v>63.534225000000006</v>
      </c>
      <c r="M961" s="7">
        <v>3481249374</v>
      </c>
      <c r="N961" s="7" t="s">
        <v>3586</v>
      </c>
      <c r="O961" s="7" t="s">
        <v>6</v>
      </c>
      <c r="P961" s="7" t="s">
        <v>3587</v>
      </c>
    </row>
    <row r="962" spans="1:16" x14ac:dyDescent="0.25">
      <c r="A962" s="14">
        <f>Tabla156798[[#This Row],[FECHA IN]]-15</f>
        <v>45105</v>
      </c>
      <c r="B962" s="14">
        <v>45103</v>
      </c>
      <c r="C962" s="18">
        <v>44952</v>
      </c>
      <c r="D962" s="6">
        <v>45120</v>
      </c>
      <c r="E962" s="6">
        <v>45124</v>
      </c>
      <c r="F962" s="115" t="s">
        <v>3575</v>
      </c>
      <c r="G962" s="8" t="s">
        <v>3588</v>
      </c>
      <c r="H962" s="158" t="s">
        <v>3577</v>
      </c>
      <c r="I962" s="8">
        <v>16949.07</v>
      </c>
      <c r="J962" s="8">
        <v>15780</v>
      </c>
      <c r="K962" s="9">
        <f>(Tabla156798[[#This Row],[CANTIDAD PUBLICA]]*0.05)+525</f>
        <v>1372.4535000000001</v>
      </c>
      <c r="L962" s="10">
        <f>Tabla156798[[#This Row],[COMISION AGENCIA]]*0.05</f>
        <v>68.622675000000001</v>
      </c>
      <c r="M962" s="7">
        <v>3481249374</v>
      </c>
      <c r="N962" s="7" t="s">
        <v>3589</v>
      </c>
      <c r="O962" s="7" t="s">
        <v>6</v>
      </c>
      <c r="P962" s="7" t="s">
        <v>3590</v>
      </c>
    </row>
    <row r="963" spans="1:16" x14ac:dyDescent="0.25">
      <c r="A963" s="14">
        <f>Tabla156798[[#This Row],[FECHA IN]]-15</f>
        <v>45105</v>
      </c>
      <c r="B963" s="14">
        <v>45103</v>
      </c>
      <c r="C963" s="18">
        <v>44952</v>
      </c>
      <c r="D963" s="6">
        <v>45120</v>
      </c>
      <c r="E963" s="6">
        <v>45124</v>
      </c>
      <c r="F963" s="115" t="s">
        <v>3575</v>
      </c>
      <c r="G963" s="8" t="s">
        <v>3591</v>
      </c>
      <c r="H963" s="158" t="s">
        <v>3577</v>
      </c>
      <c r="I963" s="8">
        <v>16949.07</v>
      </c>
      <c r="J963" s="8">
        <v>15780</v>
      </c>
      <c r="K963" s="9">
        <f>(Tabla156798[[#This Row],[CANTIDAD PUBLICA]]*0.05)+525</f>
        <v>1372.4535000000001</v>
      </c>
      <c r="L963" s="10">
        <f>Tabla156798[[#This Row],[COMISION AGENCIA]]*0.05</f>
        <v>68.622675000000001</v>
      </c>
      <c r="M963" s="7">
        <v>3481249374</v>
      </c>
      <c r="N963" s="7" t="s">
        <v>3592</v>
      </c>
      <c r="O963" s="7" t="s">
        <v>6</v>
      </c>
      <c r="P963" s="7" t="s">
        <v>3593</v>
      </c>
    </row>
    <row r="964" spans="1:16" x14ac:dyDescent="0.25">
      <c r="A964" s="14">
        <f>Tabla156798[[#This Row],[FECHA IN]]-15</f>
        <v>45105</v>
      </c>
      <c r="B964" s="14">
        <v>45103</v>
      </c>
      <c r="C964" s="6">
        <v>44952</v>
      </c>
      <c r="D964" s="6">
        <v>45120</v>
      </c>
      <c r="E964" s="6">
        <v>45124</v>
      </c>
      <c r="F964" s="115">
        <v>23723</v>
      </c>
      <c r="G964" s="8" t="s">
        <v>3576</v>
      </c>
      <c r="H964" s="8" t="s">
        <v>3594</v>
      </c>
      <c r="I964" s="8">
        <v>15000</v>
      </c>
      <c r="J964" s="8">
        <v>15500</v>
      </c>
      <c r="K964" s="9">
        <f>Tabla156798[[#This Row],[PRECIO CLIENTE]]-Tabla156798[[#This Row],[CANTIDAD PUBLICA]]</f>
        <v>500</v>
      </c>
      <c r="L964" s="10">
        <f>Tabla156798[[#This Row],[COMISION AGENCIA]]*0.05</f>
        <v>25</v>
      </c>
      <c r="M964" s="7">
        <v>3481249374</v>
      </c>
      <c r="N964" s="7"/>
      <c r="O964" s="7" t="s">
        <v>2314</v>
      </c>
      <c r="P964" s="7"/>
    </row>
    <row r="965" spans="1:16" x14ac:dyDescent="0.25">
      <c r="A965" s="14">
        <f>Tabla156798[[#This Row],[FECHA IN]]-22</f>
        <v>45105</v>
      </c>
      <c r="B965" s="14">
        <v>45112</v>
      </c>
      <c r="C965" s="6">
        <v>45084</v>
      </c>
      <c r="D965" s="6">
        <v>45127</v>
      </c>
      <c r="E965" s="6">
        <v>45130</v>
      </c>
      <c r="F965" s="115" t="s">
        <v>3595</v>
      </c>
      <c r="G965" s="8" t="s">
        <v>3596</v>
      </c>
      <c r="H965" s="8" t="s">
        <v>2957</v>
      </c>
      <c r="I965" s="8">
        <f>19049.76*0.975</f>
        <v>18573.516</v>
      </c>
      <c r="J965" s="8">
        <v>16160</v>
      </c>
      <c r="K965" s="9">
        <f>Tabla156798[[#This Row],[CANTIDAD PUBLICA]]*0.05</f>
        <v>928.67579999999998</v>
      </c>
      <c r="L965" s="10">
        <f>Tabla156798[[#This Row],[COMISION AGENCIA]]*0.05</f>
        <v>46.433790000000002</v>
      </c>
      <c r="M965" s="7">
        <v>3481095616</v>
      </c>
      <c r="N965" s="7" t="s">
        <v>3597</v>
      </c>
      <c r="O965" s="7" t="s">
        <v>6</v>
      </c>
      <c r="P965" s="7"/>
    </row>
    <row r="966" spans="1:16" s="4" customFormat="1" x14ac:dyDescent="0.25">
      <c r="A966" s="14">
        <f>Tabla156798[[#This Row],[FECHA IN]]-22</f>
        <v>45105</v>
      </c>
      <c r="B966" s="14">
        <v>45112</v>
      </c>
      <c r="C966" s="6">
        <v>45084</v>
      </c>
      <c r="D966" s="6">
        <v>45127</v>
      </c>
      <c r="E966" s="6">
        <v>45130</v>
      </c>
      <c r="F966" s="115" t="s">
        <v>3595</v>
      </c>
      <c r="G966" s="8" t="s">
        <v>3598</v>
      </c>
      <c r="H966" s="8" t="s">
        <v>2957</v>
      </c>
      <c r="I966" s="8">
        <f>19049.76*0.975</f>
        <v>18573.516</v>
      </c>
      <c r="J966" s="8">
        <v>16160</v>
      </c>
      <c r="K966" s="9">
        <f>Tabla156798[[#This Row],[CANTIDAD PUBLICA]]*0.05</f>
        <v>928.67579999999998</v>
      </c>
      <c r="L966" s="10">
        <f>Tabla156798[[#This Row],[COMISION AGENCIA]]*0.05</f>
        <v>46.433790000000002</v>
      </c>
      <c r="M966" s="7">
        <v>3481095616</v>
      </c>
      <c r="N966" s="7" t="s">
        <v>3599</v>
      </c>
      <c r="O966" s="7" t="s">
        <v>6</v>
      </c>
      <c r="P966" s="7"/>
    </row>
    <row r="967" spans="1:16" x14ac:dyDescent="0.25">
      <c r="A967" s="14">
        <f>Tabla156798[[#This Row],[FECHA IN]]-22</f>
        <v>45105</v>
      </c>
      <c r="B967" s="14">
        <v>45112</v>
      </c>
      <c r="C967" s="6">
        <v>45084</v>
      </c>
      <c r="D967" s="6">
        <v>45127</v>
      </c>
      <c r="E967" s="6">
        <v>45130</v>
      </c>
      <c r="F967" s="115" t="s">
        <v>3595</v>
      </c>
      <c r="G967" s="8" t="s">
        <v>3600</v>
      </c>
      <c r="H967" s="8" t="s">
        <v>2957</v>
      </c>
      <c r="I967" s="8">
        <f>28574.65*0.975</f>
        <v>27860.283750000002</v>
      </c>
      <c r="J967" s="8">
        <v>24240</v>
      </c>
      <c r="K967" s="9">
        <f>Tabla156798[[#This Row],[CANTIDAD PUBLICA]]*0.05</f>
        <v>1393.0141875000002</v>
      </c>
      <c r="L967" s="10">
        <f>Tabla156798[[#This Row],[COMISION AGENCIA]]*0.05</f>
        <v>69.650709375000005</v>
      </c>
      <c r="M967" s="7">
        <v>3481095616</v>
      </c>
      <c r="N967" s="7" t="s">
        <v>3601</v>
      </c>
      <c r="O967" s="7" t="s">
        <v>6</v>
      </c>
      <c r="P967" s="7"/>
    </row>
    <row r="968" spans="1:16" x14ac:dyDescent="0.25">
      <c r="A968" s="14">
        <v>45105</v>
      </c>
      <c r="B968" s="14">
        <v>45105</v>
      </c>
      <c r="C968" s="6">
        <v>45105</v>
      </c>
      <c r="D968" s="6">
        <v>45183</v>
      </c>
      <c r="E968" s="6">
        <v>45187</v>
      </c>
      <c r="F968" s="115"/>
      <c r="G968" s="8" t="s">
        <v>3602</v>
      </c>
      <c r="H968" s="8" t="s">
        <v>1821</v>
      </c>
      <c r="I968" s="8">
        <v>5631</v>
      </c>
      <c r="J968" s="8">
        <v>6355</v>
      </c>
      <c r="K968" s="9">
        <f>Tabla156798[[#This Row],[PRECIO CLIENTE]]-Tabla156798[[#This Row],[CANTIDAD PUBLICA]]</f>
        <v>724</v>
      </c>
      <c r="L968" s="10">
        <f>Tabla156798[[#This Row],[COMISION AGENCIA]]*0.05</f>
        <v>36.200000000000003</v>
      </c>
      <c r="M968" s="7"/>
      <c r="N968" s="7" t="s">
        <v>3603</v>
      </c>
      <c r="O968" s="7" t="s">
        <v>47</v>
      </c>
      <c r="P968" s="7"/>
    </row>
    <row r="969" spans="1:16" x14ac:dyDescent="0.25">
      <c r="A969" s="14">
        <v>45105</v>
      </c>
      <c r="B969" s="14">
        <v>45105</v>
      </c>
      <c r="C969" s="6">
        <v>45105</v>
      </c>
      <c r="D969" s="6">
        <v>45114</v>
      </c>
      <c r="E969" s="6">
        <v>45116</v>
      </c>
      <c r="F969" s="115">
        <v>25736</v>
      </c>
      <c r="G969" s="8" t="s">
        <v>3604</v>
      </c>
      <c r="H969" s="8" t="s">
        <v>1773</v>
      </c>
      <c r="I969" s="8">
        <v>10283.700000000001</v>
      </c>
      <c r="J969" s="8">
        <v>8950</v>
      </c>
      <c r="K969" s="9">
        <f>Tabla156798[[#This Row],[CANTIDAD PUBLICA]]*0.05</f>
        <v>514.18500000000006</v>
      </c>
      <c r="L969" s="10">
        <f>Tabla156798[[#This Row],[COMISION AGENCIA]]*0.05</f>
        <v>25.709250000000004</v>
      </c>
      <c r="M969" s="7">
        <v>3481064201</v>
      </c>
      <c r="N969" s="7" t="s">
        <v>3605</v>
      </c>
      <c r="O969" s="7" t="s">
        <v>6</v>
      </c>
      <c r="P969" s="7"/>
    </row>
    <row r="970" spans="1:16" x14ac:dyDescent="0.25">
      <c r="A970" s="14">
        <v>45105</v>
      </c>
      <c r="B970" s="14">
        <v>45105</v>
      </c>
      <c r="C970" s="6">
        <v>45105</v>
      </c>
      <c r="D970" s="6">
        <v>45114</v>
      </c>
      <c r="E970" s="6">
        <v>45116</v>
      </c>
      <c r="F970" s="115">
        <v>25747</v>
      </c>
      <c r="G970" s="8" t="s">
        <v>3606</v>
      </c>
      <c r="H970" s="8" t="s">
        <v>1773</v>
      </c>
      <c r="I970" s="8">
        <v>10283.700000000001</v>
      </c>
      <c r="J970" s="8">
        <v>8950</v>
      </c>
      <c r="K970" s="9">
        <f>Tabla156798[[#This Row],[CANTIDAD PUBLICA]]*0.05</f>
        <v>514.18500000000006</v>
      </c>
      <c r="L970" s="10">
        <f>Tabla156798[[#This Row],[COMISION AGENCIA]]*0.05</f>
        <v>25.709250000000004</v>
      </c>
      <c r="M970" s="7">
        <v>3487896440</v>
      </c>
      <c r="N970" s="7" t="s">
        <v>3607</v>
      </c>
      <c r="O970" s="7" t="s">
        <v>6</v>
      </c>
      <c r="P970" s="7"/>
    </row>
    <row r="971" spans="1:16" x14ac:dyDescent="0.25">
      <c r="A971" s="14">
        <v>45105</v>
      </c>
      <c r="B971" s="14">
        <v>45105</v>
      </c>
      <c r="C971" s="6">
        <v>45105</v>
      </c>
      <c r="D971" s="6">
        <v>45134</v>
      </c>
      <c r="E971" s="6">
        <v>45137</v>
      </c>
      <c r="F971" s="115">
        <v>25741</v>
      </c>
      <c r="G971" s="8" t="s">
        <v>3608</v>
      </c>
      <c r="H971" s="8" t="s">
        <v>2597</v>
      </c>
      <c r="I971" s="8">
        <v>24853.279999999999</v>
      </c>
      <c r="J971" s="8">
        <v>22370</v>
      </c>
      <c r="K971" s="9">
        <f>Tabla156798[[#This Row],[CANTIDAD PUBLICA]]*0.05</f>
        <v>1242.664</v>
      </c>
      <c r="L971" s="10">
        <f>Tabla156798[[#This Row],[COMISION AGENCIA]]*0.05</f>
        <v>62.133200000000002</v>
      </c>
      <c r="M971" s="7">
        <v>3482442193</v>
      </c>
      <c r="N971" s="7" t="s">
        <v>3609</v>
      </c>
      <c r="O971" s="7" t="s">
        <v>4</v>
      </c>
      <c r="P971" s="7"/>
    </row>
    <row r="972" spans="1:16" x14ac:dyDescent="0.25">
      <c r="A972" s="14">
        <v>45106</v>
      </c>
      <c r="B972" s="14">
        <v>45106</v>
      </c>
      <c r="C972" s="6">
        <v>45106</v>
      </c>
      <c r="D972" s="6">
        <v>45114</v>
      </c>
      <c r="E972" s="7"/>
      <c r="F972" s="115"/>
      <c r="G972" s="8" t="s">
        <v>1674</v>
      </c>
      <c r="H972" s="8" t="s">
        <v>2037</v>
      </c>
      <c r="I972" s="8">
        <v>4159</v>
      </c>
      <c r="J972" s="8">
        <v>4775</v>
      </c>
      <c r="K972" s="9">
        <f>Tabla156798[[#This Row],[PRECIO CLIENTE]]-Tabla156798[[#This Row],[CANTIDAD PUBLICA]]</f>
        <v>616</v>
      </c>
      <c r="L972" s="10">
        <f>Tabla156798[[#This Row],[COMISION AGENCIA]]*0.05</f>
        <v>30.8</v>
      </c>
      <c r="M972" s="7"/>
      <c r="N972" s="7" t="s">
        <v>3610</v>
      </c>
      <c r="O972" s="7" t="s">
        <v>47</v>
      </c>
      <c r="P972" s="7"/>
    </row>
    <row r="973" spans="1:16" x14ac:dyDescent="0.25">
      <c r="A973" s="14">
        <v>45106</v>
      </c>
      <c r="B973" s="14">
        <v>45106</v>
      </c>
      <c r="C973" s="6">
        <v>45106</v>
      </c>
      <c r="D973" s="6">
        <v>45109</v>
      </c>
      <c r="E973" s="7"/>
      <c r="F973" s="115"/>
      <c r="G973" s="8" t="s">
        <v>3611</v>
      </c>
      <c r="H973" s="8" t="s">
        <v>3612</v>
      </c>
      <c r="I973" s="8">
        <v>7454</v>
      </c>
      <c r="J973" s="8">
        <v>7655</v>
      </c>
      <c r="K973" s="9">
        <f>Tabla156798[[#This Row],[PRECIO CLIENTE]]-Tabla156798[[#This Row],[CANTIDAD PUBLICA]]</f>
        <v>201</v>
      </c>
      <c r="L973" s="10">
        <f>Tabla156798[[#This Row],[COMISION AGENCIA]]*0.05</f>
        <v>10.050000000000001</v>
      </c>
      <c r="M973" s="7"/>
      <c r="N973" s="7" t="s">
        <v>3613</v>
      </c>
      <c r="O973" s="7" t="s">
        <v>2115</v>
      </c>
      <c r="P973" s="7"/>
    </row>
    <row r="974" spans="1:16" x14ac:dyDescent="0.25">
      <c r="A974" s="14">
        <v>45107</v>
      </c>
      <c r="B974" s="14">
        <v>45107</v>
      </c>
      <c r="C974" s="6">
        <v>45107</v>
      </c>
      <c r="D974" s="6">
        <v>45114</v>
      </c>
      <c r="E974" s="6">
        <v>45116</v>
      </c>
      <c r="F974" s="115">
        <v>25769</v>
      </c>
      <c r="G974" s="8" t="s">
        <v>3614</v>
      </c>
      <c r="H974" s="8" t="s">
        <v>2121</v>
      </c>
      <c r="I974" s="8">
        <v>12689</v>
      </c>
      <c r="J974" s="8">
        <v>14010</v>
      </c>
      <c r="K974" s="9">
        <f>Tabla156798[[#This Row],[PRECIO CLIENTE]]-Tabla156798[[#This Row],[CANTIDAD PUBLICA]]</f>
        <v>1321</v>
      </c>
      <c r="L974" s="10">
        <f>Tabla156798[[#This Row],[COMISION AGENCIA]]*0.05</f>
        <v>66.05</v>
      </c>
      <c r="M974" s="7"/>
      <c r="N974" s="7" t="s">
        <v>3615</v>
      </c>
      <c r="O974" s="7" t="s">
        <v>47</v>
      </c>
      <c r="P974" s="7"/>
    </row>
    <row r="975" spans="1:16" x14ac:dyDescent="0.25">
      <c r="A975" s="14">
        <v>45107</v>
      </c>
      <c r="B975" s="14">
        <v>45107</v>
      </c>
      <c r="C975" s="6">
        <v>45107</v>
      </c>
      <c r="D975" s="6">
        <v>45216</v>
      </c>
      <c r="E975" s="7"/>
      <c r="F975" s="115">
        <v>25772</v>
      </c>
      <c r="G975" s="8" t="s">
        <v>3616</v>
      </c>
      <c r="H975" s="8" t="s">
        <v>3617</v>
      </c>
      <c r="I975" s="8">
        <v>943</v>
      </c>
      <c r="J975" s="8">
        <v>1305</v>
      </c>
      <c r="K975" s="9">
        <f>Tabla156798[[#This Row],[PRECIO CLIENTE]]-Tabla156798[[#This Row],[CANTIDAD PUBLICA]]</f>
        <v>362</v>
      </c>
      <c r="L975" s="10">
        <f>Tabla156798[[#This Row],[COMISION AGENCIA]]*0.05</f>
        <v>18.100000000000001</v>
      </c>
      <c r="M975" s="7"/>
      <c r="N975" s="7" t="s">
        <v>3618</v>
      </c>
      <c r="O975" s="7" t="s">
        <v>47</v>
      </c>
      <c r="P975" s="7"/>
    </row>
    <row r="976" spans="1:16" x14ac:dyDescent="0.25">
      <c r="A976" s="14">
        <v>45107</v>
      </c>
      <c r="B976" s="14">
        <v>45107</v>
      </c>
      <c r="C976" s="6">
        <v>45107</v>
      </c>
      <c r="D976" s="6">
        <v>45108</v>
      </c>
      <c r="E976" s="6">
        <v>45112</v>
      </c>
      <c r="F976" s="115">
        <v>25778</v>
      </c>
      <c r="G976" s="8" t="s">
        <v>3619</v>
      </c>
      <c r="H976" s="8" t="s">
        <v>1808</v>
      </c>
      <c r="I976" s="8">
        <v>6157</v>
      </c>
      <c r="J976" s="8">
        <v>6750</v>
      </c>
      <c r="K976" s="9">
        <f>Tabla156798[[#This Row],[PRECIO CLIENTE]]-Tabla156798[[#This Row],[CANTIDAD PUBLICA]]</f>
        <v>593</v>
      </c>
      <c r="L976" s="10">
        <f>Tabla156798[[#This Row],[COMISION AGENCIA]]*0.05</f>
        <v>29.650000000000002</v>
      </c>
      <c r="M976" s="7"/>
      <c r="N976" s="7" t="s">
        <v>3620</v>
      </c>
      <c r="O976" s="7" t="s">
        <v>47</v>
      </c>
      <c r="P976" s="7"/>
    </row>
    <row r="977" spans="1:16" x14ac:dyDescent="0.25">
      <c r="A977" s="14">
        <f>Tabla156798[[#This Row],[FECHA IN]]-15</f>
        <v>45108</v>
      </c>
      <c r="B977" s="14">
        <v>45097</v>
      </c>
      <c r="C977" s="6">
        <v>45020</v>
      </c>
      <c r="D977" s="6">
        <v>45123</v>
      </c>
      <c r="E977" s="6">
        <v>45123</v>
      </c>
      <c r="F977" s="115">
        <v>24314</v>
      </c>
      <c r="G977" s="8" t="s">
        <v>3621</v>
      </c>
      <c r="H977" s="8" t="s">
        <v>2484</v>
      </c>
      <c r="I977" s="8">
        <v>10453.74</v>
      </c>
      <c r="J977" s="8">
        <v>9095</v>
      </c>
      <c r="K977" s="9">
        <f>Tabla156798[[#This Row],[CANTIDAD PUBLICA]]*0.05</f>
        <v>522.68700000000001</v>
      </c>
      <c r="L977" s="10">
        <f>Tabla156798[[#This Row],[COMISION AGENCIA]]*0.05</f>
        <v>26.134350000000001</v>
      </c>
      <c r="M977" s="7"/>
      <c r="N977" s="7" t="s">
        <v>3622</v>
      </c>
      <c r="O977" s="7" t="s">
        <v>6</v>
      </c>
      <c r="P977" s="7"/>
    </row>
    <row r="978" spans="1:16" x14ac:dyDescent="0.25">
      <c r="A978" s="14">
        <f>Tabla156798[[#This Row],[FECHA IN]]-15</f>
        <v>45108</v>
      </c>
      <c r="B978" s="14">
        <v>44923</v>
      </c>
      <c r="C978" s="6">
        <v>44884</v>
      </c>
      <c r="D978" s="6">
        <v>45123</v>
      </c>
      <c r="E978" s="6">
        <v>45128</v>
      </c>
      <c r="F978" s="115" t="s">
        <v>3623</v>
      </c>
      <c r="G978" s="8" t="s">
        <v>3624</v>
      </c>
      <c r="H978" s="8" t="s">
        <v>1795</v>
      </c>
      <c r="I978" s="66">
        <v>28641.599999999999</v>
      </c>
      <c r="J978" s="8">
        <v>24920</v>
      </c>
      <c r="K978" s="9">
        <f>Tabla156798[[#This Row],[CANTIDAD PUBLICA]]*0.05</f>
        <v>1432.08</v>
      </c>
      <c r="L978" s="10">
        <f>Tabla156798[[#This Row],[COMISION AGENCIA]]*0.05</f>
        <v>71.603999999999999</v>
      </c>
      <c r="M978" s="7">
        <v>3481233690</v>
      </c>
      <c r="N978" s="7" t="s">
        <v>3625</v>
      </c>
      <c r="O978" s="7" t="s">
        <v>6</v>
      </c>
      <c r="P978" s="7"/>
    </row>
    <row r="979" spans="1:16" x14ac:dyDescent="0.25">
      <c r="A979" s="14">
        <f>Tabla156798[[#This Row],[FECHA IN]]-15</f>
        <v>45108</v>
      </c>
      <c r="B979" s="14">
        <v>45103</v>
      </c>
      <c r="C979" s="6">
        <v>44847</v>
      </c>
      <c r="D979" s="6">
        <v>45123</v>
      </c>
      <c r="E979" s="6">
        <v>45127</v>
      </c>
      <c r="F979" s="115" t="s">
        <v>3626</v>
      </c>
      <c r="G979" s="8" t="s">
        <v>3627</v>
      </c>
      <c r="H979" s="8" t="s">
        <v>2484</v>
      </c>
      <c r="I979" s="66">
        <v>14805.4</v>
      </c>
      <c r="J979" s="8">
        <v>12890</v>
      </c>
      <c r="K979" s="9">
        <f>Tabla156798[[#This Row],[CANTIDAD PUBLICA]]*0.05</f>
        <v>740.27</v>
      </c>
      <c r="L979" s="10">
        <f>Tabla156798[[#This Row],[COMISION AGENCIA]]*0.05</f>
        <v>37.013500000000001</v>
      </c>
      <c r="M979" s="7">
        <v>3481348377</v>
      </c>
      <c r="N979" s="7" t="s">
        <v>3628</v>
      </c>
      <c r="O979" s="7" t="s">
        <v>6</v>
      </c>
      <c r="P979" s="7"/>
    </row>
    <row r="980" spans="1:16" x14ac:dyDescent="0.25">
      <c r="A980" s="14">
        <f>Tabla156798[[#This Row],[FECHA IN]]-15</f>
        <v>45108</v>
      </c>
      <c r="B980" s="14">
        <v>45103</v>
      </c>
      <c r="C980" s="6">
        <v>44847</v>
      </c>
      <c r="D980" s="6">
        <v>45123</v>
      </c>
      <c r="E980" s="6">
        <v>45127</v>
      </c>
      <c r="F980" s="115" t="s">
        <v>3626</v>
      </c>
      <c r="G980" s="8" t="s">
        <v>3629</v>
      </c>
      <c r="H980" s="8" t="s">
        <v>2484</v>
      </c>
      <c r="I980" s="66">
        <v>14784.76</v>
      </c>
      <c r="J980" s="8">
        <v>12890</v>
      </c>
      <c r="K980" s="9">
        <f>Tabla156798[[#This Row],[CANTIDAD PUBLICA]]*0.05</f>
        <v>739.23800000000006</v>
      </c>
      <c r="L980" s="10">
        <f>Tabla156798[[#This Row],[COMISION AGENCIA]]*0.05</f>
        <v>36.961900000000007</v>
      </c>
      <c r="M980" s="7">
        <v>3481348377</v>
      </c>
      <c r="N980" s="7" t="s">
        <v>3630</v>
      </c>
      <c r="O980" s="7" t="s">
        <v>6</v>
      </c>
      <c r="P980" s="7"/>
    </row>
    <row r="981" spans="1:16" x14ac:dyDescent="0.25">
      <c r="A981" s="14">
        <f>Tabla156798[[#This Row],[FECHA IN]]-15</f>
        <v>45108</v>
      </c>
      <c r="B981" s="14">
        <v>45103</v>
      </c>
      <c r="C981" s="6">
        <v>44847</v>
      </c>
      <c r="D981" s="6">
        <v>45123</v>
      </c>
      <c r="E981" s="6">
        <v>45127</v>
      </c>
      <c r="F981" s="115" t="s">
        <v>3626</v>
      </c>
      <c r="G981" s="8" t="s">
        <v>3631</v>
      </c>
      <c r="H981" s="8" t="s">
        <v>2484</v>
      </c>
      <c r="I981" s="66">
        <v>25169.84</v>
      </c>
      <c r="J981" s="8">
        <v>22555</v>
      </c>
      <c r="K981" s="9">
        <f>Tabla156798[[#This Row],[CANTIDAD PUBLICA]]*0.05</f>
        <v>1258.4920000000002</v>
      </c>
      <c r="L981" s="10">
        <f>Tabla156798[[#This Row],[COMISION AGENCIA]]*0.05</f>
        <v>62.924600000000012</v>
      </c>
      <c r="M981" s="7">
        <v>3481348377</v>
      </c>
      <c r="N981" s="7" t="s">
        <v>3632</v>
      </c>
      <c r="O981" s="7" t="s">
        <v>6</v>
      </c>
      <c r="P981" s="7"/>
    </row>
    <row r="982" spans="1:16" x14ac:dyDescent="0.25">
      <c r="A982" s="14">
        <f>Tabla156798[[#This Row],[FECHA IN]]-15</f>
        <v>45108</v>
      </c>
      <c r="B982" s="14">
        <v>45103</v>
      </c>
      <c r="C982" s="6">
        <v>44847</v>
      </c>
      <c r="D982" s="6">
        <v>45123</v>
      </c>
      <c r="E982" s="6">
        <v>45127</v>
      </c>
      <c r="F982" s="115" t="s">
        <v>3626</v>
      </c>
      <c r="G982" s="8" t="s">
        <v>3633</v>
      </c>
      <c r="H982" s="8" t="s">
        <v>2484</v>
      </c>
      <c r="I982" s="66">
        <v>14805.4</v>
      </c>
      <c r="J982" s="8">
        <v>12890</v>
      </c>
      <c r="K982" s="9">
        <f>Tabla156798[[#This Row],[CANTIDAD PUBLICA]]*0.05</f>
        <v>740.27</v>
      </c>
      <c r="L982" s="10">
        <f>Tabla156798[[#This Row],[COMISION AGENCIA]]*0.05</f>
        <v>37.013500000000001</v>
      </c>
      <c r="M982" s="7">
        <v>3481348377</v>
      </c>
      <c r="N982" s="7" t="s">
        <v>3634</v>
      </c>
      <c r="O982" s="7" t="s">
        <v>6</v>
      </c>
      <c r="P982" s="7"/>
    </row>
    <row r="983" spans="1:16" x14ac:dyDescent="0.25">
      <c r="A983" s="14">
        <f>Tabla156798[[#This Row],[FECHA IN]]-15</f>
        <v>45108</v>
      </c>
      <c r="B983" s="14">
        <v>45103</v>
      </c>
      <c r="C983" s="6">
        <v>44847</v>
      </c>
      <c r="D983" s="6">
        <v>45123</v>
      </c>
      <c r="E983" s="6">
        <v>45127</v>
      </c>
      <c r="F983" s="115" t="s">
        <v>3626</v>
      </c>
      <c r="G983" s="8" t="s">
        <v>1848</v>
      </c>
      <c r="H983" s="8" t="s">
        <v>2484</v>
      </c>
      <c r="I983" s="66">
        <v>15337.35</v>
      </c>
      <c r="J983" s="8">
        <v>13350</v>
      </c>
      <c r="K983" s="9">
        <f>Tabla156798[[#This Row],[CANTIDAD PUBLICA]]*0.05</f>
        <v>766.86750000000006</v>
      </c>
      <c r="L983" s="10">
        <f>Tabla156798[[#This Row],[COMISION AGENCIA]]*0.05</f>
        <v>38.343375000000002</v>
      </c>
      <c r="M983" s="7">
        <v>3481348377</v>
      </c>
      <c r="N983" s="7" t="s">
        <v>3628</v>
      </c>
      <c r="O983" s="7" t="s">
        <v>6</v>
      </c>
      <c r="P983" s="7"/>
    </row>
    <row r="984" spans="1:16" x14ac:dyDescent="0.25">
      <c r="A984" s="14">
        <f>Tabla156798[[#This Row],[FECHA IN]]-15</f>
        <v>45108</v>
      </c>
      <c r="B984" s="14">
        <v>45103</v>
      </c>
      <c r="C984" s="6">
        <v>44847</v>
      </c>
      <c r="D984" s="6">
        <v>45123</v>
      </c>
      <c r="E984" s="6">
        <v>45127</v>
      </c>
      <c r="F984" s="115" t="s">
        <v>3626</v>
      </c>
      <c r="G984" s="8" t="s">
        <v>3635</v>
      </c>
      <c r="H984" s="8" t="s">
        <v>3636</v>
      </c>
      <c r="I984" s="66"/>
      <c r="J984" s="8">
        <v>9000</v>
      </c>
      <c r="K984" s="9">
        <f>Tabla156798[[#This Row],[CANTIDAD PUBLICA]]*0.05</f>
        <v>0</v>
      </c>
      <c r="L984" s="10">
        <f>Tabla156798[[#This Row],[COMISION AGENCIA]]*0.05</f>
        <v>0</v>
      </c>
      <c r="M984" s="7">
        <v>3481348377</v>
      </c>
      <c r="N984" s="7"/>
      <c r="O984" s="7"/>
      <c r="P984" s="7"/>
    </row>
    <row r="985" spans="1:16" x14ac:dyDescent="0.25">
      <c r="A985" s="94">
        <f>Tabla156798[[#This Row],[FECHA IN]]-15</f>
        <v>45108</v>
      </c>
      <c r="B985" s="94">
        <v>45114</v>
      </c>
      <c r="C985" s="94">
        <v>44862</v>
      </c>
      <c r="D985" s="94">
        <v>45123</v>
      </c>
      <c r="E985" s="94">
        <v>45127</v>
      </c>
      <c r="F985" s="116">
        <v>22362</v>
      </c>
      <c r="G985" s="22" t="s">
        <v>3621</v>
      </c>
      <c r="H985" s="22" t="s">
        <v>2484</v>
      </c>
      <c r="I985" s="22"/>
      <c r="J985" s="22"/>
      <c r="K985" s="95"/>
      <c r="L985" s="96"/>
      <c r="M985" s="54">
        <v>3481304608</v>
      </c>
      <c r="N985" s="54" t="s">
        <v>3637</v>
      </c>
      <c r="O985" s="54" t="s">
        <v>6</v>
      </c>
      <c r="P985" s="54" t="s">
        <v>3638</v>
      </c>
    </row>
    <row r="986" spans="1:16" x14ac:dyDescent="0.25">
      <c r="A986" s="14">
        <f>Tabla156798[[#This Row],[FECHA IN]]-15</f>
        <v>45108</v>
      </c>
      <c r="B986" s="14">
        <v>45098</v>
      </c>
      <c r="C986" s="6">
        <v>45006</v>
      </c>
      <c r="D986" s="6">
        <v>45123</v>
      </c>
      <c r="E986" s="6">
        <v>45127</v>
      </c>
      <c r="F986" s="115">
        <v>24100</v>
      </c>
      <c r="G986" s="8" t="s">
        <v>3639</v>
      </c>
      <c r="H986" s="8" t="s">
        <v>1773</v>
      </c>
      <c r="I986" s="8">
        <v>27486.25</v>
      </c>
      <c r="J986" s="8">
        <v>23925</v>
      </c>
      <c r="K986" s="9">
        <f>Tabla156798[[#This Row],[CANTIDAD PUBLICA]]*0.05</f>
        <v>1374.3125</v>
      </c>
      <c r="L986" s="10">
        <f>Tabla156798[[#This Row],[COMISION AGENCIA]]*0.05</f>
        <v>68.715625000000003</v>
      </c>
      <c r="M986" s="7">
        <v>3481331150</v>
      </c>
      <c r="N986" s="7" t="s">
        <v>3640</v>
      </c>
      <c r="O986" s="7" t="s">
        <v>6</v>
      </c>
      <c r="P986" s="7"/>
    </row>
    <row r="987" spans="1:16" x14ac:dyDescent="0.25">
      <c r="A987" s="14">
        <f>Tabla156798[[#This Row],[FECHA IN]]-15</f>
        <v>45108</v>
      </c>
      <c r="B987" s="14">
        <v>45098</v>
      </c>
      <c r="C987" s="6">
        <v>45006</v>
      </c>
      <c r="D987" s="6">
        <v>45123</v>
      </c>
      <c r="E987" s="6">
        <v>45127</v>
      </c>
      <c r="F987" s="115">
        <v>24100</v>
      </c>
      <c r="G987" s="8" t="s">
        <v>3641</v>
      </c>
      <c r="H987" s="8" t="s">
        <v>1773</v>
      </c>
      <c r="I987" s="8">
        <v>27486.25</v>
      </c>
      <c r="J987" s="8">
        <v>23925</v>
      </c>
      <c r="K987" s="9">
        <f>Tabla156798[[#This Row],[CANTIDAD PUBLICA]]*0.05</f>
        <v>1374.3125</v>
      </c>
      <c r="L987" s="10">
        <f>Tabla156798[[#This Row],[COMISION AGENCIA]]*0.05</f>
        <v>68.715625000000003</v>
      </c>
      <c r="M987" s="7">
        <v>3481331150</v>
      </c>
      <c r="N987" s="7" t="s">
        <v>3642</v>
      </c>
      <c r="O987" s="7" t="s">
        <v>6</v>
      </c>
      <c r="P987" s="7"/>
    </row>
    <row r="988" spans="1:16" x14ac:dyDescent="0.25">
      <c r="A988" s="14">
        <f>Tabla156798[[#This Row],[FECHA IN]]-15</f>
        <v>45108</v>
      </c>
      <c r="B988" s="14">
        <v>45098</v>
      </c>
      <c r="C988" s="6">
        <v>45006</v>
      </c>
      <c r="D988" s="6">
        <v>45123</v>
      </c>
      <c r="E988" s="6">
        <v>45127</v>
      </c>
      <c r="F988" s="115">
        <v>24100</v>
      </c>
      <c r="G988" s="8" t="s">
        <v>3643</v>
      </c>
      <c r="H988" s="8" t="s">
        <v>1773</v>
      </c>
      <c r="I988" s="8">
        <v>27486.25</v>
      </c>
      <c r="J988" s="8">
        <v>23925</v>
      </c>
      <c r="K988" s="9">
        <f>Tabla156798[[#This Row],[CANTIDAD PUBLICA]]*0.05</f>
        <v>1374.3125</v>
      </c>
      <c r="L988" s="10">
        <f>Tabla156798[[#This Row],[COMISION AGENCIA]]*0.05</f>
        <v>68.715625000000003</v>
      </c>
      <c r="M988" s="7">
        <v>3481331150</v>
      </c>
      <c r="N988" s="7" t="s">
        <v>3644</v>
      </c>
      <c r="O988" s="7" t="s">
        <v>6</v>
      </c>
      <c r="P988" s="7"/>
    </row>
    <row r="989" spans="1:16" x14ac:dyDescent="0.25">
      <c r="A989" s="14">
        <f>Tabla156798[[#This Row],[FECHA IN]]-15</f>
        <v>45108</v>
      </c>
      <c r="B989" s="14">
        <v>45098</v>
      </c>
      <c r="C989" s="6">
        <v>45006</v>
      </c>
      <c r="D989" s="6">
        <v>45123</v>
      </c>
      <c r="E989" s="6">
        <v>45127</v>
      </c>
      <c r="F989" s="115">
        <v>24100</v>
      </c>
      <c r="G989" s="8" t="s">
        <v>3645</v>
      </c>
      <c r="H989" s="8" t="s">
        <v>1773</v>
      </c>
      <c r="I989" s="8">
        <v>27486.25</v>
      </c>
      <c r="J989" s="8">
        <v>23925</v>
      </c>
      <c r="K989" s="9">
        <f>Tabla156798[[#This Row],[CANTIDAD PUBLICA]]*0.05</f>
        <v>1374.3125</v>
      </c>
      <c r="L989" s="10">
        <f>Tabla156798[[#This Row],[COMISION AGENCIA]]*0.05</f>
        <v>68.715625000000003</v>
      </c>
      <c r="M989" s="7">
        <v>3481331150</v>
      </c>
      <c r="N989" s="7" t="s">
        <v>3646</v>
      </c>
      <c r="O989" s="7" t="s">
        <v>6</v>
      </c>
      <c r="P989" s="7"/>
    </row>
    <row r="990" spans="1:16" x14ac:dyDescent="0.25">
      <c r="A990" s="14">
        <f>Tabla156798[[#This Row],[FECHA IN]]-15</f>
        <v>45108</v>
      </c>
      <c r="B990" s="14">
        <v>45098</v>
      </c>
      <c r="C990" s="6">
        <v>45006</v>
      </c>
      <c r="D990" s="6">
        <v>45123</v>
      </c>
      <c r="E990" s="6">
        <v>45127</v>
      </c>
      <c r="F990" s="115">
        <v>24100</v>
      </c>
      <c r="G990" s="8" t="s">
        <v>3647</v>
      </c>
      <c r="H990" s="8" t="s">
        <v>1773</v>
      </c>
      <c r="I990" s="8">
        <v>27486.25</v>
      </c>
      <c r="J990" s="8">
        <v>23925</v>
      </c>
      <c r="K990" s="9">
        <f>Tabla156798[[#This Row],[CANTIDAD PUBLICA]]*0.05</f>
        <v>1374.3125</v>
      </c>
      <c r="L990" s="10">
        <f>Tabla156798[[#This Row],[COMISION AGENCIA]]*0.05</f>
        <v>68.715625000000003</v>
      </c>
      <c r="M990" s="7">
        <v>3481331150</v>
      </c>
      <c r="N990" s="7" t="s">
        <v>3648</v>
      </c>
      <c r="O990" s="7" t="s">
        <v>6</v>
      </c>
      <c r="P990" s="7"/>
    </row>
    <row r="991" spans="1:16" x14ac:dyDescent="0.25">
      <c r="A991" s="14">
        <f>Tabla156798[[#This Row],[FECHA IN]]-15</f>
        <v>45108</v>
      </c>
      <c r="B991" s="14">
        <v>45098</v>
      </c>
      <c r="C991" s="6">
        <v>45006</v>
      </c>
      <c r="D991" s="6">
        <v>45123</v>
      </c>
      <c r="E991" s="6">
        <v>45127</v>
      </c>
      <c r="F991" s="115">
        <v>24100</v>
      </c>
      <c r="G991" s="8" t="s">
        <v>3649</v>
      </c>
      <c r="H991" s="8" t="s">
        <v>1773</v>
      </c>
      <c r="I991" s="8">
        <v>27486.25</v>
      </c>
      <c r="J991" s="8">
        <v>23925</v>
      </c>
      <c r="K991" s="9">
        <f>Tabla156798[[#This Row],[CANTIDAD PUBLICA]]*0.05</f>
        <v>1374.3125</v>
      </c>
      <c r="L991" s="10">
        <f>Tabla156798[[#This Row],[COMISION AGENCIA]]*0.05</f>
        <v>68.715625000000003</v>
      </c>
      <c r="M991" s="7">
        <v>3481331150</v>
      </c>
      <c r="N991" s="7" t="s">
        <v>3650</v>
      </c>
      <c r="O991" s="7" t="s">
        <v>6</v>
      </c>
      <c r="P991" s="7"/>
    </row>
    <row r="992" spans="1:16" x14ac:dyDescent="0.25">
      <c r="A992" s="14">
        <f>Tabla156798[[#This Row],[FECHA IN]]-15</f>
        <v>45108</v>
      </c>
      <c r="B992" s="14">
        <v>45106</v>
      </c>
      <c r="C992" s="6">
        <v>45006</v>
      </c>
      <c r="D992" s="6">
        <v>45123</v>
      </c>
      <c r="E992" s="6">
        <v>45127</v>
      </c>
      <c r="F992" s="115">
        <v>24100</v>
      </c>
      <c r="G992" s="8" t="s">
        <v>3651</v>
      </c>
      <c r="H992" s="8" t="s">
        <v>1773</v>
      </c>
      <c r="I992" s="8">
        <v>23663.200000000001</v>
      </c>
      <c r="J992" s="8">
        <v>21300</v>
      </c>
      <c r="K992" s="9">
        <f>Tabla156798[[#This Row],[CANTIDAD PUBLICA]]*0.05</f>
        <v>1183.1600000000001</v>
      </c>
      <c r="L992" s="10">
        <f>Tabla156798[[#This Row],[COMISION AGENCIA]]*0.05</f>
        <v>59.158000000000008</v>
      </c>
      <c r="M992" s="7">
        <v>3481331150</v>
      </c>
      <c r="N992" s="7">
        <v>10658711</v>
      </c>
      <c r="O992" s="7" t="s">
        <v>5</v>
      </c>
      <c r="P992" s="7"/>
    </row>
    <row r="993" spans="1:16" x14ac:dyDescent="0.25">
      <c r="A993" s="14">
        <f>Tabla156798[[#This Row],[FECHA IN]]-15</f>
        <v>45108</v>
      </c>
      <c r="B993" s="14">
        <v>45098</v>
      </c>
      <c r="C993" s="6">
        <v>45006</v>
      </c>
      <c r="D993" s="6">
        <v>45123</v>
      </c>
      <c r="E993" s="6">
        <v>45127</v>
      </c>
      <c r="F993" s="115">
        <v>24100</v>
      </c>
      <c r="G993" s="8" t="s">
        <v>3652</v>
      </c>
      <c r="H993" s="8" t="s">
        <v>1773</v>
      </c>
      <c r="I993" s="8">
        <v>18874.57</v>
      </c>
      <c r="J993" s="8">
        <v>16990</v>
      </c>
      <c r="K993" s="9">
        <f>Tabla156798[[#This Row],[CANTIDAD PUBLICA]]*0.05</f>
        <v>943.72850000000005</v>
      </c>
      <c r="L993" s="10">
        <f>Tabla156798[[#This Row],[COMISION AGENCIA]]*0.05</f>
        <v>47.186425000000007</v>
      </c>
      <c r="M993" s="7">
        <v>3481331150</v>
      </c>
      <c r="N993" s="7">
        <v>10658728</v>
      </c>
      <c r="O993" s="7" t="s">
        <v>5</v>
      </c>
      <c r="P993" s="7"/>
    </row>
    <row r="994" spans="1:16" x14ac:dyDescent="0.25">
      <c r="A994" s="14">
        <f>Tabla156798[[#This Row],[FECHA IN]]-15</f>
        <v>45108</v>
      </c>
      <c r="B994" s="14">
        <v>45098</v>
      </c>
      <c r="C994" s="6">
        <v>45006</v>
      </c>
      <c r="D994" s="6">
        <v>45123</v>
      </c>
      <c r="E994" s="6">
        <v>45127</v>
      </c>
      <c r="F994" s="115">
        <v>24100</v>
      </c>
      <c r="G994" s="8" t="s">
        <v>3653</v>
      </c>
      <c r="H994" s="8" t="s">
        <v>1773</v>
      </c>
      <c r="I994" s="8">
        <v>19293.849999999999</v>
      </c>
      <c r="J994" s="8">
        <v>17350</v>
      </c>
      <c r="K994" s="9">
        <f>Tabla156798[[#This Row],[CANTIDAD PUBLICA]]*0.05</f>
        <v>964.6925</v>
      </c>
      <c r="L994" s="10">
        <f>Tabla156798[[#This Row],[COMISION AGENCIA]]*0.05</f>
        <v>48.234625000000001</v>
      </c>
      <c r="M994" s="7">
        <v>3481331150</v>
      </c>
      <c r="N994" s="7">
        <v>10658749</v>
      </c>
      <c r="O994" s="7" t="s">
        <v>6</v>
      </c>
      <c r="P994" s="7"/>
    </row>
    <row r="995" spans="1:16" x14ac:dyDescent="0.25">
      <c r="A995" s="14">
        <f>Tabla156798[[#This Row],[FECHA IN]]-22</f>
        <v>45108</v>
      </c>
      <c r="B995" s="14">
        <v>45121</v>
      </c>
      <c r="C995" s="6">
        <v>45075</v>
      </c>
      <c r="D995" s="6">
        <v>45130</v>
      </c>
      <c r="E995" s="6">
        <v>45135</v>
      </c>
      <c r="F995" s="115">
        <v>25173</v>
      </c>
      <c r="G995" s="8" t="s">
        <v>3654</v>
      </c>
      <c r="H995" s="8" t="s">
        <v>2181</v>
      </c>
      <c r="I995" s="8">
        <v>33018.980000000003</v>
      </c>
      <c r="J995" s="8">
        <v>28730</v>
      </c>
      <c r="K995" s="9">
        <f>Tabla156798[[#This Row],[CANTIDAD PUBLICA]]*0.05</f>
        <v>1650.9490000000003</v>
      </c>
      <c r="L995" s="10">
        <f>Tabla156798[[#This Row],[COMISION AGENCIA]]*0.05</f>
        <v>82.547450000000026</v>
      </c>
      <c r="M995" s="7">
        <v>3481216710</v>
      </c>
      <c r="N995" s="7" t="s">
        <v>3655</v>
      </c>
      <c r="O995" s="7" t="s">
        <v>6</v>
      </c>
      <c r="P995" s="7"/>
    </row>
    <row r="996" spans="1:16" x14ac:dyDescent="0.25">
      <c r="A996" s="14">
        <f>Tabla156798[[#This Row],[FECHA IN]]-22</f>
        <v>45108</v>
      </c>
      <c r="B996" s="14">
        <v>45121</v>
      </c>
      <c r="C996" s="6">
        <v>45075</v>
      </c>
      <c r="D996" s="6">
        <v>45130</v>
      </c>
      <c r="E996" s="6">
        <v>45135</v>
      </c>
      <c r="F996" s="115">
        <v>25172</v>
      </c>
      <c r="G996" s="8" t="s">
        <v>3656</v>
      </c>
      <c r="H996" s="8" t="s">
        <v>2181</v>
      </c>
      <c r="I996" s="8">
        <v>20319.330000000002</v>
      </c>
      <c r="J996" s="8">
        <v>17680</v>
      </c>
      <c r="K996" s="9">
        <f>Tabla156798[[#This Row],[CANTIDAD PUBLICA]]*0.05</f>
        <v>1015.9665000000001</v>
      </c>
      <c r="L996" s="10">
        <f>Tabla156798[[#This Row],[COMISION AGENCIA]]*0.05</f>
        <v>50.798325000000006</v>
      </c>
      <c r="M996" s="7">
        <v>3481216710</v>
      </c>
      <c r="N996" s="7" t="s">
        <v>3657</v>
      </c>
      <c r="O996" s="7" t="s">
        <v>6</v>
      </c>
      <c r="P996" s="7"/>
    </row>
    <row r="997" spans="1:16" x14ac:dyDescent="0.25">
      <c r="A997" s="14">
        <f>Tabla156798[[#This Row],[FECHA IN]]-22</f>
        <v>45108</v>
      </c>
      <c r="B997" s="14">
        <v>45121</v>
      </c>
      <c r="C997" s="6">
        <v>45075</v>
      </c>
      <c r="D997" s="6">
        <v>45130</v>
      </c>
      <c r="E997" s="6">
        <v>45135</v>
      </c>
      <c r="F997" s="115">
        <v>25388</v>
      </c>
      <c r="G997" s="8" t="s">
        <v>3658</v>
      </c>
      <c r="H997" s="8" t="s">
        <v>2181</v>
      </c>
      <c r="I997" s="8">
        <v>20319.330000000002</v>
      </c>
      <c r="J997" s="8">
        <v>17680</v>
      </c>
      <c r="K997" s="9">
        <f>Tabla156798[[#This Row],[CANTIDAD PUBLICA]]*0.05</f>
        <v>1015.9665000000001</v>
      </c>
      <c r="L997" s="10">
        <f>Tabla156798[[#This Row],[COMISION AGENCIA]]*0.05</f>
        <v>50.798325000000006</v>
      </c>
      <c r="M997" s="7">
        <v>3481216710</v>
      </c>
      <c r="N997" s="7" t="s">
        <v>3659</v>
      </c>
      <c r="O997" s="7" t="s">
        <v>6</v>
      </c>
      <c r="P997" s="7"/>
    </row>
    <row r="998" spans="1:16" x14ac:dyDescent="0.25">
      <c r="A998" s="14">
        <f>Tabla156798[[#This Row],[FECHA IN]]-22</f>
        <v>45108</v>
      </c>
      <c r="B998" s="14">
        <v>45082</v>
      </c>
      <c r="C998" s="6">
        <v>45082</v>
      </c>
      <c r="D998" s="6">
        <v>45130</v>
      </c>
      <c r="E998" s="6">
        <v>45134</v>
      </c>
      <c r="F998" s="115">
        <v>25316</v>
      </c>
      <c r="G998" s="8" t="s">
        <v>3660</v>
      </c>
      <c r="H998" s="8" t="s">
        <v>1703</v>
      </c>
      <c r="I998" s="8">
        <v>16657.900000000001</v>
      </c>
      <c r="J998" s="8">
        <v>14495</v>
      </c>
      <c r="K998" s="9">
        <f>Tabla156798[[#This Row],[CANTIDAD PUBLICA]]*0.05</f>
        <v>832.8950000000001</v>
      </c>
      <c r="L998" s="10">
        <f>Tabla156798[[#This Row],[COMISION AGENCIA]]*0.05</f>
        <v>41.644750000000009</v>
      </c>
      <c r="M998" s="7">
        <v>3481211816</v>
      </c>
      <c r="N998" s="7" t="s">
        <v>3661</v>
      </c>
      <c r="O998" s="7" t="s">
        <v>6</v>
      </c>
      <c r="P998" s="7"/>
    </row>
    <row r="999" spans="1:16" x14ac:dyDescent="0.25">
      <c r="A999" s="21">
        <f>Tabla156798[[#This Row],[FECHA IN]]-15</f>
        <v>45109</v>
      </c>
      <c r="B999" s="21">
        <v>45001</v>
      </c>
      <c r="C999" s="6">
        <v>44999</v>
      </c>
      <c r="D999" s="6">
        <v>45124</v>
      </c>
      <c r="E999" s="6">
        <v>45128</v>
      </c>
      <c r="F999" s="115"/>
      <c r="G999" s="8" t="s">
        <v>3662</v>
      </c>
      <c r="H999" s="8" t="s">
        <v>3663</v>
      </c>
      <c r="I999" s="8"/>
      <c r="J999" s="8"/>
      <c r="K999" s="9">
        <f>Tabla156798[[#This Row],[CANTIDAD PUBLICA]]*0.05</f>
        <v>0</v>
      </c>
      <c r="L999" s="10">
        <f>Tabla156798[[#This Row],[COMISION AGENCIA]]*0.05</f>
        <v>0</v>
      </c>
      <c r="M999" s="7">
        <v>3921831602</v>
      </c>
      <c r="N999" s="7" t="s">
        <v>3664</v>
      </c>
      <c r="O999" s="7" t="s">
        <v>3665</v>
      </c>
      <c r="P999" s="7"/>
    </row>
    <row r="1000" spans="1:16" x14ac:dyDescent="0.25">
      <c r="A1000" s="21">
        <f>Tabla156798[[#This Row],[FECHA IN]]-22</f>
        <v>45117</v>
      </c>
      <c r="B1000" s="21">
        <v>45123</v>
      </c>
      <c r="C1000" s="6">
        <v>45064</v>
      </c>
      <c r="D1000" s="6">
        <v>45139</v>
      </c>
      <c r="E1000" s="6">
        <v>45143</v>
      </c>
      <c r="F1000" s="115" t="s">
        <v>3250</v>
      </c>
      <c r="G1000" s="8" t="s">
        <v>3251</v>
      </c>
      <c r="H1000" s="8" t="s">
        <v>1494</v>
      </c>
      <c r="I1000" s="8">
        <v>70048.800000000003</v>
      </c>
      <c r="J1000" s="8">
        <v>60945</v>
      </c>
      <c r="K1000" s="9">
        <f>Tabla156798[[#This Row],[CANTIDAD PUBLICA]]*0.05</f>
        <v>3502.4400000000005</v>
      </c>
      <c r="L1000" s="10">
        <f>Tabla156798[[#This Row],[COMISION AGENCIA]]*0.05</f>
        <v>175.12200000000004</v>
      </c>
      <c r="M1000" s="7">
        <v>5531327498</v>
      </c>
      <c r="N1000" s="7" t="s">
        <v>3666</v>
      </c>
      <c r="O1000" s="7" t="s">
        <v>6</v>
      </c>
      <c r="P1000" s="7"/>
    </row>
    <row r="1001" spans="1:16" x14ac:dyDescent="0.25">
      <c r="A1001" s="21">
        <f>Tabla156798[[#This Row],[FECHA IN]]-22</f>
        <v>45117</v>
      </c>
      <c r="B1001" s="21">
        <v>45123</v>
      </c>
      <c r="C1001" s="6">
        <v>45064</v>
      </c>
      <c r="D1001" s="6">
        <v>45139</v>
      </c>
      <c r="E1001" s="6">
        <v>45143</v>
      </c>
      <c r="F1001" s="115" t="s">
        <v>3250</v>
      </c>
      <c r="G1001" s="8" t="s">
        <v>3667</v>
      </c>
      <c r="H1001" s="8" t="s">
        <v>1494</v>
      </c>
      <c r="I1001" s="8">
        <v>69676.2</v>
      </c>
      <c r="J1001" s="8">
        <v>60620</v>
      </c>
      <c r="K1001" s="9">
        <f>Tabla156798[[#This Row],[CANTIDAD PUBLICA]]*0.05</f>
        <v>3483.81</v>
      </c>
      <c r="L1001" s="10">
        <f>Tabla156798[[#This Row],[COMISION AGENCIA]]*0.05</f>
        <v>174.19050000000001</v>
      </c>
      <c r="M1001" s="7">
        <v>5531327498</v>
      </c>
      <c r="N1001" s="7" t="s">
        <v>3668</v>
      </c>
      <c r="O1001" s="7" t="s">
        <v>6</v>
      </c>
      <c r="P1001" s="7"/>
    </row>
    <row r="1002" spans="1:16" x14ac:dyDescent="0.25">
      <c r="A1002" s="21">
        <f>Tabla156798[[#This Row],[FECHA IN]]-22</f>
        <v>45117</v>
      </c>
      <c r="B1002" s="21">
        <v>45123</v>
      </c>
      <c r="C1002" s="6">
        <v>45064</v>
      </c>
      <c r="D1002" s="6">
        <v>45139</v>
      </c>
      <c r="E1002" s="6">
        <v>45143</v>
      </c>
      <c r="F1002" s="115" t="s">
        <v>3250</v>
      </c>
      <c r="G1002" s="8" t="s">
        <v>3669</v>
      </c>
      <c r="H1002" s="8" t="s">
        <v>1494</v>
      </c>
      <c r="I1002" s="8">
        <v>70048.800000000003</v>
      </c>
      <c r="J1002" s="8">
        <v>60945</v>
      </c>
      <c r="K1002" s="9">
        <f>Tabla156798[[#This Row],[CANTIDAD PUBLICA]]*0.05</f>
        <v>3502.4400000000005</v>
      </c>
      <c r="L1002" s="10">
        <f>Tabla156798[[#This Row],[COMISION AGENCIA]]*0.05</f>
        <v>175.12200000000004</v>
      </c>
      <c r="M1002" s="7">
        <v>5531327498</v>
      </c>
      <c r="N1002" s="7" t="s">
        <v>3670</v>
      </c>
      <c r="O1002" s="7" t="s">
        <v>6</v>
      </c>
      <c r="P1002" s="7"/>
    </row>
    <row r="1003" spans="1:16" x14ac:dyDescent="0.25">
      <c r="A1003" s="21">
        <f>Tabla156798[[#This Row],[FECHA IN]]-15</f>
        <v>45128</v>
      </c>
      <c r="B1003" s="21">
        <v>44911</v>
      </c>
      <c r="C1003" s="6">
        <v>44908</v>
      </c>
      <c r="D1003" s="6">
        <v>45143</v>
      </c>
      <c r="E1003" s="6">
        <v>45147</v>
      </c>
      <c r="F1003" s="115">
        <v>22947</v>
      </c>
      <c r="G1003" s="8" t="s">
        <v>3197</v>
      </c>
      <c r="H1003" s="8" t="s">
        <v>3198</v>
      </c>
      <c r="I1003" s="8"/>
      <c r="J1003" s="8"/>
      <c r="K1003" s="9">
        <f>Tabla156798[[#This Row],[CANTIDAD PUBLICA]]*0.05</f>
        <v>0</v>
      </c>
      <c r="L1003" s="10">
        <f>Tabla156798[[#This Row],[COMISION AGENCIA]]*0.05</f>
        <v>0</v>
      </c>
      <c r="M1003" s="7">
        <v>3471107899</v>
      </c>
      <c r="N1003" s="7" t="s">
        <v>3671</v>
      </c>
      <c r="O1003" s="7" t="s">
        <v>2243</v>
      </c>
      <c r="P1003" s="7"/>
    </row>
    <row r="1004" spans="1:16" x14ac:dyDescent="0.25">
      <c r="A1004" s="21">
        <f>Tabla156798[[#This Row],[FECHA IN]]-22</f>
        <v>45129</v>
      </c>
      <c r="B1004" s="21">
        <v>45127</v>
      </c>
      <c r="C1004" s="6">
        <v>45084</v>
      </c>
      <c r="D1004" s="6">
        <v>45151</v>
      </c>
      <c r="E1004" s="6">
        <v>45154</v>
      </c>
      <c r="F1004" s="115">
        <v>25362</v>
      </c>
      <c r="G1004" s="8" t="s">
        <v>3672</v>
      </c>
      <c r="H1004" s="8" t="s">
        <v>1643</v>
      </c>
      <c r="I1004" s="8">
        <v>9549.35</v>
      </c>
      <c r="J1004" s="8">
        <v>8310</v>
      </c>
      <c r="K1004" s="9">
        <f>Tabla156798[[#This Row],[CANTIDAD PUBLICA]]*0.05</f>
        <v>477.46750000000003</v>
      </c>
      <c r="L1004" s="10">
        <f>Tabla156798[[#This Row],[COMISION AGENCIA]]*0.05</f>
        <v>23.873375000000003</v>
      </c>
      <c r="M1004" s="7">
        <v>3314756195</v>
      </c>
      <c r="N1004" s="7" t="s">
        <v>3673</v>
      </c>
      <c r="O1004" s="7" t="s">
        <v>6</v>
      </c>
      <c r="P1004" s="7"/>
    </row>
    <row r="1005" spans="1:16" x14ac:dyDescent="0.25">
      <c r="A1005" s="21">
        <f>Tabla156798[[#This Row],[FECHA IN]]-22</f>
        <v>45129</v>
      </c>
      <c r="B1005" s="21">
        <v>45127</v>
      </c>
      <c r="C1005" s="6">
        <v>45084</v>
      </c>
      <c r="D1005" s="6">
        <v>45151</v>
      </c>
      <c r="E1005" s="6">
        <v>45154</v>
      </c>
      <c r="F1005" s="115">
        <v>25362</v>
      </c>
      <c r="G1005" s="8" t="s">
        <v>3674</v>
      </c>
      <c r="H1005" s="8" t="s">
        <v>1643</v>
      </c>
      <c r="I1005" s="8">
        <v>11659.2</v>
      </c>
      <c r="J1005" s="8">
        <v>10145</v>
      </c>
      <c r="K1005" s="9">
        <f>Tabla156798[[#This Row],[CANTIDAD PUBLICA]]*0.05</f>
        <v>582.96</v>
      </c>
      <c r="L1005" s="10">
        <f>Tabla156798[[#This Row],[COMISION AGENCIA]]*0.05</f>
        <v>29.148000000000003</v>
      </c>
      <c r="M1005" s="7">
        <v>3314756195</v>
      </c>
      <c r="N1005" s="7" t="s">
        <v>3675</v>
      </c>
      <c r="O1005" s="7" t="s">
        <v>6</v>
      </c>
      <c r="P1005" s="7"/>
    </row>
    <row r="1006" spans="1:16" x14ac:dyDescent="0.25">
      <c r="A1006" s="21">
        <f>Tabla156798[[#This Row],[FECHA IN]]-22</f>
        <v>45130</v>
      </c>
      <c r="B1006" s="21">
        <v>45054</v>
      </c>
      <c r="C1006" s="6">
        <v>45050</v>
      </c>
      <c r="D1006" s="6">
        <v>45152</v>
      </c>
      <c r="E1006" s="6">
        <v>45159</v>
      </c>
      <c r="F1006" s="115">
        <v>24780</v>
      </c>
      <c r="G1006" s="8" t="s">
        <v>3676</v>
      </c>
      <c r="H1006" s="8" t="s">
        <v>2437</v>
      </c>
      <c r="I1006" s="8">
        <v>41503</v>
      </c>
      <c r="J1006" s="8">
        <v>36110</v>
      </c>
      <c r="K1006" s="9">
        <f>Tabla156798[[#This Row],[CANTIDAD PUBLICA]]*0.05</f>
        <v>2075.15</v>
      </c>
      <c r="L1006" s="10">
        <f>Tabla156798[[#This Row],[COMISION AGENCIA]]*0.05</f>
        <v>103.75750000000001</v>
      </c>
      <c r="M1006" s="7">
        <v>3311195241</v>
      </c>
      <c r="N1006" s="7" t="s">
        <v>3677</v>
      </c>
      <c r="O1006" s="7" t="s">
        <v>6</v>
      </c>
      <c r="P1006" s="7"/>
    </row>
    <row r="1007" spans="1:16" x14ac:dyDescent="0.25">
      <c r="A1007" s="21">
        <f>Tabla156798[[#This Row],[FECHA IN]]-22</f>
        <v>45130</v>
      </c>
      <c r="B1007" s="21">
        <v>45054</v>
      </c>
      <c r="C1007" s="6">
        <v>45050</v>
      </c>
      <c r="D1007" s="6">
        <v>45152</v>
      </c>
      <c r="E1007" s="6">
        <v>45159</v>
      </c>
      <c r="F1007" s="115">
        <v>24780</v>
      </c>
      <c r="G1007" s="8" t="s">
        <v>3676</v>
      </c>
      <c r="H1007" s="8" t="s">
        <v>3678</v>
      </c>
      <c r="I1007" s="8"/>
      <c r="J1007" s="8">
        <v>1750</v>
      </c>
      <c r="K1007" s="9">
        <f>Tabla156798[[#This Row],[CANTIDAD PUBLICA]]*0.05</f>
        <v>0</v>
      </c>
      <c r="L1007" s="10">
        <f>Tabla156798[[#This Row],[COMISION AGENCIA]]*0.05</f>
        <v>0</v>
      </c>
      <c r="M1007" s="7"/>
      <c r="N1007" s="7"/>
      <c r="O1007" s="7"/>
      <c r="P1007" s="7"/>
    </row>
    <row r="1008" spans="1:16" x14ac:dyDescent="0.25">
      <c r="A1008" s="21">
        <f>Tabla156798[[#This Row],[FECHA IN]]-22</f>
        <v>45130</v>
      </c>
      <c r="B1008" s="21">
        <v>45128</v>
      </c>
      <c r="C1008" s="6">
        <v>45082</v>
      </c>
      <c r="D1008" s="6">
        <v>45152</v>
      </c>
      <c r="E1008" s="6">
        <v>45156</v>
      </c>
      <c r="F1008" s="115" t="s">
        <v>3679</v>
      </c>
      <c r="G1008" s="8" t="s">
        <v>3680</v>
      </c>
      <c r="H1008" s="8" t="s">
        <v>1643</v>
      </c>
      <c r="I1008" s="8">
        <v>15393.38</v>
      </c>
      <c r="J1008" s="8">
        <v>13395</v>
      </c>
      <c r="K1008" s="9">
        <f>Tabla156798[[#This Row],[CANTIDAD PUBLICA]]*0.05</f>
        <v>769.66899999999998</v>
      </c>
      <c r="L1008" s="10">
        <f>Tabla156798[[#This Row],[COMISION AGENCIA]]*0.05</f>
        <v>38.483450000000005</v>
      </c>
      <c r="M1008" s="7">
        <v>3481004146</v>
      </c>
      <c r="N1008" s="7" t="s">
        <v>3681</v>
      </c>
      <c r="O1008" s="7" t="s">
        <v>6</v>
      </c>
      <c r="P1008" s="7"/>
    </row>
    <row r="1009" spans="1:16" x14ac:dyDescent="0.25">
      <c r="A1009" s="21">
        <f>Tabla156798[[#This Row],[FECHA IN]]-22</f>
        <v>45130</v>
      </c>
      <c r="B1009" s="21">
        <v>45128</v>
      </c>
      <c r="C1009" s="6">
        <v>45082</v>
      </c>
      <c r="D1009" s="6">
        <v>45152</v>
      </c>
      <c r="E1009" s="6">
        <v>45156</v>
      </c>
      <c r="F1009" s="115" t="s">
        <v>3679</v>
      </c>
      <c r="G1009" s="8" t="s">
        <v>3682</v>
      </c>
      <c r="H1009" s="8" t="s">
        <v>1643</v>
      </c>
      <c r="I1009" s="8">
        <v>15393.38</v>
      </c>
      <c r="J1009" s="8">
        <v>13395</v>
      </c>
      <c r="K1009" s="9">
        <f>Tabla156798[[#This Row],[CANTIDAD PUBLICA]]*0.05</f>
        <v>769.66899999999998</v>
      </c>
      <c r="L1009" s="10">
        <f>Tabla156798[[#This Row],[COMISION AGENCIA]]*0.05</f>
        <v>38.483450000000005</v>
      </c>
      <c r="M1009" s="7">
        <v>3481004146</v>
      </c>
      <c r="N1009" s="7" t="s">
        <v>3683</v>
      </c>
      <c r="O1009" s="7" t="s">
        <v>6</v>
      </c>
      <c r="P1009" s="7"/>
    </row>
    <row r="1010" spans="1:16" x14ac:dyDescent="0.25">
      <c r="A1010" s="21">
        <f>Tabla156798[[#This Row],[FECHA IN]]-22</f>
        <v>45130</v>
      </c>
      <c r="B1010" s="21">
        <v>45128</v>
      </c>
      <c r="C1010" s="6">
        <v>45082</v>
      </c>
      <c r="D1010" s="6">
        <v>45152</v>
      </c>
      <c r="E1010" s="6">
        <v>45156</v>
      </c>
      <c r="F1010" s="115" t="s">
        <v>3679</v>
      </c>
      <c r="G1010" s="8" t="s">
        <v>3684</v>
      </c>
      <c r="H1010" s="8" t="s">
        <v>1643</v>
      </c>
      <c r="I1010" s="8">
        <v>12675.44</v>
      </c>
      <c r="J1010" s="8">
        <v>11030</v>
      </c>
      <c r="K1010" s="9">
        <f>Tabla156798[[#This Row],[CANTIDAD PUBLICA]]*0.05</f>
        <v>633.77200000000005</v>
      </c>
      <c r="L1010" s="10">
        <f>Tabla156798[[#This Row],[COMISION AGENCIA]]*0.05</f>
        <v>31.688600000000005</v>
      </c>
      <c r="M1010" s="7">
        <v>3481004146</v>
      </c>
      <c r="N1010" s="7" t="s">
        <v>3685</v>
      </c>
      <c r="O1010" s="7" t="s">
        <v>6</v>
      </c>
      <c r="P1010" s="7"/>
    </row>
    <row r="1011" spans="1:16" x14ac:dyDescent="0.25">
      <c r="A1011" s="21">
        <f>Tabla156798[[#This Row],[FECHA IN]]-22</f>
        <v>45130</v>
      </c>
      <c r="B1011" s="21">
        <v>45128</v>
      </c>
      <c r="C1011" s="6">
        <v>45082</v>
      </c>
      <c r="D1011" s="6">
        <v>45152</v>
      </c>
      <c r="E1011" s="6">
        <v>45156</v>
      </c>
      <c r="F1011" s="115" t="s">
        <v>3679</v>
      </c>
      <c r="G1011" s="8" t="s">
        <v>3686</v>
      </c>
      <c r="H1011" s="8" t="s">
        <v>1643</v>
      </c>
      <c r="I1011" s="8">
        <v>12675.44</v>
      </c>
      <c r="J1011" s="8">
        <v>11030</v>
      </c>
      <c r="K1011" s="9">
        <f>Tabla156798[[#This Row],[CANTIDAD PUBLICA]]*0.05</f>
        <v>633.77200000000005</v>
      </c>
      <c r="L1011" s="10">
        <f>Tabla156798[[#This Row],[COMISION AGENCIA]]*0.05</f>
        <v>31.688600000000005</v>
      </c>
      <c r="M1011" s="7">
        <v>3481004146</v>
      </c>
      <c r="N1011" s="7" t="s">
        <v>3687</v>
      </c>
      <c r="O1011" s="7" t="s">
        <v>6</v>
      </c>
      <c r="P1011" s="7"/>
    </row>
    <row r="1012" spans="1:16" x14ac:dyDescent="0.25">
      <c r="A1012" s="21">
        <f>Tabla156798[[#This Row],[FECHA IN]]-22</f>
        <v>45130</v>
      </c>
      <c r="B1012" s="21">
        <v>45128</v>
      </c>
      <c r="C1012" s="6">
        <v>45082</v>
      </c>
      <c r="D1012" s="6">
        <v>45152</v>
      </c>
      <c r="E1012" s="6">
        <v>45156</v>
      </c>
      <c r="F1012" s="115" t="s">
        <v>3679</v>
      </c>
      <c r="G1012" s="8" t="s">
        <v>3688</v>
      </c>
      <c r="H1012" s="8" t="s">
        <v>1643</v>
      </c>
      <c r="I1012" s="8">
        <v>12675.44</v>
      </c>
      <c r="J1012" s="8">
        <v>11030</v>
      </c>
      <c r="K1012" s="9">
        <f>Tabla156798[[#This Row],[CANTIDAD PUBLICA]]*0.05</f>
        <v>633.77200000000005</v>
      </c>
      <c r="L1012" s="10">
        <f>Tabla156798[[#This Row],[COMISION AGENCIA]]*0.05</f>
        <v>31.688600000000005</v>
      </c>
      <c r="M1012" s="7">
        <v>3481004146</v>
      </c>
      <c r="N1012" s="7" t="s">
        <v>3689</v>
      </c>
      <c r="O1012" s="7" t="s">
        <v>6</v>
      </c>
      <c r="P1012" s="7"/>
    </row>
    <row r="1013" spans="1:16" x14ac:dyDescent="0.25">
      <c r="A1013" s="21">
        <f>Tabla156798[[#This Row],[FECHA IN]]-22</f>
        <v>45130</v>
      </c>
      <c r="B1013" s="21">
        <v>45128</v>
      </c>
      <c r="C1013" s="6">
        <v>45082</v>
      </c>
      <c r="D1013" s="6">
        <v>45152</v>
      </c>
      <c r="E1013" s="6">
        <v>45156</v>
      </c>
      <c r="F1013" s="115" t="s">
        <v>3679</v>
      </c>
      <c r="G1013" s="8" t="s">
        <v>3690</v>
      </c>
      <c r="H1013" s="8" t="s">
        <v>1643</v>
      </c>
      <c r="I1013" s="8">
        <v>18112.310000000001</v>
      </c>
      <c r="J1013" s="8">
        <v>15760</v>
      </c>
      <c r="K1013" s="9">
        <f>Tabla156798[[#This Row],[CANTIDAD PUBLICA]]*0.05</f>
        <v>905.61550000000011</v>
      </c>
      <c r="L1013" s="10">
        <f>Tabla156798[[#This Row],[COMISION AGENCIA]]*0.05</f>
        <v>45.280775000000006</v>
      </c>
      <c r="M1013" s="7">
        <v>3481004146</v>
      </c>
      <c r="N1013" s="7" t="s">
        <v>3691</v>
      </c>
      <c r="O1013" s="7" t="s">
        <v>6</v>
      </c>
      <c r="P1013" s="7"/>
    </row>
    <row r="1014" spans="1:16" x14ac:dyDescent="0.25">
      <c r="A1014" s="21">
        <f>Tabla156798[[#This Row],[FECHA IN]]-22</f>
        <v>45130</v>
      </c>
      <c r="B1014" s="21">
        <v>45128</v>
      </c>
      <c r="C1014" s="6">
        <v>45082</v>
      </c>
      <c r="D1014" s="6">
        <v>45152</v>
      </c>
      <c r="E1014" s="6">
        <v>45156</v>
      </c>
      <c r="F1014" s="115" t="s">
        <v>3679</v>
      </c>
      <c r="G1014" s="8" t="s">
        <v>3692</v>
      </c>
      <c r="H1014" s="8" t="s">
        <v>1643</v>
      </c>
      <c r="I1014" s="8">
        <v>15393.38</v>
      </c>
      <c r="J1014" s="8">
        <v>13395</v>
      </c>
      <c r="K1014" s="9">
        <f>Tabla156798[[#This Row],[CANTIDAD PUBLICA]]*0.05</f>
        <v>769.66899999999998</v>
      </c>
      <c r="L1014" s="10">
        <f>Tabla156798[[#This Row],[COMISION AGENCIA]]*0.05</f>
        <v>38.483450000000005</v>
      </c>
      <c r="M1014" s="7">
        <v>3481004146</v>
      </c>
      <c r="N1014" s="7" t="s">
        <v>3693</v>
      </c>
      <c r="O1014" s="7" t="s">
        <v>6</v>
      </c>
      <c r="P1014" s="7"/>
    </row>
    <row r="1015" spans="1:16" x14ac:dyDescent="0.25">
      <c r="A1015" s="21">
        <f>Tabla156798[[#This Row],[FECHA IN]]-22</f>
        <v>45130</v>
      </c>
      <c r="B1015" s="21">
        <v>45128</v>
      </c>
      <c r="C1015" s="6">
        <v>45082</v>
      </c>
      <c r="D1015" s="6">
        <v>45152</v>
      </c>
      <c r="E1015" s="6">
        <v>45156</v>
      </c>
      <c r="F1015" s="115" t="s">
        <v>3679</v>
      </c>
      <c r="G1015" s="8" t="s">
        <v>3694</v>
      </c>
      <c r="H1015" s="8" t="s">
        <v>1643</v>
      </c>
      <c r="I1015" s="8">
        <v>15393.38</v>
      </c>
      <c r="J1015" s="8">
        <v>13395</v>
      </c>
      <c r="K1015" s="9">
        <f>Tabla156798[[#This Row],[CANTIDAD PUBLICA]]*0.05</f>
        <v>769.66899999999998</v>
      </c>
      <c r="L1015" s="10">
        <f>Tabla156798[[#This Row],[COMISION AGENCIA]]*0.05</f>
        <v>38.483450000000005</v>
      </c>
      <c r="M1015" s="7">
        <v>3481004146</v>
      </c>
      <c r="N1015" s="7" t="s">
        <v>3695</v>
      </c>
      <c r="O1015" s="7" t="s">
        <v>6</v>
      </c>
      <c r="P1015" s="7"/>
    </row>
    <row r="1016" spans="1:16" x14ac:dyDescent="0.25">
      <c r="A1016" s="21">
        <f>Tabla156798[[#This Row],[FECHA IN]]-22</f>
        <v>45130</v>
      </c>
      <c r="B1016" s="21">
        <v>45128</v>
      </c>
      <c r="C1016" s="6">
        <v>45082</v>
      </c>
      <c r="D1016" s="6">
        <v>45152</v>
      </c>
      <c r="E1016" s="6">
        <v>45156</v>
      </c>
      <c r="F1016" s="115" t="s">
        <v>3679</v>
      </c>
      <c r="G1016" s="8" t="s">
        <v>3696</v>
      </c>
      <c r="H1016" s="8" t="s">
        <v>1643</v>
      </c>
      <c r="I1016" s="8">
        <v>12675.44</v>
      </c>
      <c r="J1016" s="8">
        <v>11030</v>
      </c>
      <c r="K1016" s="9">
        <f>Tabla156798[[#This Row],[CANTIDAD PUBLICA]]*0.05</f>
        <v>633.77200000000005</v>
      </c>
      <c r="L1016" s="10">
        <f>Tabla156798[[#This Row],[COMISION AGENCIA]]*0.05</f>
        <v>31.688600000000005</v>
      </c>
      <c r="M1016" s="7">
        <v>3481004146</v>
      </c>
      <c r="N1016" s="7" t="s">
        <v>3697</v>
      </c>
      <c r="O1016" s="7" t="s">
        <v>6</v>
      </c>
      <c r="P1016" s="7"/>
    </row>
    <row r="1017" spans="1:16" x14ac:dyDescent="0.25">
      <c r="A1017" s="21">
        <f>Tabla156798[[#This Row],[FECHA IN]]-22</f>
        <v>45130</v>
      </c>
      <c r="B1017" s="21">
        <v>45128</v>
      </c>
      <c r="C1017" s="6">
        <v>45082</v>
      </c>
      <c r="D1017" s="6">
        <v>45152</v>
      </c>
      <c r="E1017" s="6">
        <v>45156</v>
      </c>
      <c r="F1017" s="115">
        <v>25372</v>
      </c>
      <c r="G1017" s="8" t="s">
        <v>3684</v>
      </c>
      <c r="H1017" s="8" t="s">
        <v>3698</v>
      </c>
      <c r="I1017" s="8">
        <v>14000</v>
      </c>
      <c r="J1017" s="8">
        <v>145000</v>
      </c>
      <c r="K1017" s="9">
        <f>Tabla156798[[#This Row],[PRECIO CLIENTE]]-Tabla156798[[#This Row],[CANTIDAD PUBLICA]]</f>
        <v>131000</v>
      </c>
      <c r="L1017" s="10">
        <f>Tabla156798[[#This Row],[COMISION AGENCIA]]*0.05</f>
        <v>6550</v>
      </c>
      <c r="M1017" s="7">
        <v>3481004146</v>
      </c>
      <c r="N1017" s="7"/>
      <c r="O1017" s="7" t="s">
        <v>2314</v>
      </c>
      <c r="P1017" s="7"/>
    </row>
    <row r="1018" spans="1:16" x14ac:dyDescent="0.25">
      <c r="A1018" s="21">
        <f>Tabla156798[[#This Row],[FECHA IN]]-22</f>
        <v>45132</v>
      </c>
      <c r="B1018" s="21">
        <v>45128</v>
      </c>
      <c r="C1018" s="6">
        <v>45079</v>
      </c>
      <c r="D1018" s="6">
        <v>45154</v>
      </c>
      <c r="E1018" s="6">
        <v>45158</v>
      </c>
      <c r="F1018" s="115">
        <v>25263</v>
      </c>
      <c r="G1018" s="8" t="s">
        <v>3699</v>
      </c>
      <c r="H1018" s="8" t="s">
        <v>2129</v>
      </c>
      <c r="I1018" s="8">
        <v>18037.650000000001</v>
      </c>
      <c r="J1018" s="8">
        <v>16235</v>
      </c>
      <c r="K1018" s="9">
        <f>Tabla156798[[#This Row],[CANTIDAD PUBLICA]]*0.05</f>
        <v>901.88250000000016</v>
      </c>
      <c r="L1018" s="10">
        <f>Tabla156798[[#This Row],[COMISION AGENCIA]]*0.05</f>
        <v>45.094125000000012</v>
      </c>
      <c r="M1018" s="7">
        <v>3481265992</v>
      </c>
      <c r="N1018" s="7">
        <v>10983023</v>
      </c>
      <c r="O1018" s="7" t="s">
        <v>5</v>
      </c>
      <c r="P1018" s="7"/>
    </row>
    <row r="1019" spans="1:16" x14ac:dyDescent="0.25">
      <c r="A1019" s="21">
        <f>Tabla156798[[#This Row],[FECHA IN]]-15</f>
        <v>45133</v>
      </c>
      <c r="B1019" s="21">
        <v>45129</v>
      </c>
      <c r="C1019" s="6">
        <v>44978</v>
      </c>
      <c r="D1019" s="6">
        <v>45148</v>
      </c>
      <c r="E1019" s="6">
        <v>45151</v>
      </c>
      <c r="F1019" s="115">
        <v>22798</v>
      </c>
      <c r="G1019" s="8" t="s">
        <v>2483</v>
      </c>
      <c r="H1019" s="8" t="s">
        <v>3700</v>
      </c>
      <c r="I1019" s="8">
        <v>10756.41</v>
      </c>
      <c r="J1019" s="8">
        <v>9360</v>
      </c>
      <c r="K1019" s="9">
        <f>Tabla156798[[#This Row],[CANTIDAD PUBLICA]]*0.05</f>
        <v>537.82050000000004</v>
      </c>
      <c r="L1019" s="10">
        <f>Tabla156798[[#This Row],[COMISION AGENCIA]]*0.05</f>
        <v>26.891025000000003</v>
      </c>
      <c r="M1019" s="7">
        <v>3481095616</v>
      </c>
      <c r="N1019" s="7" t="s">
        <v>3701</v>
      </c>
      <c r="O1019" s="7" t="s">
        <v>6</v>
      </c>
      <c r="P1019" s="7"/>
    </row>
    <row r="1020" spans="1:16" x14ac:dyDescent="0.25">
      <c r="A1020" s="21">
        <f>Tabla156798[[#This Row],[FECHA IN]]-15</f>
        <v>45136</v>
      </c>
      <c r="B1020" s="21">
        <v>45137</v>
      </c>
      <c r="C1020" s="6">
        <v>44827</v>
      </c>
      <c r="D1020" s="6">
        <v>45151</v>
      </c>
      <c r="E1020" s="6">
        <v>45155</v>
      </c>
      <c r="F1020" s="115"/>
      <c r="G1020" s="8" t="s">
        <v>3702</v>
      </c>
      <c r="H1020" s="8" t="s">
        <v>3703</v>
      </c>
      <c r="I1020" s="66"/>
      <c r="J1020" s="8"/>
      <c r="K1020" s="9"/>
      <c r="L1020" s="10"/>
      <c r="M1020" s="7">
        <v>3481033234</v>
      </c>
      <c r="N1020" s="7"/>
      <c r="O1020" s="7" t="s">
        <v>3704</v>
      </c>
      <c r="P1020" s="7"/>
    </row>
    <row r="1021" spans="1:16" x14ac:dyDescent="0.25">
      <c r="A1021" s="21">
        <f>Tabla156798[[#This Row],[FECHA IN]]-15</f>
        <v>45143</v>
      </c>
      <c r="B1021" s="21">
        <v>44945</v>
      </c>
      <c r="C1021" s="6">
        <v>44945</v>
      </c>
      <c r="D1021" s="6">
        <v>45158</v>
      </c>
      <c r="E1021" s="6">
        <v>45162</v>
      </c>
      <c r="F1021" s="115">
        <v>23256</v>
      </c>
      <c r="G1021" s="8" t="s">
        <v>3705</v>
      </c>
      <c r="H1021" s="8" t="s">
        <v>3706</v>
      </c>
      <c r="I1021" s="8"/>
      <c r="J1021" s="8"/>
      <c r="K1021" s="9">
        <f>Tabla156798[[#This Row],[CANTIDAD PUBLICA]]*0.05</f>
        <v>0</v>
      </c>
      <c r="L1021" s="10">
        <f>Tabla156798[[#This Row],[COMISION AGENCIA]]*0.05</f>
        <v>0</v>
      </c>
      <c r="M1021" s="7">
        <v>3481020013</v>
      </c>
      <c r="N1021" s="7"/>
      <c r="O1021" s="7" t="s">
        <v>3665</v>
      </c>
      <c r="P1021" s="7"/>
    </row>
    <row r="1022" spans="1:16" x14ac:dyDescent="0.25">
      <c r="A1022" s="21">
        <f>Tabla156798[[#This Row],[FECHA IN]]-22</f>
        <v>45143</v>
      </c>
      <c r="B1022" s="21">
        <v>45148</v>
      </c>
      <c r="C1022" s="6">
        <v>45082</v>
      </c>
      <c r="D1022" s="6">
        <v>45165</v>
      </c>
      <c r="E1022" s="6">
        <v>45169</v>
      </c>
      <c r="F1022" s="115">
        <v>25384</v>
      </c>
      <c r="G1022" s="8" t="s">
        <v>2917</v>
      </c>
      <c r="H1022" s="8" t="s">
        <v>2167</v>
      </c>
      <c r="I1022" s="8">
        <v>15439.41</v>
      </c>
      <c r="J1022" s="8">
        <v>13915</v>
      </c>
      <c r="K1022" s="9">
        <f>Tabla156798[[#This Row],[CANTIDAD PUBLICA]]*0.05</f>
        <v>771.97050000000002</v>
      </c>
      <c r="L1022" s="10">
        <f>Tabla156798[[#This Row],[COMISION AGENCIA]]*0.05</f>
        <v>38.598525000000002</v>
      </c>
      <c r="M1022" s="7">
        <v>3321720377</v>
      </c>
      <c r="N1022" s="7">
        <v>10992434</v>
      </c>
      <c r="O1022" s="7" t="s">
        <v>5</v>
      </c>
      <c r="P1022" s="7"/>
    </row>
    <row r="1023" spans="1:16" x14ac:dyDescent="0.25">
      <c r="A1023" s="21">
        <f>Tabla156798[[#This Row],[FECHA IN]]-15</f>
        <v>45150</v>
      </c>
      <c r="B1023" s="21">
        <v>44911</v>
      </c>
      <c r="C1023" s="6">
        <v>44908</v>
      </c>
      <c r="D1023" s="6">
        <v>45165</v>
      </c>
      <c r="E1023" s="6">
        <v>45169</v>
      </c>
      <c r="F1023" s="115" t="s">
        <v>3707</v>
      </c>
      <c r="G1023" s="8" t="s">
        <v>3708</v>
      </c>
      <c r="H1023" s="8" t="s">
        <v>3198</v>
      </c>
      <c r="I1023" s="8"/>
      <c r="J1023" s="8"/>
      <c r="K1023" s="9">
        <f>Tabla156798[[#This Row],[CANTIDAD PUBLICA]]*0.05</f>
        <v>0</v>
      </c>
      <c r="L1023" s="10">
        <f>Tabla156798[[#This Row],[COMISION AGENCIA]]*0.05</f>
        <v>0</v>
      </c>
      <c r="M1023" s="7">
        <v>4321100093</v>
      </c>
      <c r="N1023" s="7" t="s">
        <v>3709</v>
      </c>
      <c r="O1023" s="7" t="s">
        <v>2243</v>
      </c>
      <c r="P1023" s="7"/>
    </row>
    <row r="1024" spans="1:16" x14ac:dyDescent="0.25">
      <c r="A1024" s="21">
        <f>Tabla156798[[#This Row],[FECHA IN]]-22</f>
        <v>45150</v>
      </c>
      <c r="B1024" s="21">
        <v>45139</v>
      </c>
      <c r="C1024" s="6">
        <v>45024</v>
      </c>
      <c r="D1024" s="6">
        <v>45172</v>
      </c>
      <c r="E1024" s="6">
        <v>45177</v>
      </c>
      <c r="F1024" s="115">
        <v>24350</v>
      </c>
      <c r="G1024" s="8" t="s">
        <v>3710</v>
      </c>
      <c r="H1024" s="8" t="s">
        <v>2054</v>
      </c>
      <c r="I1024" s="8">
        <v>17171.59</v>
      </c>
      <c r="J1024" s="8">
        <v>14940</v>
      </c>
      <c r="K1024" s="9">
        <f>Tabla156798[[#This Row],[CANTIDAD PUBLICA]]*0.05</f>
        <v>858.57950000000005</v>
      </c>
      <c r="L1024" s="10">
        <f>Tabla156798[[#This Row],[COMISION AGENCIA]]*0.05</f>
        <v>42.928975000000008</v>
      </c>
      <c r="M1024" s="7">
        <v>3481094480</v>
      </c>
      <c r="N1024" s="7" t="s">
        <v>3711</v>
      </c>
      <c r="O1024" s="7" t="s">
        <v>6</v>
      </c>
      <c r="P1024" s="7"/>
    </row>
    <row r="1025" spans="1:16" x14ac:dyDescent="0.25">
      <c r="A1025" s="21">
        <f>Tabla156798[[#This Row],[FECHA IN]]-22</f>
        <v>45153</v>
      </c>
      <c r="B1025" s="21">
        <v>45155</v>
      </c>
      <c r="C1025" s="6">
        <v>45059</v>
      </c>
      <c r="D1025" s="6">
        <v>45175</v>
      </c>
      <c r="E1025" s="6">
        <v>45181</v>
      </c>
      <c r="F1025" s="115">
        <v>24893</v>
      </c>
      <c r="G1025" s="8" t="s">
        <v>3712</v>
      </c>
      <c r="H1025" s="8" t="s">
        <v>3713</v>
      </c>
      <c r="I1025" s="8">
        <v>9132.07</v>
      </c>
      <c r="J1025" s="8">
        <v>8220</v>
      </c>
      <c r="K1025" s="9">
        <f>Tabla156798[[#This Row],[CANTIDAD PUBLICA]]*0.05</f>
        <v>456.6035</v>
      </c>
      <c r="L1025" s="10">
        <f>Tabla156798[[#This Row],[COMISION AGENCIA]]*0.05</f>
        <v>22.830175000000001</v>
      </c>
      <c r="M1025" s="7">
        <v>3481301785</v>
      </c>
      <c r="N1025" s="7">
        <v>10893909</v>
      </c>
      <c r="O1025" s="7" t="s">
        <v>5</v>
      </c>
      <c r="P1025" s="7"/>
    </row>
    <row r="1026" spans="1:16" x14ac:dyDescent="0.25">
      <c r="A1026" s="21">
        <f>Tabla156798[[#This Row],[FECHA IN]]-15</f>
        <v>45157</v>
      </c>
      <c r="B1026" s="21">
        <v>44987</v>
      </c>
      <c r="C1026" s="6">
        <v>44980</v>
      </c>
      <c r="D1026" s="6">
        <v>45172</v>
      </c>
      <c r="E1026" s="6">
        <v>45175</v>
      </c>
      <c r="F1026" s="115"/>
      <c r="G1026" s="8" t="s">
        <v>3714</v>
      </c>
      <c r="H1026" s="8" t="s">
        <v>3715</v>
      </c>
      <c r="I1026" s="8"/>
      <c r="J1026" s="8"/>
      <c r="K1026" s="9">
        <f>Tabla156798[[#This Row],[CANTIDAD PUBLICA]]*0.05</f>
        <v>0</v>
      </c>
      <c r="L1026" s="10">
        <f>Tabla156798[[#This Row],[COMISION AGENCIA]]*0.05</f>
        <v>0</v>
      </c>
      <c r="M1026" s="7">
        <v>3481945703</v>
      </c>
      <c r="N1026" s="7"/>
      <c r="O1026" s="7" t="s">
        <v>3716</v>
      </c>
      <c r="P1026" s="7"/>
    </row>
    <row r="1027" spans="1:16" x14ac:dyDescent="0.25">
      <c r="A1027" s="21">
        <f>Tabla156798[[#This Row],[FECHA IN]]-22</f>
        <v>45157</v>
      </c>
      <c r="B1027" s="21">
        <v>45161</v>
      </c>
      <c r="C1027" s="6">
        <v>45080</v>
      </c>
      <c r="D1027" s="6">
        <v>45179</v>
      </c>
      <c r="E1027" s="6">
        <v>45183</v>
      </c>
      <c r="F1027" s="115">
        <v>25281</v>
      </c>
      <c r="G1027" s="8" t="s">
        <v>3717</v>
      </c>
      <c r="H1027" s="8" t="s">
        <v>2903</v>
      </c>
      <c r="I1027" s="8">
        <v>14034.33</v>
      </c>
      <c r="J1027" s="8">
        <v>12210</v>
      </c>
      <c r="K1027" s="9">
        <f>Tabla156798[[#This Row],[CANTIDAD PUBLICA]]*0.05</f>
        <v>701.7165</v>
      </c>
      <c r="L1027" s="10">
        <f>Tabla156798[[#This Row],[COMISION AGENCIA]]*0.05</f>
        <v>35.085825</v>
      </c>
      <c r="M1027" s="7">
        <v>3481942072</v>
      </c>
      <c r="N1027" s="7" t="s">
        <v>3718</v>
      </c>
      <c r="O1027" s="7" t="s">
        <v>6</v>
      </c>
      <c r="P1027" s="7"/>
    </row>
    <row r="1028" spans="1:16" x14ac:dyDescent="0.25">
      <c r="A1028" s="21">
        <f>Tabla156798[[#This Row],[FECHA IN]]-22</f>
        <v>45157</v>
      </c>
      <c r="B1028" s="21">
        <v>45161</v>
      </c>
      <c r="C1028" s="6">
        <v>45080</v>
      </c>
      <c r="D1028" s="6">
        <v>45179</v>
      </c>
      <c r="E1028" s="6">
        <v>45183</v>
      </c>
      <c r="F1028" s="115">
        <v>25283</v>
      </c>
      <c r="G1028" s="8" t="s">
        <v>3719</v>
      </c>
      <c r="H1028" s="8" t="s">
        <v>2903</v>
      </c>
      <c r="I1028" s="8">
        <v>14034.33</v>
      </c>
      <c r="J1028" s="8">
        <v>12210</v>
      </c>
      <c r="K1028" s="9">
        <f>Tabla156798[[#This Row],[CANTIDAD PUBLICA]]*0.05</f>
        <v>701.7165</v>
      </c>
      <c r="L1028" s="10">
        <f>Tabla156798[[#This Row],[COMISION AGENCIA]]*0.05</f>
        <v>35.085825</v>
      </c>
      <c r="M1028" s="7">
        <v>3481942072</v>
      </c>
      <c r="N1028" s="7" t="s">
        <v>3720</v>
      </c>
      <c r="O1028" s="7" t="s">
        <v>6</v>
      </c>
      <c r="P1028" s="7"/>
    </row>
    <row r="1029" spans="1:16" x14ac:dyDescent="0.25">
      <c r="A1029" s="21">
        <f>Tabla156798[[#This Row],[FECHA IN]]-22</f>
        <v>45157</v>
      </c>
      <c r="B1029" s="21">
        <v>45161</v>
      </c>
      <c r="C1029" s="6">
        <v>45080</v>
      </c>
      <c r="D1029" s="6">
        <v>45179</v>
      </c>
      <c r="E1029" s="6">
        <v>45183</v>
      </c>
      <c r="F1029" s="115">
        <v>25284</v>
      </c>
      <c r="G1029" s="8" t="s">
        <v>3721</v>
      </c>
      <c r="H1029" s="8" t="s">
        <v>2903</v>
      </c>
      <c r="I1029" s="8">
        <v>16140.32</v>
      </c>
      <c r="J1029" s="8">
        <v>14045</v>
      </c>
      <c r="K1029" s="9">
        <f>Tabla156798[[#This Row],[CANTIDAD PUBLICA]]*0.05</f>
        <v>807.01600000000008</v>
      </c>
      <c r="L1029" s="10">
        <f>Tabla156798[[#This Row],[COMISION AGENCIA]]*0.05</f>
        <v>40.350800000000007</v>
      </c>
      <c r="M1029" s="7">
        <v>3481942072</v>
      </c>
      <c r="N1029" s="7" t="s">
        <v>3722</v>
      </c>
      <c r="O1029" s="7" t="s">
        <v>6</v>
      </c>
      <c r="P1029" s="7"/>
    </row>
    <row r="1030" spans="1:16" x14ac:dyDescent="0.25">
      <c r="A1030" s="21">
        <f>Tabla156798[[#This Row],[FECHA IN]]-22</f>
        <v>45157</v>
      </c>
      <c r="B1030" s="21">
        <v>45161</v>
      </c>
      <c r="C1030" s="6">
        <v>45080</v>
      </c>
      <c r="D1030" s="6">
        <v>45179</v>
      </c>
      <c r="E1030" s="6">
        <v>45183</v>
      </c>
      <c r="F1030" s="115">
        <v>25282</v>
      </c>
      <c r="G1030" s="8" t="s">
        <v>3723</v>
      </c>
      <c r="H1030" s="8" t="s">
        <v>2903</v>
      </c>
      <c r="I1030" s="8">
        <v>14034.33</v>
      </c>
      <c r="J1030" s="8">
        <v>12210</v>
      </c>
      <c r="K1030" s="9">
        <f>Tabla156798[[#This Row],[CANTIDAD PUBLICA]]*0.05</f>
        <v>701.7165</v>
      </c>
      <c r="L1030" s="10">
        <f>Tabla156798[[#This Row],[COMISION AGENCIA]]*0.05</f>
        <v>35.085825</v>
      </c>
      <c r="M1030" s="7">
        <v>3481942072</v>
      </c>
      <c r="N1030" s="7" t="s">
        <v>3724</v>
      </c>
      <c r="O1030" s="7" t="s">
        <v>6</v>
      </c>
      <c r="P1030" s="7"/>
    </row>
    <row r="1031" spans="1:16" x14ac:dyDescent="0.25">
      <c r="A1031" s="21">
        <f>Tabla156798[[#This Row],[FECHA IN]]-15</f>
        <v>45160</v>
      </c>
      <c r="B1031" s="21">
        <v>45161</v>
      </c>
      <c r="C1031" s="6">
        <v>45006</v>
      </c>
      <c r="D1031" s="6">
        <v>45175</v>
      </c>
      <c r="E1031" s="6">
        <v>45181</v>
      </c>
      <c r="F1031" s="115"/>
      <c r="G1031" s="8" t="s">
        <v>2779</v>
      </c>
      <c r="H1031" s="8" t="s">
        <v>3713</v>
      </c>
      <c r="I1031" s="8">
        <v>9735.31</v>
      </c>
      <c r="J1031" s="8">
        <v>8760</v>
      </c>
      <c r="K1031" s="9">
        <f>Tabla156798[[#This Row],[CANTIDAD PUBLICA]]*0.05</f>
        <v>486.76549999999997</v>
      </c>
      <c r="L1031" s="10">
        <f>Tabla156798[[#This Row],[COMISION AGENCIA]]*0.05</f>
        <v>24.338274999999999</v>
      </c>
      <c r="M1031" s="7">
        <v>3481095095</v>
      </c>
      <c r="N1031" s="7">
        <v>10654679</v>
      </c>
      <c r="O1031" s="7" t="s">
        <v>5</v>
      </c>
      <c r="P1031" s="7"/>
    </row>
    <row r="1032" spans="1:16" x14ac:dyDescent="0.25">
      <c r="A1032" s="21">
        <f>Tabla156798[[#This Row],[FECHA IN]]-15</f>
        <v>45160</v>
      </c>
      <c r="B1032" s="21">
        <v>45161</v>
      </c>
      <c r="C1032" s="6">
        <v>45006</v>
      </c>
      <c r="D1032" s="6">
        <v>45175</v>
      </c>
      <c r="E1032" s="6">
        <v>45181</v>
      </c>
      <c r="F1032" s="115"/>
      <c r="G1032" s="8" t="s">
        <v>3725</v>
      </c>
      <c r="H1032" s="8" t="s">
        <v>3713</v>
      </c>
      <c r="I1032" s="8">
        <v>9735.31</v>
      </c>
      <c r="J1032" s="8">
        <v>8760</v>
      </c>
      <c r="K1032" s="9">
        <f>Tabla156798[[#This Row],[CANTIDAD PUBLICA]]*0.05</f>
        <v>486.76549999999997</v>
      </c>
      <c r="L1032" s="10">
        <f>Tabla156798[[#This Row],[COMISION AGENCIA]]*0.05</f>
        <v>24.338274999999999</v>
      </c>
      <c r="M1032" s="7">
        <v>3481095095</v>
      </c>
      <c r="N1032" s="7">
        <v>10654711</v>
      </c>
      <c r="O1032" s="7" t="s">
        <v>5</v>
      </c>
      <c r="P1032" s="7"/>
    </row>
    <row r="1033" spans="1:16" x14ac:dyDescent="0.25">
      <c r="A1033" s="21">
        <f>Tabla156798[[#This Row],[FECHA IN]]-15</f>
        <v>45160</v>
      </c>
      <c r="B1033" s="21">
        <v>45161</v>
      </c>
      <c r="C1033" s="6">
        <v>45006</v>
      </c>
      <c r="D1033" s="6">
        <v>45175</v>
      </c>
      <c r="E1033" s="6">
        <v>45181</v>
      </c>
      <c r="F1033" s="115"/>
      <c r="G1033" s="8" t="s">
        <v>3726</v>
      </c>
      <c r="H1033" s="8" t="s">
        <v>3713</v>
      </c>
      <c r="I1033" s="8">
        <v>9735.31</v>
      </c>
      <c r="J1033" s="8">
        <v>8760</v>
      </c>
      <c r="K1033" s="9">
        <f>Tabla156798[[#This Row],[CANTIDAD PUBLICA]]*0.05</f>
        <v>486.76549999999997</v>
      </c>
      <c r="L1033" s="10">
        <f>Tabla156798[[#This Row],[COMISION AGENCIA]]*0.05</f>
        <v>24.338274999999999</v>
      </c>
      <c r="M1033" s="7">
        <v>3481095095</v>
      </c>
      <c r="N1033" s="7">
        <v>10654696</v>
      </c>
      <c r="O1033" s="7" t="s">
        <v>5</v>
      </c>
      <c r="P1033" s="7"/>
    </row>
    <row r="1034" spans="1:16" x14ac:dyDescent="0.25">
      <c r="A1034" s="21">
        <f>Tabla156798[[#This Row],[FECHA IN]]-22</f>
        <v>45161</v>
      </c>
      <c r="B1034" s="21">
        <v>45166</v>
      </c>
      <c r="C1034" s="6">
        <v>45034</v>
      </c>
      <c r="D1034" s="6">
        <v>45183</v>
      </c>
      <c r="E1034" s="6">
        <v>45186</v>
      </c>
      <c r="F1034" s="115">
        <v>24514</v>
      </c>
      <c r="G1034" s="8" t="s">
        <v>3727</v>
      </c>
      <c r="H1034" s="8" t="s">
        <v>2597</v>
      </c>
      <c r="I1034" s="8">
        <v>11668.95</v>
      </c>
      <c r="J1034" s="8">
        <v>10155</v>
      </c>
      <c r="K1034" s="9">
        <f>Tabla156798[[#This Row],[CANTIDAD PUBLICA]]*0.05</f>
        <v>583.4475000000001</v>
      </c>
      <c r="L1034" s="10">
        <f>Tabla156798[[#This Row],[COMISION AGENCIA]]*0.05</f>
        <v>29.172375000000006</v>
      </c>
      <c r="M1034" s="7">
        <v>3481052685</v>
      </c>
      <c r="N1034" s="7" t="s">
        <v>3728</v>
      </c>
      <c r="O1034" s="7" t="s">
        <v>6</v>
      </c>
      <c r="P1034" s="7"/>
    </row>
    <row r="1035" spans="1:16" x14ac:dyDescent="0.25">
      <c r="A1035" s="21">
        <f>Tabla156798[[#This Row],[FECHA IN]]-22</f>
        <v>45161</v>
      </c>
      <c r="B1035" s="21">
        <v>45166</v>
      </c>
      <c r="C1035" s="18">
        <v>45034</v>
      </c>
      <c r="D1035" s="6">
        <v>45183</v>
      </c>
      <c r="E1035" s="6">
        <v>45186</v>
      </c>
      <c r="F1035" s="115">
        <v>24512</v>
      </c>
      <c r="G1035" s="8" t="s">
        <v>3729</v>
      </c>
      <c r="H1035" s="8" t="s">
        <v>2597</v>
      </c>
      <c r="I1035" s="8">
        <v>16756.509999999998</v>
      </c>
      <c r="J1035" s="8">
        <v>17990</v>
      </c>
      <c r="K1035" s="9">
        <f>(Tabla156798[[#This Row],[CANTIDAD PUBLICA]]*0.05)+3411</f>
        <v>4248.8254999999999</v>
      </c>
      <c r="L1035" s="10">
        <f>Tabla156798[[#This Row],[COMISION AGENCIA]]*0.05</f>
        <v>212.44127500000002</v>
      </c>
      <c r="M1035" s="7">
        <v>3481052685</v>
      </c>
      <c r="N1035" s="7" t="s">
        <v>3730</v>
      </c>
      <c r="O1035" s="7" t="s">
        <v>6</v>
      </c>
      <c r="P1035" s="7" t="s">
        <v>3731</v>
      </c>
    </row>
    <row r="1036" spans="1:16" x14ac:dyDescent="0.25">
      <c r="A1036" s="21">
        <f>Tabla156798[[#This Row],[FECHA IN]]-22</f>
        <v>45161</v>
      </c>
      <c r="B1036" s="21">
        <v>45166</v>
      </c>
      <c r="C1036" s="18">
        <v>45034</v>
      </c>
      <c r="D1036" s="6">
        <v>45183</v>
      </c>
      <c r="E1036" s="6">
        <v>45186</v>
      </c>
      <c r="F1036" s="115">
        <v>24513</v>
      </c>
      <c r="G1036" s="8" t="s">
        <v>3727</v>
      </c>
      <c r="H1036" s="8" t="s">
        <v>2597</v>
      </c>
      <c r="I1036" s="8">
        <v>11626.96</v>
      </c>
      <c r="J1036" s="8">
        <v>16870</v>
      </c>
      <c r="K1036" s="9">
        <f>(Tabla156798[[#This Row],[CANTIDAD PUBLICA]]*0.05)+6754</f>
        <v>7335.348</v>
      </c>
      <c r="L1036" s="10">
        <f>Tabla156798[[#This Row],[COMISION AGENCIA]]*0.05</f>
        <v>366.76740000000001</v>
      </c>
      <c r="M1036" s="7">
        <v>3481052685</v>
      </c>
      <c r="N1036" s="7" t="s">
        <v>3732</v>
      </c>
      <c r="O1036" s="7" t="s">
        <v>6</v>
      </c>
      <c r="P1036" s="7" t="s">
        <v>3733</v>
      </c>
    </row>
    <row r="1037" spans="1:16" x14ac:dyDescent="0.25">
      <c r="A1037" s="21">
        <f>Tabla156798[[#This Row],[FECHA IN]]-15</f>
        <v>45176</v>
      </c>
      <c r="B1037" s="21">
        <v>45180</v>
      </c>
      <c r="C1037" s="6">
        <v>44950</v>
      </c>
      <c r="D1037" s="6">
        <v>45191</v>
      </c>
      <c r="E1037" s="6">
        <v>45195</v>
      </c>
      <c r="F1037" s="115" t="s">
        <v>3734</v>
      </c>
      <c r="G1037" s="8" t="s">
        <v>3735</v>
      </c>
      <c r="H1037" s="8" t="s">
        <v>1505</v>
      </c>
      <c r="I1037" s="8">
        <v>16617.95</v>
      </c>
      <c r="J1037" s="8">
        <v>14460</v>
      </c>
      <c r="K1037" s="9">
        <f>Tabla156798[[#This Row],[CANTIDAD PUBLICA]]*0.05</f>
        <v>830.89750000000004</v>
      </c>
      <c r="L1037" s="10">
        <f>Tabla156798[[#This Row],[COMISION AGENCIA]]*0.05</f>
        <v>41.544875000000005</v>
      </c>
      <c r="M1037" s="7">
        <v>3481192302</v>
      </c>
      <c r="N1037" s="7" t="s">
        <v>3736</v>
      </c>
      <c r="O1037" s="7" t="s">
        <v>6</v>
      </c>
      <c r="P1037" s="7"/>
    </row>
    <row r="1038" spans="1:16" x14ac:dyDescent="0.25">
      <c r="A1038" s="21">
        <f>Tabla156798[[#This Row],[FECHA IN]]-15</f>
        <v>45176</v>
      </c>
      <c r="B1038" s="21">
        <v>45180</v>
      </c>
      <c r="C1038" s="6">
        <v>44950</v>
      </c>
      <c r="D1038" s="6">
        <v>45191</v>
      </c>
      <c r="E1038" s="6">
        <v>45195</v>
      </c>
      <c r="F1038" s="115" t="s">
        <v>3734</v>
      </c>
      <c r="G1038" s="8" t="s">
        <v>3737</v>
      </c>
      <c r="H1038" s="8" t="s">
        <v>1505</v>
      </c>
      <c r="I1038" s="8">
        <v>16617.95</v>
      </c>
      <c r="J1038" s="8">
        <v>14460</v>
      </c>
      <c r="K1038" s="9">
        <f>Tabla156798[[#This Row],[CANTIDAD PUBLICA]]*0.05</f>
        <v>830.89750000000004</v>
      </c>
      <c r="L1038" s="10">
        <f>Tabla156798[[#This Row],[COMISION AGENCIA]]*0.05</f>
        <v>41.544875000000005</v>
      </c>
      <c r="M1038" s="7">
        <v>3481192302</v>
      </c>
      <c r="N1038" s="7" t="s">
        <v>3738</v>
      </c>
      <c r="O1038" s="7" t="s">
        <v>6</v>
      </c>
      <c r="P1038" s="7"/>
    </row>
    <row r="1039" spans="1:16" x14ac:dyDescent="0.25">
      <c r="A1039" s="21">
        <f>Tabla156798[[#This Row],[FECHA IN]]-15</f>
        <v>45176</v>
      </c>
      <c r="B1039" s="21">
        <v>45180</v>
      </c>
      <c r="C1039" s="6">
        <v>44950</v>
      </c>
      <c r="D1039" s="6">
        <v>45191</v>
      </c>
      <c r="E1039" s="6">
        <v>45195</v>
      </c>
      <c r="F1039" s="115" t="s">
        <v>3734</v>
      </c>
      <c r="G1039" s="8" t="s">
        <v>3669</v>
      </c>
      <c r="H1039" s="8" t="s">
        <v>1505</v>
      </c>
      <c r="I1039" s="8">
        <v>16617.95</v>
      </c>
      <c r="J1039" s="8">
        <v>14460</v>
      </c>
      <c r="K1039" s="9">
        <f>Tabla156798[[#This Row],[CANTIDAD PUBLICA]]*0.05</f>
        <v>830.89750000000004</v>
      </c>
      <c r="L1039" s="10">
        <f>Tabla156798[[#This Row],[COMISION AGENCIA]]*0.05</f>
        <v>41.544875000000005</v>
      </c>
      <c r="M1039" s="7">
        <v>3481192302</v>
      </c>
      <c r="N1039" s="7" t="s">
        <v>3739</v>
      </c>
      <c r="O1039" s="7" t="s">
        <v>6</v>
      </c>
      <c r="P1039" s="7"/>
    </row>
    <row r="1040" spans="1:16" x14ac:dyDescent="0.25">
      <c r="A1040" s="94">
        <f>Tabla156798[[#This Row],[FECHA IN]]-15</f>
        <v>45176</v>
      </c>
      <c r="B1040" s="94">
        <v>45180</v>
      </c>
      <c r="C1040" s="94">
        <v>44950</v>
      </c>
      <c r="D1040" s="94">
        <v>45191</v>
      </c>
      <c r="E1040" s="94">
        <v>45195</v>
      </c>
      <c r="F1040" s="116" t="s">
        <v>3734</v>
      </c>
      <c r="G1040" s="22" t="s">
        <v>3740</v>
      </c>
      <c r="H1040" s="22" t="s">
        <v>1505</v>
      </c>
      <c r="I1040" s="22"/>
      <c r="J1040" s="22"/>
      <c r="K1040" s="95"/>
      <c r="L1040" s="96"/>
      <c r="M1040" s="54">
        <v>3481192302</v>
      </c>
      <c r="N1040" s="54" t="s">
        <v>3741</v>
      </c>
      <c r="O1040" s="54" t="s">
        <v>6</v>
      </c>
      <c r="P1040" s="54"/>
    </row>
    <row r="1041" spans="1:16" x14ac:dyDescent="0.25">
      <c r="A1041" s="21">
        <f>Tabla156798[[#This Row],[FECHA IN]]-15</f>
        <v>45176</v>
      </c>
      <c r="B1041" s="21">
        <v>45180</v>
      </c>
      <c r="C1041" s="6">
        <v>44950</v>
      </c>
      <c r="D1041" s="6">
        <v>45191</v>
      </c>
      <c r="E1041" s="6">
        <v>45195</v>
      </c>
      <c r="F1041" s="115" t="s">
        <v>3734</v>
      </c>
      <c r="G1041" s="8" t="s">
        <v>3742</v>
      </c>
      <c r="H1041" s="8" t="s">
        <v>1505</v>
      </c>
      <c r="I1041" s="8">
        <v>16617.95</v>
      </c>
      <c r="J1041" s="8">
        <v>14460</v>
      </c>
      <c r="K1041" s="9">
        <f>Tabla156798[[#This Row],[CANTIDAD PUBLICA]]*0.05</f>
        <v>830.89750000000004</v>
      </c>
      <c r="L1041" s="10">
        <f>Tabla156798[[#This Row],[COMISION AGENCIA]]*0.05</f>
        <v>41.544875000000005</v>
      </c>
      <c r="M1041" s="7">
        <v>3481192302</v>
      </c>
      <c r="N1041" s="7" t="s">
        <v>3743</v>
      </c>
      <c r="O1041" s="7" t="s">
        <v>6</v>
      </c>
      <c r="P1041" s="7"/>
    </row>
    <row r="1042" spans="1:16" x14ac:dyDescent="0.25">
      <c r="A1042" s="21">
        <f>Tabla156798[[#This Row],[FECHA IN]]-15</f>
        <v>45176</v>
      </c>
      <c r="B1042" s="21">
        <v>45180</v>
      </c>
      <c r="C1042" s="6">
        <v>44950</v>
      </c>
      <c r="D1042" s="6">
        <v>45191</v>
      </c>
      <c r="E1042" s="6">
        <v>45195</v>
      </c>
      <c r="F1042" s="115" t="s">
        <v>3734</v>
      </c>
      <c r="G1042" s="8" t="s">
        <v>3744</v>
      </c>
      <c r="H1042" s="8" t="s">
        <v>1505</v>
      </c>
      <c r="I1042" s="8">
        <v>19060</v>
      </c>
      <c r="J1042" s="8">
        <v>16590</v>
      </c>
      <c r="K1042" s="9">
        <f>Tabla156798[[#This Row],[CANTIDAD PUBLICA]]*0.05</f>
        <v>953</v>
      </c>
      <c r="L1042" s="10">
        <f>Tabla156798[[#This Row],[COMISION AGENCIA]]*0.05</f>
        <v>47.650000000000006</v>
      </c>
      <c r="M1042" s="7">
        <v>3481192302</v>
      </c>
      <c r="N1042" s="7" t="s">
        <v>3745</v>
      </c>
      <c r="O1042" s="7" t="s">
        <v>6</v>
      </c>
      <c r="P1042" s="7"/>
    </row>
    <row r="1043" spans="1:16" x14ac:dyDescent="0.25">
      <c r="A1043" s="21">
        <f>Tabla156798[[#This Row],[FECHA IN]]-15</f>
        <v>45176</v>
      </c>
      <c r="B1043" s="21">
        <v>45180</v>
      </c>
      <c r="C1043" s="6">
        <v>44950</v>
      </c>
      <c r="D1043" s="6">
        <v>45191</v>
      </c>
      <c r="E1043" s="6">
        <v>45195</v>
      </c>
      <c r="F1043" s="115" t="s">
        <v>3734</v>
      </c>
      <c r="G1043" s="8" t="s">
        <v>3396</v>
      </c>
      <c r="H1043" s="8" t="s">
        <v>1505</v>
      </c>
      <c r="I1043" s="8">
        <v>22849.68</v>
      </c>
      <c r="J1043" s="8">
        <v>22800</v>
      </c>
      <c r="K1043" s="9">
        <f>Tabla156798[[#This Row],[CANTIDAD PUBLICA]]*0.05</f>
        <v>1142.4840000000002</v>
      </c>
      <c r="L1043" s="10">
        <f>Tabla156798[[#This Row],[COMISION AGENCIA]]*0.05</f>
        <v>57.124200000000009</v>
      </c>
      <c r="M1043" s="7">
        <v>3481192302</v>
      </c>
      <c r="N1043" s="7" t="s">
        <v>3746</v>
      </c>
      <c r="O1043" s="7" t="s">
        <v>6</v>
      </c>
      <c r="P1043" s="7"/>
    </row>
    <row r="1044" spans="1:16" x14ac:dyDescent="0.25">
      <c r="A1044" s="21">
        <f>Tabla156798[[#This Row],[FECHA IN]]-15</f>
        <v>45178</v>
      </c>
      <c r="B1044" s="21">
        <v>44943</v>
      </c>
      <c r="C1044" s="6">
        <v>44942</v>
      </c>
      <c r="D1044" s="6">
        <v>45193</v>
      </c>
      <c r="E1044" s="6">
        <v>45197</v>
      </c>
      <c r="F1044" s="115">
        <v>23220</v>
      </c>
      <c r="G1044" s="8" t="s">
        <v>3747</v>
      </c>
      <c r="H1044" s="8" t="s">
        <v>3748</v>
      </c>
      <c r="I1044" s="8"/>
      <c r="J1044" s="8"/>
      <c r="K1044" s="9">
        <f>Tabla156798[[#This Row],[CANTIDAD PUBLICA]]*0.05</f>
        <v>0</v>
      </c>
      <c r="L1044" s="10">
        <f>Tabla156798[[#This Row],[COMISION AGENCIA]]*0.05</f>
        <v>0</v>
      </c>
      <c r="M1044" s="7">
        <v>3481947701</v>
      </c>
      <c r="N1044" s="7">
        <v>5795</v>
      </c>
      <c r="O1044" s="7" t="s">
        <v>3665</v>
      </c>
      <c r="P1044" s="7"/>
    </row>
    <row r="1045" spans="1:16" x14ac:dyDescent="0.25">
      <c r="A1045" s="21">
        <f>Tabla156798[[#This Row],[FECHA IN]]-15</f>
        <v>45179</v>
      </c>
      <c r="B1045" s="21">
        <v>45183</v>
      </c>
      <c r="C1045" s="6">
        <v>44943</v>
      </c>
      <c r="D1045" s="6">
        <v>45194</v>
      </c>
      <c r="E1045" s="6">
        <v>45198</v>
      </c>
      <c r="F1045" s="115">
        <v>23230</v>
      </c>
      <c r="G1045" s="8" t="s">
        <v>3749</v>
      </c>
      <c r="H1045" s="8" t="s">
        <v>2265</v>
      </c>
      <c r="I1045" s="8">
        <v>32428.5</v>
      </c>
      <c r="J1045" s="8">
        <v>28215</v>
      </c>
      <c r="K1045" s="9">
        <f>Tabla156798[[#This Row],[CANTIDAD PUBLICA]]*0.05</f>
        <v>1621.4250000000002</v>
      </c>
      <c r="L1045" s="10">
        <f>Tabla156798[[#This Row],[COMISION AGENCIA]]*0.05</f>
        <v>81.07125000000002</v>
      </c>
      <c r="M1045" s="7">
        <v>3481324523</v>
      </c>
      <c r="N1045" s="7" t="s">
        <v>3750</v>
      </c>
      <c r="O1045" s="7" t="s">
        <v>6</v>
      </c>
      <c r="P1045" s="7"/>
    </row>
    <row r="1046" spans="1:16" x14ac:dyDescent="0.25">
      <c r="A1046" s="21">
        <f>Tabla156798[[#This Row],[FECHA IN]]-15</f>
        <v>45179</v>
      </c>
      <c r="B1046" s="21">
        <v>45183</v>
      </c>
      <c r="C1046" s="6">
        <v>44943</v>
      </c>
      <c r="D1046" s="6">
        <v>45194</v>
      </c>
      <c r="E1046" s="6">
        <v>45198</v>
      </c>
      <c r="F1046" s="115">
        <v>23230</v>
      </c>
      <c r="G1046" s="8" t="s">
        <v>3751</v>
      </c>
      <c r="H1046" s="8" t="s">
        <v>2265</v>
      </c>
      <c r="I1046" s="8">
        <v>21619</v>
      </c>
      <c r="J1046" s="8">
        <v>18810</v>
      </c>
      <c r="K1046" s="9">
        <f>Tabla156798[[#This Row],[CANTIDAD PUBLICA]]*0.05</f>
        <v>1080.95</v>
      </c>
      <c r="L1046" s="10">
        <f>Tabla156798[[#This Row],[COMISION AGENCIA]]*0.05</f>
        <v>54.047500000000007</v>
      </c>
      <c r="M1046" s="7">
        <v>3481324523</v>
      </c>
      <c r="N1046" s="7" t="s">
        <v>3750</v>
      </c>
      <c r="O1046" s="7" t="s">
        <v>6</v>
      </c>
      <c r="P1046" s="7"/>
    </row>
    <row r="1047" spans="1:16" x14ac:dyDescent="0.25">
      <c r="A1047" s="21">
        <f>Tabla156798[[#This Row],[FECHA IN]]-15</f>
        <v>45179</v>
      </c>
      <c r="B1047" s="21">
        <v>45183</v>
      </c>
      <c r="C1047" s="6">
        <v>44943</v>
      </c>
      <c r="D1047" s="6">
        <v>45194</v>
      </c>
      <c r="E1047" s="6">
        <v>45198</v>
      </c>
      <c r="F1047" s="115">
        <v>23230</v>
      </c>
      <c r="G1047" s="8" t="s">
        <v>2316</v>
      </c>
      <c r="H1047" s="8" t="s">
        <v>2265</v>
      </c>
      <c r="I1047" s="8">
        <v>21619</v>
      </c>
      <c r="J1047" s="8">
        <v>18810</v>
      </c>
      <c r="K1047" s="9">
        <f>Tabla156798[[#This Row],[CANTIDAD PUBLICA]]*0.05</f>
        <v>1080.95</v>
      </c>
      <c r="L1047" s="10">
        <f>Tabla156798[[#This Row],[COMISION AGENCIA]]*0.05</f>
        <v>54.047500000000007</v>
      </c>
      <c r="M1047" s="7">
        <v>3481324523</v>
      </c>
      <c r="N1047" s="7" t="s">
        <v>3752</v>
      </c>
      <c r="O1047" s="7" t="s">
        <v>6</v>
      </c>
      <c r="P1047" s="7"/>
    </row>
    <row r="1048" spans="1:16" x14ac:dyDescent="0.25">
      <c r="A1048" s="21">
        <f>Tabla156798[[#This Row],[FECHA IN]]-15</f>
        <v>45179</v>
      </c>
      <c r="B1048" s="21">
        <v>45183</v>
      </c>
      <c r="C1048" s="6">
        <v>44943</v>
      </c>
      <c r="D1048" s="6">
        <v>45194</v>
      </c>
      <c r="E1048" s="6">
        <v>45198</v>
      </c>
      <c r="F1048" s="115">
        <v>23230</v>
      </c>
      <c r="G1048" s="8" t="s">
        <v>2318</v>
      </c>
      <c r="H1048" s="8" t="s">
        <v>2265</v>
      </c>
      <c r="I1048" s="8">
        <v>20000</v>
      </c>
      <c r="J1048" s="8">
        <v>17400</v>
      </c>
      <c r="K1048" s="9">
        <f>Tabla156798[[#This Row],[CANTIDAD PUBLICA]]*0.05</f>
        <v>1000</v>
      </c>
      <c r="L1048" s="10">
        <f>Tabla156798[[#This Row],[COMISION AGENCIA]]*0.05</f>
        <v>50</v>
      </c>
      <c r="M1048" s="7">
        <v>3481324523</v>
      </c>
      <c r="N1048" s="7" t="s">
        <v>3753</v>
      </c>
      <c r="O1048" s="7" t="s">
        <v>6</v>
      </c>
      <c r="P1048" s="7"/>
    </row>
    <row r="1049" spans="1:16" x14ac:dyDescent="0.25">
      <c r="A1049" s="21">
        <f>Tabla156798[[#This Row],[FECHA IN]]-15</f>
        <v>45179</v>
      </c>
      <c r="B1049" s="21">
        <v>45170</v>
      </c>
      <c r="C1049" s="6">
        <v>45004</v>
      </c>
      <c r="D1049" s="6">
        <v>45194</v>
      </c>
      <c r="E1049" s="6">
        <v>45198</v>
      </c>
      <c r="F1049" s="115">
        <v>24189</v>
      </c>
      <c r="G1049" s="8" t="s">
        <v>3754</v>
      </c>
      <c r="H1049" s="8" t="s">
        <v>1795</v>
      </c>
      <c r="I1049" s="8">
        <v>16574.46</v>
      </c>
      <c r="J1049" s="8">
        <v>14420</v>
      </c>
      <c r="K1049" s="9">
        <f>Tabla156798[[#This Row],[CANTIDAD PUBLICA]]*0.05</f>
        <v>828.72299999999996</v>
      </c>
      <c r="L1049" s="10">
        <f>Tabla156798[[#This Row],[COMISION AGENCIA]]*0.05</f>
        <v>41.436149999999998</v>
      </c>
      <c r="M1049" s="7">
        <v>3481461430</v>
      </c>
      <c r="N1049" s="7" t="s">
        <v>3755</v>
      </c>
      <c r="O1049" s="7" t="s">
        <v>6</v>
      </c>
      <c r="P1049" s="7"/>
    </row>
    <row r="1050" spans="1:16" x14ac:dyDescent="0.25">
      <c r="A1050" s="21">
        <f>Tabla156798[[#This Row],[FECHA IN]]-22</f>
        <v>45179</v>
      </c>
      <c r="B1050" s="21">
        <v>45184</v>
      </c>
      <c r="C1050" s="6">
        <v>45201</v>
      </c>
      <c r="D1050" s="6">
        <v>45201</v>
      </c>
      <c r="E1050" s="6">
        <v>45207</v>
      </c>
      <c r="F1050" s="115">
        <v>24315</v>
      </c>
      <c r="G1050" s="8" t="s">
        <v>3756</v>
      </c>
      <c r="H1050" s="8" t="s">
        <v>2167</v>
      </c>
      <c r="I1050" s="8">
        <v>22482.39</v>
      </c>
      <c r="J1050" s="8">
        <v>21490</v>
      </c>
      <c r="K1050" s="9">
        <f>Tabla156798[[#This Row],[CANTIDAD PUBLICA]]*0.05</f>
        <v>1124.1195</v>
      </c>
      <c r="L1050" s="10">
        <f>Tabla156798[[#This Row],[COMISION AGENCIA]]*0.05</f>
        <v>56.205975000000002</v>
      </c>
      <c r="M1050" s="7"/>
      <c r="N1050" s="7">
        <v>10725438</v>
      </c>
      <c r="O1050" s="7" t="s">
        <v>5</v>
      </c>
      <c r="P1050" s="7"/>
    </row>
    <row r="1051" spans="1:16" x14ac:dyDescent="0.25">
      <c r="A1051" s="21">
        <f>Tabla156798[[#This Row],[FECHA IN]]-22</f>
        <v>45181</v>
      </c>
      <c r="B1051" s="21">
        <v>45026</v>
      </c>
      <c r="C1051" s="6">
        <v>45028</v>
      </c>
      <c r="D1051" s="6">
        <v>45203</v>
      </c>
      <c r="E1051" s="6">
        <v>45024</v>
      </c>
      <c r="F1051" s="115">
        <v>24428</v>
      </c>
      <c r="G1051" s="8" t="s">
        <v>3757</v>
      </c>
      <c r="H1051" s="8" t="s">
        <v>3758</v>
      </c>
      <c r="I1051" s="8">
        <v>65011.43</v>
      </c>
      <c r="J1051" s="8">
        <v>56560</v>
      </c>
      <c r="K1051" s="9">
        <f>Tabla156798[[#This Row],[CANTIDAD PUBLICA]]*0.05</f>
        <v>3250.5715</v>
      </c>
      <c r="L1051" s="10">
        <f>Tabla156798[[#This Row],[COMISION AGENCIA]]*0.05</f>
        <v>162.52857500000002</v>
      </c>
      <c r="M1051" s="7">
        <v>3481053859</v>
      </c>
      <c r="N1051" s="7" t="s">
        <v>3759</v>
      </c>
      <c r="O1051" s="7" t="s">
        <v>6</v>
      </c>
      <c r="P1051" s="7"/>
    </row>
    <row r="1052" spans="1:16" x14ac:dyDescent="0.25">
      <c r="A1052" s="21">
        <f>Tabla156798[[#This Row],[FECHA IN]]-22</f>
        <v>45181</v>
      </c>
      <c r="B1052" s="21">
        <v>45026</v>
      </c>
      <c r="C1052" s="6">
        <v>45028</v>
      </c>
      <c r="D1052" s="6">
        <v>45203</v>
      </c>
      <c r="E1052" s="6">
        <v>45024</v>
      </c>
      <c r="F1052" s="115">
        <v>24428</v>
      </c>
      <c r="G1052" s="8" t="s">
        <v>3760</v>
      </c>
      <c r="H1052" s="8" t="s">
        <v>3758</v>
      </c>
      <c r="I1052" s="8">
        <v>49365.71</v>
      </c>
      <c r="J1052" s="8">
        <v>56560</v>
      </c>
      <c r="K1052" s="9">
        <f>Tabla156798[[#This Row],[CANTIDAD PUBLICA]]*0.05</f>
        <v>2468.2855</v>
      </c>
      <c r="L1052" s="10">
        <f>Tabla156798[[#This Row],[COMISION AGENCIA]]*0.05</f>
        <v>123.414275</v>
      </c>
      <c r="M1052" s="7">
        <v>3481053859</v>
      </c>
      <c r="N1052" s="7" t="s">
        <v>3761</v>
      </c>
      <c r="O1052" s="7" t="s">
        <v>6</v>
      </c>
      <c r="P1052" s="7"/>
    </row>
    <row r="1053" spans="1:16" x14ac:dyDescent="0.25">
      <c r="A1053" s="14">
        <f>Tabla156798[[#This Row],[FECHA IN]]-22</f>
        <v>45182</v>
      </c>
      <c r="B1053" s="14">
        <v>45189</v>
      </c>
      <c r="C1053" s="6">
        <v>45040</v>
      </c>
      <c r="D1053" s="6">
        <v>45204</v>
      </c>
      <c r="E1053" s="6">
        <v>45207</v>
      </c>
      <c r="F1053" s="115">
        <v>24685</v>
      </c>
      <c r="G1053" s="8" t="s">
        <v>3762</v>
      </c>
      <c r="H1053" s="8" t="s">
        <v>1773</v>
      </c>
      <c r="I1053" s="8">
        <v>22707.200000000001</v>
      </c>
      <c r="J1053" s="8">
        <v>20440</v>
      </c>
      <c r="K1053" s="9">
        <f>Tabla156798[[#This Row],[CANTIDAD PUBLICA]]*0.05</f>
        <v>1135.3600000000001</v>
      </c>
      <c r="L1053" s="10">
        <f>Tabla156798[[#This Row],[COMISION AGENCIA]]*0.05</f>
        <v>56.768000000000008</v>
      </c>
      <c r="M1053" s="7">
        <v>3481027507</v>
      </c>
      <c r="N1053" s="7">
        <v>10810782</v>
      </c>
      <c r="O1053" s="7" t="s">
        <v>5</v>
      </c>
      <c r="P1053" s="7"/>
    </row>
    <row r="1054" spans="1:16" x14ac:dyDescent="0.25">
      <c r="A1054" s="21">
        <f>Tabla156798[[#This Row],[FECHA IN]]-15</f>
        <v>45185</v>
      </c>
      <c r="B1054" s="21">
        <v>45184</v>
      </c>
      <c r="C1054" s="6">
        <v>44879</v>
      </c>
      <c r="D1054" s="6">
        <v>45200</v>
      </c>
      <c r="E1054" s="6">
        <v>41552</v>
      </c>
      <c r="F1054" s="115"/>
      <c r="G1054" s="8" t="s">
        <v>3763</v>
      </c>
      <c r="H1054" s="8" t="s">
        <v>3764</v>
      </c>
      <c r="I1054" s="66"/>
      <c r="J1054" s="8"/>
      <c r="K1054" s="9"/>
      <c r="L1054" s="10"/>
      <c r="M1054" s="7">
        <v>3481031604</v>
      </c>
      <c r="N1054" s="7"/>
      <c r="O1054" s="7" t="s">
        <v>3665</v>
      </c>
      <c r="P1054" s="7"/>
    </row>
    <row r="1055" spans="1:16" x14ac:dyDescent="0.25">
      <c r="A1055" s="21">
        <f>Tabla156798[[#This Row],[FECHA IN]]-15</f>
        <v>45186</v>
      </c>
      <c r="B1055" s="21">
        <v>45186</v>
      </c>
      <c r="C1055" s="6">
        <v>44940</v>
      </c>
      <c r="D1055" s="6">
        <v>45201</v>
      </c>
      <c r="E1055" s="6">
        <v>45207</v>
      </c>
      <c r="F1055" s="115">
        <v>23233</v>
      </c>
      <c r="G1055" s="8" t="s">
        <v>3765</v>
      </c>
      <c r="H1055" s="8" t="s">
        <v>2167</v>
      </c>
      <c r="I1055" s="8">
        <v>23179.08</v>
      </c>
      <c r="J1055" s="8">
        <v>20865</v>
      </c>
      <c r="K1055" s="9">
        <f>Tabla156798[[#This Row],[CANTIDAD PUBLICA]]*0.05</f>
        <v>1158.9540000000002</v>
      </c>
      <c r="L1055" s="10">
        <f>Tabla156798[[#This Row],[COMISION AGENCIA]]*0.05</f>
        <v>57.947700000000012</v>
      </c>
      <c r="M1055" s="7">
        <v>3481090547</v>
      </c>
      <c r="N1055" s="7">
        <v>10309626</v>
      </c>
      <c r="O1055" s="7" t="s">
        <v>5</v>
      </c>
      <c r="P1055" s="7"/>
    </row>
    <row r="1056" spans="1:16" x14ac:dyDescent="0.25">
      <c r="A1056" s="21">
        <f>Tabla156798[[#This Row],[FECHA IN]]-15</f>
        <v>45186</v>
      </c>
      <c r="B1056" s="21">
        <v>45176</v>
      </c>
      <c r="C1056" s="6">
        <v>44986</v>
      </c>
      <c r="D1056" s="6">
        <v>45201</v>
      </c>
      <c r="E1056" s="6">
        <v>45207</v>
      </c>
      <c r="F1056" s="115"/>
      <c r="G1056" s="8" t="s">
        <v>3766</v>
      </c>
      <c r="H1056" s="8" t="s">
        <v>2167</v>
      </c>
      <c r="I1056" s="8">
        <v>32678.04</v>
      </c>
      <c r="J1056" s="8">
        <v>28430</v>
      </c>
      <c r="K1056" s="9">
        <f>Tabla156798[[#This Row],[CANTIDAD PUBLICA]]*0.05</f>
        <v>1633.902</v>
      </c>
      <c r="L1056" s="10">
        <f>Tabla156798[[#This Row],[COMISION AGENCIA]]*0.05</f>
        <v>81.695100000000011</v>
      </c>
      <c r="M1056" s="7">
        <v>3481091998</v>
      </c>
      <c r="N1056" s="7" t="s">
        <v>3767</v>
      </c>
      <c r="O1056" s="7" t="s">
        <v>6</v>
      </c>
      <c r="P1056" s="7"/>
    </row>
    <row r="1057" spans="1:16" x14ac:dyDescent="0.25">
      <c r="A1057" s="21">
        <f>Tabla156798[[#This Row],[FECHA IN]]-15</f>
        <v>45186</v>
      </c>
      <c r="B1057" s="21">
        <v>45176</v>
      </c>
      <c r="C1057" s="6">
        <v>44986</v>
      </c>
      <c r="D1057" s="6">
        <v>45201</v>
      </c>
      <c r="E1057" s="6">
        <v>45207</v>
      </c>
      <c r="F1057" s="115"/>
      <c r="G1057" s="8" t="s">
        <v>3765</v>
      </c>
      <c r="H1057" s="8" t="s">
        <v>2167</v>
      </c>
      <c r="I1057" s="8">
        <v>23179.08</v>
      </c>
      <c r="J1057" s="8">
        <v>20865</v>
      </c>
      <c r="K1057" s="9">
        <f>Tabla156798[[#This Row],[CANTIDAD PUBLICA]]*0.05</f>
        <v>1158.9540000000002</v>
      </c>
      <c r="L1057" s="10">
        <f>Tabla156798[[#This Row],[COMISION AGENCIA]]*0.05</f>
        <v>57.947700000000012</v>
      </c>
      <c r="M1057" s="7">
        <v>3481091998</v>
      </c>
      <c r="N1057" s="7">
        <v>10309626</v>
      </c>
      <c r="O1057" s="7" t="s">
        <v>5</v>
      </c>
      <c r="P1057" s="7"/>
    </row>
    <row r="1058" spans="1:16" x14ac:dyDescent="0.25">
      <c r="A1058" s="21">
        <f>Tabla156798[[#This Row],[FECHA IN]]-22</f>
        <v>45186</v>
      </c>
      <c r="B1058" s="21">
        <v>45190</v>
      </c>
      <c r="C1058" s="18">
        <v>45063</v>
      </c>
      <c r="D1058" s="6">
        <v>45208</v>
      </c>
      <c r="E1058" s="6">
        <v>45211</v>
      </c>
      <c r="F1058" s="115">
        <v>25113</v>
      </c>
      <c r="G1058" s="8" t="s">
        <v>3768</v>
      </c>
      <c r="H1058" s="8" t="s">
        <v>3769</v>
      </c>
      <c r="I1058" s="8">
        <v>43435.86</v>
      </c>
      <c r="J1058" s="8">
        <v>42145</v>
      </c>
      <c r="K1058" s="9">
        <f>(Tabla156798[[#This Row],[CANTIDAD PUBLICA]]*0.05)+4355</f>
        <v>6526.7929999999997</v>
      </c>
      <c r="L1058" s="10">
        <f>Tabla156798[[#This Row],[COMISION AGENCIA]]*0.05</f>
        <v>326.33965000000001</v>
      </c>
      <c r="M1058" s="7">
        <v>3481140520</v>
      </c>
      <c r="N1058" s="7" t="s">
        <v>3770</v>
      </c>
      <c r="O1058" s="7" t="s">
        <v>6</v>
      </c>
      <c r="P1058" s="7"/>
    </row>
    <row r="1059" spans="1:16" x14ac:dyDescent="0.25">
      <c r="A1059" s="21">
        <f>Tabla156798[[#This Row],[FECHA IN]]-22</f>
        <v>45186</v>
      </c>
      <c r="B1059" s="21">
        <v>45190</v>
      </c>
      <c r="C1059" s="6">
        <v>45063</v>
      </c>
      <c r="D1059" s="6">
        <v>45208</v>
      </c>
      <c r="E1059" s="6"/>
      <c r="F1059" s="115">
        <v>25113</v>
      </c>
      <c r="G1059" s="8" t="s">
        <v>3768</v>
      </c>
      <c r="H1059" s="8" t="s">
        <v>3771</v>
      </c>
      <c r="I1059" s="8"/>
      <c r="J1059" s="8">
        <v>410</v>
      </c>
      <c r="K1059" s="9">
        <f>Tabla156798[[#This Row],[CANTIDAD PUBLICA]]*0.05</f>
        <v>0</v>
      </c>
      <c r="L1059" s="10">
        <f>Tabla156798[[#This Row],[COMISION AGENCIA]]*0.05</f>
        <v>0</v>
      </c>
      <c r="M1059" s="7">
        <v>3481140520</v>
      </c>
      <c r="N1059" s="7"/>
      <c r="O1059" s="7"/>
      <c r="P1059" s="7"/>
    </row>
    <row r="1060" spans="1:16" x14ac:dyDescent="0.25">
      <c r="A1060" s="21">
        <f>Tabla156798[[#This Row],[FECHA IN]]-22</f>
        <v>45186</v>
      </c>
      <c r="B1060" s="21">
        <v>45191</v>
      </c>
      <c r="C1060" s="6">
        <v>45103</v>
      </c>
      <c r="D1060" s="6">
        <v>45208</v>
      </c>
      <c r="E1060" s="6">
        <v>45211</v>
      </c>
      <c r="F1060" s="115">
        <v>25696</v>
      </c>
      <c r="G1060" s="8" t="s">
        <v>3772</v>
      </c>
      <c r="H1060" s="8" t="s">
        <v>1773</v>
      </c>
      <c r="I1060" s="8">
        <v>10929.64</v>
      </c>
      <c r="J1060" s="8">
        <v>9850</v>
      </c>
      <c r="K1060" s="9">
        <f>Tabla156798[[#This Row],[CANTIDAD PUBLICA]]*0.05</f>
        <v>546.48199999999997</v>
      </c>
      <c r="L1060" s="10">
        <f>Tabla156798[[#This Row],[COMISION AGENCIA]]*0.05</f>
        <v>27.324100000000001</v>
      </c>
      <c r="M1060" s="7">
        <v>3481212551</v>
      </c>
      <c r="N1060" s="7">
        <v>11081689</v>
      </c>
      <c r="O1060" s="7" t="s">
        <v>5</v>
      </c>
      <c r="P1060" s="7"/>
    </row>
    <row r="1061" spans="1:16" x14ac:dyDescent="0.25">
      <c r="A1061" s="21">
        <f>Tabla156798[[#This Row],[FECHA IN]]-22</f>
        <v>45186</v>
      </c>
      <c r="B1061" s="21">
        <v>45191</v>
      </c>
      <c r="C1061" s="6">
        <v>45103</v>
      </c>
      <c r="D1061" s="6">
        <v>45208</v>
      </c>
      <c r="E1061" s="6">
        <v>45211</v>
      </c>
      <c r="F1061" s="115">
        <v>25696</v>
      </c>
      <c r="G1061" s="8" t="s">
        <v>3773</v>
      </c>
      <c r="H1061" s="8" t="s">
        <v>1773</v>
      </c>
      <c r="I1061" s="8">
        <v>15576.91</v>
      </c>
      <c r="J1061" s="8">
        <v>14020</v>
      </c>
      <c r="K1061" s="9">
        <f>Tabla156798[[#This Row],[CANTIDAD PUBLICA]]*0.05</f>
        <v>778.84550000000002</v>
      </c>
      <c r="L1061" s="10">
        <f>Tabla156798[[#This Row],[COMISION AGENCIA]]*0.05</f>
        <v>38.942275000000002</v>
      </c>
      <c r="M1061" s="7">
        <v>3481212551</v>
      </c>
      <c r="N1061" s="7">
        <v>11082715</v>
      </c>
      <c r="O1061" s="7" t="s">
        <v>5</v>
      </c>
      <c r="P1061" s="7"/>
    </row>
    <row r="1062" spans="1:16" x14ac:dyDescent="0.25">
      <c r="A1062" s="21">
        <f>Tabla156798[[#This Row],[FECHA IN]]-15</f>
        <v>45187</v>
      </c>
      <c r="B1062" s="21">
        <v>45182</v>
      </c>
      <c r="C1062" s="6">
        <v>44993</v>
      </c>
      <c r="D1062" s="6">
        <v>45202</v>
      </c>
      <c r="E1062" s="6">
        <v>45207</v>
      </c>
      <c r="F1062" s="115">
        <v>23896</v>
      </c>
      <c r="G1062" s="8" t="s">
        <v>3774</v>
      </c>
      <c r="H1062" s="8" t="s">
        <v>3775</v>
      </c>
      <c r="I1062" s="8">
        <v>28250.81</v>
      </c>
      <c r="J1062" s="8">
        <v>24580</v>
      </c>
      <c r="K1062" s="9">
        <f>Tabla156798[[#This Row],[CANTIDAD PUBLICA]]*0.05</f>
        <v>1412.5405000000001</v>
      </c>
      <c r="L1062" s="10">
        <f>Tabla156798[[#This Row],[COMISION AGENCIA]]*0.05</f>
        <v>70.627025000000003</v>
      </c>
      <c r="M1062" s="7">
        <v>3481052694</v>
      </c>
      <c r="N1062" s="7" t="s">
        <v>3776</v>
      </c>
      <c r="O1062" s="7" t="s">
        <v>6</v>
      </c>
      <c r="P1062" s="7"/>
    </row>
    <row r="1063" spans="1:16" x14ac:dyDescent="0.25">
      <c r="A1063" s="21">
        <f>Tabla156798[[#This Row],[FECHA IN]]-15</f>
        <v>45187</v>
      </c>
      <c r="B1063" s="21">
        <v>45182</v>
      </c>
      <c r="C1063" s="6">
        <v>44993</v>
      </c>
      <c r="D1063" s="6">
        <v>45202</v>
      </c>
      <c r="E1063" s="6">
        <v>45207</v>
      </c>
      <c r="F1063" s="115">
        <v>23896</v>
      </c>
      <c r="G1063" s="8" t="s">
        <v>3777</v>
      </c>
      <c r="H1063" s="8" t="s">
        <v>3775</v>
      </c>
      <c r="I1063" s="8">
        <v>28250.81</v>
      </c>
      <c r="J1063" s="8">
        <v>24580</v>
      </c>
      <c r="K1063" s="9">
        <f>Tabla156798[[#This Row],[CANTIDAD PUBLICA]]*0.05</f>
        <v>1412.5405000000001</v>
      </c>
      <c r="L1063" s="10">
        <f>Tabla156798[[#This Row],[COMISION AGENCIA]]*0.05</f>
        <v>70.627025000000003</v>
      </c>
      <c r="M1063" s="7">
        <v>3481052694</v>
      </c>
      <c r="N1063" s="7" t="s">
        <v>3778</v>
      </c>
      <c r="O1063" s="7" t="s">
        <v>6</v>
      </c>
      <c r="P1063" s="7"/>
    </row>
    <row r="1064" spans="1:16" x14ac:dyDescent="0.25">
      <c r="A1064" s="14">
        <f>Tabla156798[[#This Row],[FECHA IN]]-15</f>
        <v>45189</v>
      </c>
      <c r="B1064" s="14">
        <v>45187</v>
      </c>
      <c r="C1064" s="6">
        <v>45009</v>
      </c>
      <c r="D1064" s="6">
        <v>45204</v>
      </c>
      <c r="E1064" s="6">
        <v>45207</v>
      </c>
      <c r="F1064" s="115">
        <v>24201</v>
      </c>
      <c r="G1064" s="8" t="s">
        <v>3779</v>
      </c>
      <c r="H1064" s="8" t="s">
        <v>1773</v>
      </c>
      <c r="I1064" s="8">
        <v>11164.92</v>
      </c>
      <c r="J1064" s="8">
        <v>10050</v>
      </c>
      <c r="K1064" s="9">
        <f>Tabla156798[[#This Row],[CANTIDAD PUBLICA]]*0.05</f>
        <v>558.24599999999998</v>
      </c>
      <c r="L1064" s="10">
        <f>Tabla156798[[#This Row],[COMISION AGENCIA]]*0.05</f>
        <v>27.912300000000002</v>
      </c>
      <c r="M1064" s="7">
        <v>3481027507</v>
      </c>
      <c r="N1064" s="7">
        <v>10675421</v>
      </c>
      <c r="O1064" s="7" t="s">
        <v>5</v>
      </c>
      <c r="P1064" s="7"/>
    </row>
    <row r="1065" spans="1:16" x14ac:dyDescent="0.25">
      <c r="A1065" s="14">
        <f>Tabla156798[[#This Row],[FECHA IN]]-15</f>
        <v>45189</v>
      </c>
      <c r="B1065" s="14">
        <v>45187</v>
      </c>
      <c r="C1065" s="6">
        <v>45009</v>
      </c>
      <c r="D1065" s="6">
        <v>45204</v>
      </c>
      <c r="E1065" s="6">
        <v>45207</v>
      </c>
      <c r="F1065" s="115">
        <v>24201</v>
      </c>
      <c r="G1065" s="8" t="s">
        <v>3780</v>
      </c>
      <c r="H1065" s="8" t="s">
        <v>1773</v>
      </c>
      <c r="I1065" s="8">
        <v>11164.92</v>
      </c>
      <c r="J1065" s="8">
        <v>10050</v>
      </c>
      <c r="K1065" s="9">
        <f>Tabla156798[[#This Row],[CANTIDAD PUBLICA]]*0.05</f>
        <v>558.24599999999998</v>
      </c>
      <c r="L1065" s="10">
        <f>Tabla156798[[#This Row],[COMISION AGENCIA]]*0.05</f>
        <v>27.912300000000002</v>
      </c>
      <c r="M1065" s="7">
        <v>3481027507</v>
      </c>
      <c r="N1065" s="7">
        <v>10675443</v>
      </c>
      <c r="O1065" s="7" t="s">
        <v>5</v>
      </c>
      <c r="P1065" s="7"/>
    </row>
    <row r="1066" spans="1:16" x14ac:dyDescent="0.25">
      <c r="A1066" s="14">
        <f>Tabla156798[[#This Row],[FECHA IN]]-15</f>
        <v>45189</v>
      </c>
      <c r="B1066" s="14">
        <v>45187</v>
      </c>
      <c r="C1066" s="6">
        <v>45009</v>
      </c>
      <c r="D1066" s="6">
        <v>45204</v>
      </c>
      <c r="E1066" s="6">
        <v>45207</v>
      </c>
      <c r="F1066" s="115">
        <v>24201</v>
      </c>
      <c r="G1066" s="8" t="s">
        <v>3781</v>
      </c>
      <c r="H1066" s="8" t="s">
        <v>1773</v>
      </c>
      <c r="I1066" s="8">
        <v>11164.92</v>
      </c>
      <c r="J1066" s="8">
        <v>10050</v>
      </c>
      <c r="K1066" s="9">
        <f>Tabla156798[[#This Row],[CANTIDAD PUBLICA]]*0.05</f>
        <v>558.24599999999998</v>
      </c>
      <c r="L1066" s="10">
        <f>Tabla156798[[#This Row],[COMISION AGENCIA]]*0.05</f>
        <v>27.912300000000002</v>
      </c>
      <c r="M1066" s="7">
        <v>3481027507</v>
      </c>
      <c r="N1066" s="7">
        <v>10675436</v>
      </c>
      <c r="O1066" s="7" t="s">
        <v>5</v>
      </c>
      <c r="P1066" s="7"/>
    </row>
    <row r="1067" spans="1:16" x14ac:dyDescent="0.25">
      <c r="A1067" s="14">
        <f>Tabla156798[[#This Row],[FECHA IN]]-15</f>
        <v>45189</v>
      </c>
      <c r="B1067" s="14">
        <v>45187</v>
      </c>
      <c r="C1067" s="6">
        <v>45009</v>
      </c>
      <c r="D1067" s="6">
        <v>45204</v>
      </c>
      <c r="E1067" s="6">
        <v>45207</v>
      </c>
      <c r="F1067" s="115">
        <v>24201</v>
      </c>
      <c r="G1067" s="8" t="s">
        <v>3782</v>
      </c>
      <c r="H1067" s="8" t="s">
        <v>1773</v>
      </c>
      <c r="I1067" s="8">
        <v>11164.92</v>
      </c>
      <c r="J1067" s="8">
        <v>10050</v>
      </c>
      <c r="K1067" s="9">
        <f>Tabla156798[[#This Row],[CANTIDAD PUBLICA]]*0.05</f>
        <v>558.24599999999998</v>
      </c>
      <c r="L1067" s="10">
        <f>Tabla156798[[#This Row],[COMISION AGENCIA]]*0.05</f>
        <v>27.912300000000002</v>
      </c>
      <c r="M1067" s="7">
        <v>3481027507</v>
      </c>
      <c r="N1067" s="7">
        <v>10675450</v>
      </c>
      <c r="O1067" s="7" t="s">
        <v>5</v>
      </c>
      <c r="P1067" s="7"/>
    </row>
    <row r="1068" spans="1:16" x14ac:dyDescent="0.25">
      <c r="A1068" s="14">
        <f>Tabla156798[[#This Row],[FECHA IN]]-15</f>
        <v>45189</v>
      </c>
      <c r="B1068" s="14">
        <v>45187</v>
      </c>
      <c r="C1068" s="6">
        <v>45009</v>
      </c>
      <c r="D1068" s="6">
        <v>45204</v>
      </c>
      <c r="E1068" s="6">
        <v>45207</v>
      </c>
      <c r="F1068" s="115">
        <v>24201</v>
      </c>
      <c r="G1068" s="8" t="s">
        <v>3783</v>
      </c>
      <c r="H1068" s="8" t="s">
        <v>1773</v>
      </c>
      <c r="I1068" s="8">
        <v>13995.79</v>
      </c>
      <c r="J1068" s="8">
        <v>12600</v>
      </c>
      <c r="K1068" s="9">
        <f>Tabla156798[[#This Row],[CANTIDAD PUBLICA]]*0.05</f>
        <v>699.78950000000009</v>
      </c>
      <c r="L1068" s="10">
        <f>Tabla156798[[#This Row],[COMISION AGENCIA]]*0.05</f>
        <v>34.989475000000006</v>
      </c>
      <c r="M1068" s="7">
        <v>3481027507</v>
      </c>
      <c r="N1068" s="7">
        <v>10675455</v>
      </c>
      <c r="O1068" s="7" t="s">
        <v>5</v>
      </c>
      <c r="P1068" s="7"/>
    </row>
    <row r="1069" spans="1:16" x14ac:dyDescent="0.25">
      <c r="A1069" s="21">
        <f>Tabla156798[[#This Row],[FECHA IN]]-22</f>
        <v>45189</v>
      </c>
      <c r="B1069" s="21">
        <v>45190</v>
      </c>
      <c r="C1069" s="6">
        <v>45063</v>
      </c>
      <c r="D1069" s="6">
        <v>45211</v>
      </c>
      <c r="E1069" s="6">
        <v>45215</v>
      </c>
      <c r="F1069" s="115">
        <v>25113</v>
      </c>
      <c r="G1069" s="8" t="s">
        <v>3768</v>
      </c>
      <c r="H1069" s="8" t="s">
        <v>3784</v>
      </c>
      <c r="I1069" s="8">
        <v>37093.199999999997</v>
      </c>
      <c r="J1069" s="8">
        <v>32275</v>
      </c>
      <c r="K1069" s="9">
        <f>Tabla156798[[#This Row],[CANTIDAD PUBLICA]]*0.05</f>
        <v>1854.6599999999999</v>
      </c>
      <c r="L1069" s="10">
        <f>Tabla156798[[#This Row],[COMISION AGENCIA]]*0.05</f>
        <v>92.733000000000004</v>
      </c>
      <c r="M1069" s="7">
        <v>3481140520</v>
      </c>
      <c r="N1069" s="7" t="s">
        <v>3785</v>
      </c>
      <c r="O1069" s="7" t="s">
        <v>6</v>
      </c>
      <c r="P1069" s="7"/>
    </row>
    <row r="1070" spans="1:16" x14ac:dyDescent="0.25">
      <c r="A1070" s="21">
        <f>Tabla156798[[#This Row],[FECHA IN]]-22</f>
        <v>45189</v>
      </c>
      <c r="B1070" s="21">
        <v>45190</v>
      </c>
      <c r="C1070" s="6">
        <v>45063</v>
      </c>
      <c r="D1070" s="6">
        <v>45211</v>
      </c>
      <c r="E1070" s="6"/>
      <c r="F1070" s="115">
        <v>25113</v>
      </c>
      <c r="G1070" s="8" t="s">
        <v>3768</v>
      </c>
      <c r="H1070" s="8" t="s">
        <v>3786</v>
      </c>
      <c r="I1070" s="8"/>
      <c r="J1070" s="8">
        <v>3000</v>
      </c>
      <c r="K1070" s="9">
        <f>Tabla156798[[#This Row],[CANTIDAD PUBLICA]]*0.05</f>
        <v>0</v>
      </c>
      <c r="L1070" s="10">
        <f>Tabla156798[[#This Row],[COMISION AGENCIA]]*0.05</f>
        <v>0</v>
      </c>
      <c r="M1070" s="7">
        <v>3481140520</v>
      </c>
      <c r="N1070" s="7"/>
      <c r="O1070" s="7"/>
      <c r="P1070" s="7"/>
    </row>
    <row r="1071" spans="1:16" x14ac:dyDescent="0.25">
      <c r="A1071" s="21">
        <f>Tabla156798[[#This Row],[FECHA IN]]-15</f>
        <v>45192</v>
      </c>
      <c r="B1071" s="21">
        <v>45193</v>
      </c>
      <c r="C1071" s="6">
        <v>44827</v>
      </c>
      <c r="D1071" s="6">
        <v>45207</v>
      </c>
      <c r="E1071" s="6">
        <v>45211</v>
      </c>
      <c r="F1071" s="115"/>
      <c r="G1071" s="8" t="s">
        <v>3787</v>
      </c>
      <c r="H1071" s="8" t="s">
        <v>3788</v>
      </c>
      <c r="I1071" s="66"/>
      <c r="J1071" s="8"/>
      <c r="K1071" s="9"/>
      <c r="L1071" s="10"/>
      <c r="M1071" s="7">
        <v>3481350039</v>
      </c>
      <c r="N1071" s="7"/>
      <c r="O1071" s="7" t="s">
        <v>3665</v>
      </c>
      <c r="P1071" s="7"/>
    </row>
    <row r="1072" spans="1:16" x14ac:dyDescent="0.25">
      <c r="A1072" s="21">
        <f>Tabla156798[[#This Row],[FECHA IN]]-15</f>
        <v>45192</v>
      </c>
      <c r="B1072" s="21">
        <v>44946</v>
      </c>
      <c r="C1072" s="6">
        <v>44946</v>
      </c>
      <c r="D1072" s="6">
        <v>45207</v>
      </c>
      <c r="E1072" s="6">
        <v>45211</v>
      </c>
      <c r="F1072" s="115" t="s">
        <v>3789</v>
      </c>
      <c r="G1072" s="8" t="s">
        <v>3790</v>
      </c>
      <c r="H1072" s="8" t="s">
        <v>3301</v>
      </c>
      <c r="I1072" s="8"/>
      <c r="J1072" s="8"/>
      <c r="K1072" s="9">
        <f>Tabla156798[[#This Row],[CANTIDAD PUBLICA]]*0.05</f>
        <v>0</v>
      </c>
      <c r="L1072" s="10">
        <f>Tabla156798[[#This Row],[COMISION AGENCIA]]*0.05</f>
        <v>0</v>
      </c>
      <c r="M1072" s="7">
        <v>4771164157</v>
      </c>
      <c r="N1072" s="7" t="s">
        <v>3791</v>
      </c>
      <c r="O1072" s="7" t="s">
        <v>3716</v>
      </c>
      <c r="P1072" s="7"/>
    </row>
    <row r="1073" spans="1:16" x14ac:dyDescent="0.25">
      <c r="A1073" s="21">
        <f>Tabla156798[[#This Row],[FECHA IN]]-15</f>
        <v>45193</v>
      </c>
      <c r="B1073" s="21">
        <v>44953</v>
      </c>
      <c r="C1073" s="6">
        <v>44952</v>
      </c>
      <c r="D1073" s="6">
        <v>45208</v>
      </c>
      <c r="E1073" s="6">
        <v>45212</v>
      </c>
      <c r="F1073" s="115">
        <v>23333</v>
      </c>
      <c r="G1073" s="8" t="s">
        <v>3792</v>
      </c>
      <c r="H1073" s="8" t="s">
        <v>3793</v>
      </c>
      <c r="I1073" s="8"/>
      <c r="J1073" s="8"/>
      <c r="K1073" s="9">
        <f>Tabla156798[[#This Row],[CANTIDAD PUBLICA]]*0.05</f>
        <v>0</v>
      </c>
      <c r="L1073" s="10">
        <f>Tabla156798[[#This Row],[COMISION AGENCIA]]*0.05</f>
        <v>0</v>
      </c>
      <c r="M1073" s="7">
        <v>3481033273</v>
      </c>
      <c r="N1073" s="7"/>
      <c r="O1073" s="7" t="s">
        <v>3794</v>
      </c>
      <c r="P1073" s="7"/>
    </row>
    <row r="1074" spans="1:16" x14ac:dyDescent="0.25">
      <c r="A1074" s="21">
        <f>Tabla156798[[#This Row],[FECHA IN]]-15</f>
        <v>45198</v>
      </c>
      <c r="B1074" s="21">
        <v>44914</v>
      </c>
      <c r="C1074" s="6">
        <v>44911</v>
      </c>
      <c r="D1074" s="6">
        <v>45213</v>
      </c>
      <c r="E1074" s="6">
        <v>45217</v>
      </c>
      <c r="F1074" s="115"/>
      <c r="G1074" s="8" t="s">
        <v>3197</v>
      </c>
      <c r="H1074" s="8" t="s">
        <v>3198</v>
      </c>
      <c r="I1074" s="8"/>
      <c r="J1074" s="8"/>
      <c r="K1074" s="9">
        <f>Tabla156798[[#This Row],[CANTIDAD PUBLICA]]*0.05</f>
        <v>0</v>
      </c>
      <c r="L1074" s="10">
        <f>Tabla156798[[#This Row],[COMISION AGENCIA]]*0.05</f>
        <v>0</v>
      </c>
      <c r="M1074" s="7">
        <v>3471107899</v>
      </c>
      <c r="N1074" s="7" t="s">
        <v>3795</v>
      </c>
      <c r="O1074" s="7" t="s">
        <v>2243</v>
      </c>
      <c r="P1074" s="7"/>
    </row>
    <row r="1075" spans="1:16" x14ac:dyDescent="0.25">
      <c r="A1075" s="21">
        <f>Tabla156798[[#This Row],[FECHA IN]]-15</f>
        <v>45198</v>
      </c>
      <c r="B1075" s="21">
        <v>44845</v>
      </c>
      <c r="C1075" s="6">
        <v>44997</v>
      </c>
      <c r="D1075" s="6">
        <v>45213</v>
      </c>
      <c r="E1075" s="6">
        <v>45217</v>
      </c>
      <c r="F1075" s="115"/>
      <c r="G1075" s="8" t="s">
        <v>2662</v>
      </c>
      <c r="H1075" s="8" t="s">
        <v>1447</v>
      </c>
      <c r="I1075" s="8"/>
      <c r="J1075" s="8">
        <v>8750</v>
      </c>
      <c r="K1075" s="9">
        <f>Tabla156798[[#This Row],[CANTIDAD PUBLICA]]*0.05</f>
        <v>0</v>
      </c>
      <c r="L1075" s="10">
        <f>Tabla156798[[#This Row],[COMISION AGENCIA]]*0.05</f>
        <v>0</v>
      </c>
      <c r="M1075" s="7">
        <v>3481498988</v>
      </c>
      <c r="N1075" s="7"/>
      <c r="O1075" s="7"/>
      <c r="P1075" s="7"/>
    </row>
    <row r="1076" spans="1:16" x14ac:dyDescent="0.25">
      <c r="A1076" s="21">
        <f>Tabla156798[[#This Row],[FECHA IN]]-15</f>
        <v>45198</v>
      </c>
      <c r="B1076" s="21">
        <v>44845</v>
      </c>
      <c r="C1076" s="6">
        <v>44997</v>
      </c>
      <c r="D1076" s="6">
        <v>45213</v>
      </c>
      <c r="E1076" s="6">
        <v>45217</v>
      </c>
      <c r="F1076" s="115">
        <v>23916</v>
      </c>
      <c r="G1076" s="8" t="s">
        <v>3796</v>
      </c>
      <c r="H1076" s="8" t="s">
        <v>1447</v>
      </c>
      <c r="I1076" s="8">
        <v>17693</v>
      </c>
      <c r="J1076" s="8">
        <v>15400</v>
      </c>
      <c r="K1076" s="9">
        <f>Tabla156798[[#This Row],[CANTIDAD PUBLICA]]*0.05</f>
        <v>884.65000000000009</v>
      </c>
      <c r="L1076" s="10">
        <f>Tabla156798[[#This Row],[COMISION AGENCIA]]*0.05</f>
        <v>44.232500000000009</v>
      </c>
      <c r="M1076" s="7">
        <v>3481498988</v>
      </c>
      <c r="N1076" s="7" t="s">
        <v>3797</v>
      </c>
      <c r="O1076" s="7" t="s">
        <v>6</v>
      </c>
      <c r="P1076" s="7"/>
    </row>
    <row r="1077" spans="1:16" x14ac:dyDescent="0.25">
      <c r="A1077" s="21">
        <f>Tabla156798[[#This Row],[FECHA IN]]-15</f>
        <v>45198</v>
      </c>
      <c r="B1077" s="21">
        <v>44845</v>
      </c>
      <c r="C1077" s="6">
        <v>44997</v>
      </c>
      <c r="D1077" s="6">
        <v>45213</v>
      </c>
      <c r="E1077" s="6">
        <v>45217</v>
      </c>
      <c r="F1077" s="115"/>
      <c r="G1077" s="8" t="s">
        <v>3798</v>
      </c>
      <c r="H1077" s="8" t="s">
        <v>1447</v>
      </c>
      <c r="I1077" s="8">
        <v>17693</v>
      </c>
      <c r="J1077" s="8">
        <v>15400</v>
      </c>
      <c r="K1077" s="9">
        <f>Tabla156798[[#This Row],[CANTIDAD PUBLICA]]*0.05</f>
        <v>884.65000000000009</v>
      </c>
      <c r="L1077" s="10">
        <f>Tabla156798[[#This Row],[COMISION AGENCIA]]*0.05</f>
        <v>44.232500000000009</v>
      </c>
      <c r="M1077" s="7">
        <v>3481498988</v>
      </c>
      <c r="N1077" s="7" t="s">
        <v>3799</v>
      </c>
      <c r="O1077" s="7" t="s">
        <v>6</v>
      </c>
      <c r="P1077" s="7"/>
    </row>
    <row r="1078" spans="1:16" x14ac:dyDescent="0.25">
      <c r="A1078" s="21">
        <f>Tabla156798[[#This Row],[FECHA IN]]-15</f>
        <v>45198</v>
      </c>
      <c r="B1078" s="21">
        <v>44845</v>
      </c>
      <c r="C1078" s="6">
        <v>44997</v>
      </c>
      <c r="D1078" s="6">
        <v>45213</v>
      </c>
      <c r="E1078" s="6">
        <v>45217</v>
      </c>
      <c r="F1078" s="115"/>
      <c r="G1078" s="8" t="s">
        <v>3800</v>
      </c>
      <c r="H1078" s="8" t="s">
        <v>1447</v>
      </c>
      <c r="I1078" s="8">
        <v>17693</v>
      </c>
      <c r="J1078" s="8">
        <v>15400</v>
      </c>
      <c r="K1078" s="9">
        <f>Tabla156798[[#This Row],[CANTIDAD PUBLICA]]*0.05</f>
        <v>884.65000000000009</v>
      </c>
      <c r="L1078" s="10">
        <f>Tabla156798[[#This Row],[COMISION AGENCIA]]*0.05</f>
        <v>44.232500000000009</v>
      </c>
      <c r="M1078" s="7">
        <v>3481498988</v>
      </c>
      <c r="N1078" s="7" t="s">
        <v>3801</v>
      </c>
      <c r="O1078" s="7" t="s">
        <v>6</v>
      </c>
      <c r="P1078" s="7"/>
    </row>
    <row r="1079" spans="1:16" x14ac:dyDescent="0.25">
      <c r="A1079" s="21">
        <f>Tabla156798[[#This Row],[FECHA IN]]-15</f>
        <v>45198</v>
      </c>
      <c r="B1079" s="21">
        <v>44845</v>
      </c>
      <c r="C1079" s="6">
        <v>44997</v>
      </c>
      <c r="D1079" s="6">
        <v>45213</v>
      </c>
      <c r="E1079" s="6">
        <v>45217</v>
      </c>
      <c r="F1079" s="115"/>
      <c r="G1079" s="8" t="s">
        <v>2666</v>
      </c>
      <c r="H1079" s="8" t="s">
        <v>1447</v>
      </c>
      <c r="I1079" s="8">
        <v>17693</v>
      </c>
      <c r="J1079" s="8">
        <v>15400</v>
      </c>
      <c r="K1079" s="9">
        <f>Tabla156798[[#This Row],[CANTIDAD PUBLICA]]*0.05</f>
        <v>884.65000000000009</v>
      </c>
      <c r="L1079" s="10">
        <f>Tabla156798[[#This Row],[COMISION AGENCIA]]*0.05</f>
        <v>44.232500000000009</v>
      </c>
      <c r="M1079" s="7">
        <v>3481498988</v>
      </c>
      <c r="N1079" s="7" t="s">
        <v>3802</v>
      </c>
      <c r="O1079" s="7" t="s">
        <v>6</v>
      </c>
      <c r="P1079" s="7"/>
    </row>
    <row r="1080" spans="1:16" x14ac:dyDescent="0.25">
      <c r="A1080" s="21">
        <f>Tabla156798[[#This Row],[FECHA IN]]-15</f>
        <v>45198</v>
      </c>
      <c r="B1080" s="21">
        <v>44845</v>
      </c>
      <c r="C1080" s="6">
        <v>44997</v>
      </c>
      <c r="D1080" s="6">
        <v>45213</v>
      </c>
      <c r="E1080" s="6">
        <v>45217</v>
      </c>
      <c r="F1080" s="115"/>
      <c r="G1080" s="8" t="s">
        <v>3803</v>
      </c>
      <c r="H1080" s="8" t="s">
        <v>1447</v>
      </c>
      <c r="I1080" s="8">
        <v>17693</v>
      </c>
      <c r="J1080" s="8">
        <v>15400</v>
      </c>
      <c r="K1080" s="9">
        <f>Tabla156798[[#This Row],[CANTIDAD PUBLICA]]*0.05</f>
        <v>884.65000000000009</v>
      </c>
      <c r="L1080" s="10">
        <f>Tabla156798[[#This Row],[COMISION AGENCIA]]*0.05</f>
        <v>44.232500000000009</v>
      </c>
      <c r="M1080" s="7">
        <v>3481498988</v>
      </c>
      <c r="N1080" s="7" t="s">
        <v>3804</v>
      </c>
      <c r="O1080" s="7" t="s">
        <v>6</v>
      </c>
      <c r="P1080" s="7"/>
    </row>
    <row r="1081" spans="1:16" x14ac:dyDescent="0.25">
      <c r="A1081" s="21">
        <f>Tabla156798[[#This Row],[FECHA IN]]-22</f>
        <v>45199</v>
      </c>
      <c r="B1081" s="21">
        <v>45203</v>
      </c>
      <c r="C1081" s="6">
        <v>45029</v>
      </c>
      <c r="D1081" s="6">
        <v>45221</v>
      </c>
      <c r="E1081" s="6">
        <v>45225</v>
      </c>
      <c r="F1081" s="115">
        <v>24436</v>
      </c>
      <c r="G1081" s="8" t="s">
        <v>3805</v>
      </c>
      <c r="H1081" s="8" t="s">
        <v>3806</v>
      </c>
      <c r="I1081" s="8">
        <v>13550</v>
      </c>
      <c r="J1081" s="8">
        <v>11760</v>
      </c>
      <c r="K1081" s="9">
        <f>Tabla156798[[#This Row],[CANTIDAD PUBLICA]]*0.05</f>
        <v>677.5</v>
      </c>
      <c r="L1081" s="10">
        <f>Tabla156798[[#This Row],[COMISION AGENCIA]]*0.05</f>
        <v>33.875</v>
      </c>
      <c r="M1081" s="7">
        <v>4776317594</v>
      </c>
      <c r="N1081" s="7" t="s">
        <v>3807</v>
      </c>
      <c r="O1081" s="7" t="s">
        <v>6</v>
      </c>
      <c r="P1081" s="7"/>
    </row>
    <row r="1082" spans="1:16" x14ac:dyDescent="0.25">
      <c r="A1082" s="21">
        <f>Tabla156798[[#This Row],[FECHA IN]]-22</f>
        <v>45199</v>
      </c>
      <c r="B1082" s="21" t="s">
        <v>2468</v>
      </c>
      <c r="C1082" s="6">
        <v>45028</v>
      </c>
      <c r="D1082" s="6">
        <v>45221</v>
      </c>
      <c r="E1082" s="6">
        <v>45227</v>
      </c>
      <c r="F1082" s="115">
        <v>24437</v>
      </c>
      <c r="G1082" s="8" t="s">
        <v>3808</v>
      </c>
      <c r="H1082" s="8" t="s">
        <v>3806</v>
      </c>
      <c r="I1082" s="8">
        <v>19419.439999999999</v>
      </c>
      <c r="J1082" s="8">
        <v>16815</v>
      </c>
      <c r="K1082" s="9">
        <f>Tabla156798[[#This Row],[CANTIDAD PUBLICA]]*0.05</f>
        <v>970.97199999999998</v>
      </c>
      <c r="L1082" s="10">
        <f>Tabla156798[[#This Row],[COMISION AGENCIA]]*0.05</f>
        <v>48.5486</v>
      </c>
      <c r="M1082" s="7">
        <v>4776317594</v>
      </c>
      <c r="N1082" s="7" t="s">
        <v>3809</v>
      </c>
      <c r="O1082" s="7" t="s">
        <v>6</v>
      </c>
      <c r="P1082" s="7"/>
    </row>
    <row r="1083" spans="1:16" x14ac:dyDescent="0.25">
      <c r="A1083" s="94">
        <f>Tabla156798[[#This Row],[FECHA IN]]-15</f>
        <v>45200</v>
      </c>
      <c r="B1083" s="94">
        <v>45200</v>
      </c>
      <c r="C1083" s="94">
        <v>44888</v>
      </c>
      <c r="D1083" s="94">
        <v>45215</v>
      </c>
      <c r="E1083" s="94">
        <v>45219</v>
      </c>
      <c r="F1083" s="116">
        <v>22774</v>
      </c>
      <c r="G1083" s="22" t="s">
        <v>1460</v>
      </c>
      <c r="H1083" s="22" t="s">
        <v>3810</v>
      </c>
      <c r="I1083" s="22"/>
      <c r="J1083" s="22"/>
      <c r="K1083" s="95"/>
      <c r="L1083" s="96"/>
      <c r="M1083" s="54">
        <v>3481060813</v>
      </c>
      <c r="N1083" s="54"/>
      <c r="O1083" s="54" t="s">
        <v>3665</v>
      </c>
      <c r="P1083" s="7"/>
    </row>
    <row r="1084" spans="1:16" x14ac:dyDescent="0.25">
      <c r="A1084" s="21">
        <f>Tabla156798[[#This Row],[FECHA IN]]-15</f>
        <v>45203</v>
      </c>
      <c r="B1084" s="21">
        <v>44942</v>
      </c>
      <c r="C1084" s="6">
        <v>44942</v>
      </c>
      <c r="D1084" s="6">
        <v>45218</v>
      </c>
      <c r="E1084" s="6">
        <v>45221</v>
      </c>
      <c r="F1084" s="115">
        <v>23201</v>
      </c>
      <c r="G1084" s="8" t="s">
        <v>3811</v>
      </c>
      <c r="H1084" s="8" t="s">
        <v>3812</v>
      </c>
      <c r="I1084" s="8"/>
      <c r="J1084" s="8"/>
      <c r="K1084" s="9">
        <f>Tabla156798[[#This Row],[CANTIDAD PUBLICA]]*0.05</f>
        <v>0</v>
      </c>
      <c r="L1084" s="10">
        <f>Tabla156798[[#This Row],[COMISION AGENCIA]]*0.05</f>
        <v>0</v>
      </c>
      <c r="M1084" s="7">
        <v>3481268404</v>
      </c>
      <c r="N1084" s="7"/>
      <c r="O1084" s="7" t="s">
        <v>3665</v>
      </c>
      <c r="P1084" s="7"/>
    </row>
    <row r="1085" spans="1:16" x14ac:dyDescent="0.25">
      <c r="A1085" s="21">
        <f>Tabla156798[[#This Row],[FECHA IN]]-15</f>
        <v>45206</v>
      </c>
      <c r="B1085" s="21">
        <v>45206</v>
      </c>
      <c r="C1085" s="6">
        <v>44889</v>
      </c>
      <c r="D1085" s="6">
        <v>45221</v>
      </c>
      <c r="E1085" s="6">
        <v>45225</v>
      </c>
      <c r="F1085" s="115">
        <v>22782</v>
      </c>
      <c r="G1085" s="8" t="s">
        <v>3813</v>
      </c>
      <c r="H1085" s="8" t="s">
        <v>3764</v>
      </c>
      <c r="I1085" s="66"/>
      <c r="J1085" s="8"/>
      <c r="K1085" s="9"/>
      <c r="L1085" s="10"/>
      <c r="M1085" s="7">
        <v>4361146716</v>
      </c>
      <c r="N1085" s="7"/>
      <c r="O1085" s="7" t="s">
        <v>3665</v>
      </c>
      <c r="P1085" s="7"/>
    </row>
    <row r="1086" spans="1:16" x14ac:dyDescent="0.25">
      <c r="A1086" s="21">
        <f>Tabla156798[[#This Row],[FECHA IN]]-15</f>
        <v>45206</v>
      </c>
      <c r="B1086" s="21">
        <v>45207</v>
      </c>
      <c r="C1086" s="6">
        <v>44827</v>
      </c>
      <c r="D1086" s="6">
        <v>45221</v>
      </c>
      <c r="E1086" s="6">
        <v>45225</v>
      </c>
      <c r="F1086" s="115"/>
      <c r="G1086" s="8" t="s">
        <v>3702</v>
      </c>
      <c r="H1086" s="8" t="s">
        <v>3814</v>
      </c>
      <c r="I1086" s="66"/>
      <c r="J1086" s="8"/>
      <c r="K1086" s="9"/>
      <c r="L1086" s="10"/>
      <c r="M1086" s="7">
        <v>3481033234</v>
      </c>
      <c r="N1086" s="7"/>
      <c r="O1086" s="7" t="s">
        <v>3704</v>
      </c>
      <c r="P1086" s="7"/>
    </row>
    <row r="1087" spans="1:16" x14ac:dyDescent="0.25">
      <c r="A1087" s="21">
        <f>Tabla156798[[#This Row],[FECHA IN]]-15</f>
        <v>45206</v>
      </c>
      <c r="B1087" s="14" t="s">
        <v>2468</v>
      </c>
      <c r="C1087" s="6">
        <v>45287</v>
      </c>
      <c r="D1087" s="6">
        <v>45221</v>
      </c>
      <c r="E1087" s="6">
        <v>45221</v>
      </c>
      <c r="F1087" s="115">
        <v>23028</v>
      </c>
      <c r="G1087" s="8" t="s">
        <v>3815</v>
      </c>
      <c r="H1087" s="8" t="s">
        <v>3816</v>
      </c>
      <c r="I1087" s="8">
        <v>19048.599999999999</v>
      </c>
      <c r="J1087" s="8">
        <v>16575</v>
      </c>
      <c r="K1087" s="9">
        <f>Tabla156798[[#This Row],[CANTIDAD PUBLICA]]*0.05</f>
        <v>952.43</v>
      </c>
      <c r="L1087" s="10">
        <f>Tabla156798[[#This Row],[COMISION AGENCIA]]*0.05</f>
        <v>47.621499999999997</v>
      </c>
      <c r="M1087" s="7">
        <v>3481040571</v>
      </c>
      <c r="N1087" s="7" t="s">
        <v>3817</v>
      </c>
      <c r="O1087" s="7" t="s">
        <v>6</v>
      </c>
      <c r="P1087" s="7"/>
    </row>
    <row r="1088" spans="1:16" x14ac:dyDescent="0.25">
      <c r="A1088" s="21">
        <f>Tabla156798[[#This Row],[FECHA IN]]-15</f>
        <v>45206</v>
      </c>
      <c r="B1088" s="21">
        <v>44960</v>
      </c>
      <c r="C1088" s="6">
        <v>44960</v>
      </c>
      <c r="D1088" s="6">
        <v>45221</v>
      </c>
      <c r="E1088" s="6">
        <v>45225</v>
      </c>
      <c r="F1088" s="115"/>
      <c r="G1088" s="8" t="s">
        <v>3818</v>
      </c>
      <c r="H1088" s="8" t="s">
        <v>3819</v>
      </c>
      <c r="I1088" s="8"/>
      <c r="J1088" s="8"/>
      <c r="K1088" s="9">
        <f>Tabla156798[[#This Row],[CANTIDAD PUBLICA]]*0.05</f>
        <v>0</v>
      </c>
      <c r="L1088" s="10">
        <f>Tabla156798[[#This Row],[COMISION AGENCIA]]*0.05</f>
        <v>0</v>
      </c>
      <c r="M1088" s="7">
        <v>3481133181</v>
      </c>
      <c r="N1088" s="7" t="s">
        <v>3820</v>
      </c>
      <c r="O1088" s="7" t="s">
        <v>2243</v>
      </c>
      <c r="P1088" s="7"/>
    </row>
    <row r="1089" spans="1:16" x14ac:dyDescent="0.25">
      <c r="A1089" s="21">
        <f>Tabla156798[[#This Row],[FECHA IN]]-15</f>
        <v>45206</v>
      </c>
      <c r="B1089" s="21">
        <v>44964</v>
      </c>
      <c r="C1089" s="6">
        <v>44964</v>
      </c>
      <c r="D1089" s="6">
        <v>45221</v>
      </c>
      <c r="E1089" s="6">
        <v>45225</v>
      </c>
      <c r="F1089" s="115"/>
      <c r="G1089" s="8" t="s">
        <v>3821</v>
      </c>
      <c r="H1089" s="8" t="s">
        <v>3822</v>
      </c>
      <c r="I1089" s="8"/>
      <c r="J1089" s="8"/>
      <c r="K1089" s="9">
        <f>Tabla156798[[#This Row],[CANTIDAD PUBLICA]]*0.05</f>
        <v>0</v>
      </c>
      <c r="L1089" s="10">
        <f>Tabla156798[[#This Row],[COMISION AGENCIA]]*0.05</f>
        <v>0</v>
      </c>
      <c r="M1089" s="7"/>
      <c r="N1089" s="7" t="s">
        <v>3823</v>
      </c>
      <c r="O1089" s="7" t="s">
        <v>3794</v>
      </c>
      <c r="P1089" s="7"/>
    </row>
    <row r="1090" spans="1:16" x14ac:dyDescent="0.25">
      <c r="A1090" s="21">
        <f>Tabla156798[[#This Row],[FECHA IN]]-15</f>
        <v>45206</v>
      </c>
      <c r="B1090" s="21">
        <v>45001</v>
      </c>
      <c r="C1090" s="6">
        <v>44995</v>
      </c>
      <c r="D1090" s="6">
        <v>45221</v>
      </c>
      <c r="E1090" s="6">
        <v>45225</v>
      </c>
      <c r="F1090" s="115"/>
      <c r="G1090" s="8" t="s">
        <v>3824</v>
      </c>
      <c r="H1090" s="8" t="s">
        <v>3822</v>
      </c>
      <c r="I1090" s="8"/>
      <c r="J1090" s="8"/>
      <c r="K1090" s="9">
        <f>Tabla156798[[#This Row],[CANTIDAD PUBLICA]]*0.05</f>
        <v>0</v>
      </c>
      <c r="L1090" s="10">
        <f>Tabla156798[[#This Row],[COMISION AGENCIA]]*0.05</f>
        <v>0</v>
      </c>
      <c r="M1090" s="7">
        <v>3481015163</v>
      </c>
      <c r="N1090" s="7" t="s">
        <v>3825</v>
      </c>
      <c r="O1090" s="7" t="s">
        <v>3716</v>
      </c>
      <c r="P1090" s="7"/>
    </row>
    <row r="1091" spans="1:16" x14ac:dyDescent="0.25">
      <c r="A1091" s="21">
        <f>Tabla156798[[#This Row],[FECHA IN]]-15</f>
        <v>45206</v>
      </c>
      <c r="B1091" s="21">
        <v>44989</v>
      </c>
      <c r="C1091" s="6">
        <v>44988</v>
      </c>
      <c r="D1091" s="6">
        <v>45221</v>
      </c>
      <c r="E1091" s="6">
        <v>45225</v>
      </c>
      <c r="F1091" s="115"/>
      <c r="G1091" s="8" t="s">
        <v>3826</v>
      </c>
      <c r="H1091" s="8" t="s">
        <v>3827</v>
      </c>
      <c r="I1091" s="8"/>
      <c r="J1091" s="8"/>
      <c r="K1091" s="9">
        <f>Tabla156798[[#This Row],[CANTIDAD PUBLICA]]*0.05</f>
        <v>0</v>
      </c>
      <c r="L1091" s="10">
        <f>Tabla156798[[#This Row],[COMISION AGENCIA]]*0.05</f>
        <v>0</v>
      </c>
      <c r="M1091" s="7">
        <v>3485935813</v>
      </c>
      <c r="N1091" s="7" t="s">
        <v>3828</v>
      </c>
      <c r="O1091" s="7" t="s">
        <v>3665</v>
      </c>
      <c r="P1091" s="7"/>
    </row>
    <row r="1092" spans="1:16" x14ac:dyDescent="0.25">
      <c r="A1092" s="21">
        <f>Tabla156798[[#This Row],[FECHA IN]]-15</f>
        <v>45207</v>
      </c>
      <c r="B1092" s="21">
        <v>45210</v>
      </c>
      <c r="C1092" s="6">
        <v>44965</v>
      </c>
      <c r="D1092" s="6">
        <v>45222</v>
      </c>
      <c r="E1092" s="6">
        <v>45227</v>
      </c>
      <c r="F1092" s="115">
        <v>23505</v>
      </c>
      <c r="G1092" s="8" t="s">
        <v>2429</v>
      </c>
      <c r="H1092" s="8" t="s">
        <v>2222</v>
      </c>
      <c r="I1092" s="8">
        <v>26536.03</v>
      </c>
      <c r="J1092" s="8">
        <v>23090</v>
      </c>
      <c r="K1092" s="9">
        <f>Tabla156798[[#This Row],[CANTIDAD PUBLICA]]*0.05</f>
        <v>1326.8015</v>
      </c>
      <c r="L1092" s="10">
        <f>Tabla156798[[#This Row],[COMISION AGENCIA]]*0.05</f>
        <v>66.340074999999999</v>
      </c>
      <c r="M1092" s="7">
        <v>3481413432</v>
      </c>
      <c r="N1092" s="7" t="s">
        <v>3829</v>
      </c>
      <c r="O1092" s="7" t="s">
        <v>6</v>
      </c>
      <c r="P1092" s="7"/>
    </row>
    <row r="1093" spans="1:16" x14ac:dyDescent="0.25">
      <c r="A1093" s="21">
        <f>Tabla156798[[#This Row],[FECHA IN]]-15</f>
        <v>45207</v>
      </c>
      <c r="B1093" s="21">
        <v>45210</v>
      </c>
      <c r="C1093" s="6">
        <v>44965</v>
      </c>
      <c r="D1093" s="6">
        <v>45222</v>
      </c>
      <c r="E1093" s="6">
        <v>45227</v>
      </c>
      <c r="F1093" s="115">
        <v>23505</v>
      </c>
      <c r="G1093" s="8" t="s">
        <v>2429</v>
      </c>
      <c r="H1093" s="8" t="s">
        <v>3830</v>
      </c>
      <c r="I1093" s="8"/>
      <c r="J1093" s="8">
        <v>700</v>
      </c>
      <c r="K1093" s="9">
        <f>Tabla156798[[#This Row],[CANTIDAD PUBLICA]]*0.05</f>
        <v>0</v>
      </c>
      <c r="L1093" s="10">
        <f>Tabla156798[[#This Row],[COMISION AGENCIA]]*0.05</f>
        <v>0</v>
      </c>
      <c r="M1093" s="7">
        <v>3481413432</v>
      </c>
      <c r="N1093" s="7"/>
      <c r="O1093" s="7"/>
      <c r="P1093" s="7"/>
    </row>
    <row r="1094" spans="1:16" x14ac:dyDescent="0.25">
      <c r="A1094" s="21">
        <f>Tabla156798[[#This Row],[FECHA IN]]-22</f>
        <v>45207</v>
      </c>
      <c r="B1094" s="21">
        <v>45209</v>
      </c>
      <c r="C1094" s="6">
        <v>45103</v>
      </c>
      <c r="D1094" s="6">
        <v>45229</v>
      </c>
      <c r="E1094" s="6">
        <v>45234</v>
      </c>
      <c r="F1094" s="115">
        <v>25754</v>
      </c>
      <c r="G1094" s="8" t="s">
        <v>3831</v>
      </c>
      <c r="H1094" s="8" t="s">
        <v>2957</v>
      </c>
      <c r="I1094" s="8">
        <v>24528.48</v>
      </c>
      <c r="J1094" s="8">
        <v>21440</v>
      </c>
      <c r="K1094" s="9">
        <f>Tabla156798[[#This Row],[CANTIDAD PUBLICA]]*0.05</f>
        <v>1226.424</v>
      </c>
      <c r="L1094" s="10">
        <f>Tabla156798[[#This Row],[COMISION AGENCIA]]*0.05</f>
        <v>61.321200000000005</v>
      </c>
      <c r="M1094" s="7">
        <v>3481150144</v>
      </c>
      <c r="N1094" s="7">
        <v>21362145</v>
      </c>
      <c r="O1094" s="7" t="s">
        <v>6</v>
      </c>
      <c r="P1094" s="7"/>
    </row>
    <row r="1095" spans="1:16" x14ac:dyDescent="0.25">
      <c r="A1095" s="21">
        <f>Tabla156798[[#This Row],[FECHA IN]]-22</f>
        <v>45207</v>
      </c>
      <c r="B1095" s="21">
        <v>45209</v>
      </c>
      <c r="C1095" s="6">
        <v>45103</v>
      </c>
      <c r="D1095" s="6">
        <v>45229</v>
      </c>
      <c r="E1095" s="6">
        <v>45234</v>
      </c>
      <c r="F1095" s="115"/>
      <c r="G1095" s="8" t="s">
        <v>3832</v>
      </c>
      <c r="H1095" s="8" t="s">
        <v>2957</v>
      </c>
      <c r="I1095" s="8">
        <v>24528.48</v>
      </c>
      <c r="J1095" s="8">
        <v>21440</v>
      </c>
      <c r="K1095" s="9">
        <f>Tabla156798[[#This Row],[CANTIDAD PUBLICA]]*0.05</f>
        <v>1226.424</v>
      </c>
      <c r="L1095" s="10">
        <f>Tabla156798[[#This Row],[COMISION AGENCIA]]*0.05</f>
        <v>61.321200000000005</v>
      </c>
      <c r="M1095" s="7">
        <v>3481150144</v>
      </c>
      <c r="N1095" s="7" t="s">
        <v>3833</v>
      </c>
      <c r="O1095" s="7" t="s">
        <v>6</v>
      </c>
      <c r="P1095" s="7"/>
    </row>
    <row r="1096" spans="1:16" x14ac:dyDescent="0.25">
      <c r="A1096" s="21">
        <f>Tabla156798[[#This Row],[FECHA IN]]-22</f>
        <v>45207</v>
      </c>
      <c r="B1096" s="21">
        <v>45209</v>
      </c>
      <c r="C1096" s="6">
        <v>45103</v>
      </c>
      <c r="D1096" s="6">
        <v>45229</v>
      </c>
      <c r="E1096" s="6">
        <v>45234</v>
      </c>
      <c r="F1096" s="115"/>
      <c r="G1096" s="8" t="s">
        <v>3834</v>
      </c>
      <c r="H1096" s="8" t="s">
        <v>2957</v>
      </c>
      <c r="I1096" s="8">
        <v>24528.48</v>
      </c>
      <c r="J1096" s="8">
        <v>21440</v>
      </c>
      <c r="K1096" s="9">
        <f>Tabla156798[[#This Row],[CANTIDAD PUBLICA]]*0.05</f>
        <v>1226.424</v>
      </c>
      <c r="L1096" s="10">
        <f>Tabla156798[[#This Row],[COMISION AGENCIA]]*0.05</f>
        <v>61.321200000000005</v>
      </c>
      <c r="M1096" s="7">
        <v>3481150144</v>
      </c>
      <c r="N1096" s="7" t="s">
        <v>3835</v>
      </c>
      <c r="O1096" s="7" t="s">
        <v>6</v>
      </c>
      <c r="P1096" s="7"/>
    </row>
    <row r="1097" spans="1:16" x14ac:dyDescent="0.25">
      <c r="A1097" s="21">
        <f>Tabla156798[[#This Row],[FECHA IN]]-15</f>
        <v>45209</v>
      </c>
      <c r="B1097" s="21">
        <v>45212</v>
      </c>
      <c r="C1097" s="6">
        <v>44979</v>
      </c>
      <c r="D1097" s="6">
        <v>45224</v>
      </c>
      <c r="E1097" s="6">
        <v>45228</v>
      </c>
      <c r="F1097" s="115">
        <v>23763</v>
      </c>
      <c r="G1097" s="8" t="s">
        <v>3836</v>
      </c>
      <c r="H1097" s="8" t="s">
        <v>1628</v>
      </c>
      <c r="I1097" s="8">
        <v>32922.6</v>
      </c>
      <c r="J1097" s="8">
        <v>29630</v>
      </c>
      <c r="K1097" s="9">
        <f>Tabla156798[[#This Row],[CANTIDAD PUBLICA]]*0.05</f>
        <v>1646.13</v>
      </c>
      <c r="L1097" s="10">
        <f>Tabla156798[[#This Row],[COMISION AGENCIA]]*0.05</f>
        <v>82.306500000000014</v>
      </c>
      <c r="M1097" s="7">
        <v>3481817913</v>
      </c>
      <c r="N1097" s="7" t="s">
        <v>3837</v>
      </c>
      <c r="O1097" s="7" t="s">
        <v>5</v>
      </c>
      <c r="P1097" s="7"/>
    </row>
    <row r="1098" spans="1:16" x14ac:dyDescent="0.25">
      <c r="A1098" s="21">
        <f>Tabla156798[[#This Row],[FECHA IN]]-15</f>
        <v>45209</v>
      </c>
      <c r="B1098" s="21">
        <v>45204</v>
      </c>
      <c r="C1098" s="6">
        <v>44979</v>
      </c>
      <c r="D1098" s="6">
        <v>45224</v>
      </c>
      <c r="E1098" s="6">
        <v>45228</v>
      </c>
      <c r="F1098" s="115">
        <v>23921</v>
      </c>
      <c r="G1098" s="8" t="s">
        <v>3838</v>
      </c>
      <c r="H1098" s="8" t="s">
        <v>1628</v>
      </c>
      <c r="I1098" s="8">
        <v>36140</v>
      </c>
      <c r="J1098" s="8">
        <v>31445</v>
      </c>
      <c r="K1098" s="9">
        <f>Tabla156798[[#This Row],[CANTIDAD PUBLICA]]*0.05</f>
        <v>1807</v>
      </c>
      <c r="L1098" s="10">
        <f>Tabla156798[[#This Row],[COMISION AGENCIA]]*0.05</f>
        <v>90.350000000000009</v>
      </c>
      <c r="M1098" s="7">
        <v>3481817913</v>
      </c>
      <c r="N1098" s="7" t="s">
        <v>3839</v>
      </c>
      <c r="O1098" s="7" t="s">
        <v>6</v>
      </c>
      <c r="P1098" s="7"/>
    </row>
    <row r="1099" spans="1:16" x14ac:dyDescent="0.25">
      <c r="A1099" s="21">
        <f>Tabla156798[[#This Row],[FECHA IN]]-30</f>
        <v>45212</v>
      </c>
      <c r="B1099" s="21">
        <v>45020</v>
      </c>
      <c r="C1099" s="6">
        <v>45014</v>
      </c>
      <c r="D1099" s="6">
        <v>45242</v>
      </c>
      <c r="E1099" s="6">
        <v>45246</v>
      </c>
      <c r="F1099" s="115"/>
      <c r="G1099" s="8" t="s">
        <v>3840</v>
      </c>
      <c r="H1099" s="8" t="s">
        <v>3764</v>
      </c>
      <c r="I1099" s="8"/>
      <c r="J1099" s="8"/>
      <c r="K1099" s="9">
        <f>Tabla156798[[#This Row],[PRECIO CLIENTE]]-Tabla156798[[#This Row],[CANTIDAD PUBLICA]]</f>
        <v>0</v>
      </c>
      <c r="L1099" s="10">
        <f>Tabla156798[[#This Row],[COMISION AGENCIA]]*0.05</f>
        <v>0</v>
      </c>
      <c r="M1099" s="7">
        <v>3787860853</v>
      </c>
      <c r="N1099" s="7" t="s">
        <v>3841</v>
      </c>
      <c r="O1099" s="7" t="s">
        <v>3716</v>
      </c>
      <c r="P1099" s="7"/>
    </row>
    <row r="1100" spans="1:16" x14ac:dyDescent="0.25">
      <c r="A1100" s="21">
        <f>Tabla156798[[#This Row],[FECHA IN]]-15</f>
        <v>45213</v>
      </c>
      <c r="B1100" s="21">
        <v>45203</v>
      </c>
      <c r="C1100" s="6">
        <v>44858</v>
      </c>
      <c r="D1100" s="6">
        <v>45228</v>
      </c>
      <c r="E1100" s="6">
        <v>45232</v>
      </c>
      <c r="F1100" s="115"/>
      <c r="G1100" s="8" t="s">
        <v>3842</v>
      </c>
      <c r="H1100" s="8" t="s">
        <v>2181</v>
      </c>
      <c r="I1100" s="66">
        <v>15097.05</v>
      </c>
      <c r="J1100" s="8">
        <v>13135</v>
      </c>
      <c r="K1100" s="9">
        <f>Tabla156798[[#This Row],[CANTIDAD PUBLICA]]*0.05</f>
        <v>754.85249999999996</v>
      </c>
      <c r="L1100" s="10">
        <f>Tabla156798[[#This Row],[COMISION AGENCIA]]*0.05</f>
        <v>37.742624999999997</v>
      </c>
      <c r="M1100" s="7">
        <v>3481088107</v>
      </c>
      <c r="N1100" s="7" t="s">
        <v>3843</v>
      </c>
      <c r="O1100" s="7" t="s">
        <v>6</v>
      </c>
      <c r="P1100" s="7"/>
    </row>
    <row r="1101" spans="1:16" x14ac:dyDescent="0.25">
      <c r="A1101" s="21">
        <f>Tabla156798[[#This Row],[FECHA IN]]-15</f>
        <v>45213</v>
      </c>
      <c r="B1101" s="21">
        <v>45203</v>
      </c>
      <c r="C1101" s="6">
        <v>44858</v>
      </c>
      <c r="D1101" s="6">
        <v>45228</v>
      </c>
      <c r="E1101" s="6">
        <v>45232</v>
      </c>
      <c r="F1101" s="115"/>
      <c r="G1101" s="8" t="s">
        <v>3844</v>
      </c>
      <c r="H1101" s="8" t="s">
        <v>2181</v>
      </c>
      <c r="I1101" s="66">
        <v>15097.05</v>
      </c>
      <c r="J1101" s="8">
        <v>13135</v>
      </c>
      <c r="K1101" s="9">
        <f>Tabla156798[[#This Row],[CANTIDAD PUBLICA]]*0.05</f>
        <v>754.85249999999996</v>
      </c>
      <c r="L1101" s="10">
        <f>Tabla156798[[#This Row],[COMISION AGENCIA]]*0.05</f>
        <v>37.742624999999997</v>
      </c>
      <c r="M1101" s="7">
        <v>3481088107</v>
      </c>
      <c r="N1101" s="7" t="s">
        <v>3845</v>
      </c>
      <c r="O1101" s="7" t="s">
        <v>6</v>
      </c>
      <c r="P1101" s="7"/>
    </row>
    <row r="1102" spans="1:16" x14ac:dyDescent="0.25">
      <c r="A1102" s="21">
        <f>Tabla156798[[#This Row],[FECHA IN]]-15</f>
        <v>45213</v>
      </c>
      <c r="B1102" s="21">
        <v>44938</v>
      </c>
      <c r="C1102" s="6">
        <v>44938</v>
      </c>
      <c r="D1102" s="6">
        <v>45228</v>
      </c>
      <c r="E1102" s="6">
        <v>45232</v>
      </c>
      <c r="F1102" s="115"/>
      <c r="G1102" s="8" t="s">
        <v>3846</v>
      </c>
      <c r="H1102" s="8" t="s">
        <v>3764</v>
      </c>
      <c r="I1102" s="8"/>
      <c r="J1102" s="8"/>
      <c r="K1102" s="9">
        <f>Tabla156798[[#This Row],[CANTIDAD PUBLICA]]*0.05</f>
        <v>0</v>
      </c>
      <c r="L1102" s="10">
        <f>Tabla156798[[#This Row],[COMISION AGENCIA]]*0.05</f>
        <v>0</v>
      </c>
      <c r="M1102" s="7">
        <v>3481139257</v>
      </c>
      <c r="N1102" s="7" t="s">
        <v>3847</v>
      </c>
      <c r="O1102" s="7" t="s">
        <v>3665</v>
      </c>
      <c r="P1102" s="7"/>
    </row>
    <row r="1103" spans="1:16" x14ac:dyDescent="0.25">
      <c r="A1103" s="21">
        <f>Tabla156798[[#This Row],[FECHA IN]]-15</f>
        <v>45213</v>
      </c>
      <c r="B1103" s="21">
        <v>44953</v>
      </c>
      <c r="C1103" s="6">
        <v>44953</v>
      </c>
      <c r="D1103" s="6">
        <v>45228</v>
      </c>
      <c r="E1103" s="6">
        <v>45232</v>
      </c>
      <c r="F1103" s="115">
        <v>23332</v>
      </c>
      <c r="G1103" s="8" t="s">
        <v>3848</v>
      </c>
      <c r="H1103" s="8" t="s">
        <v>3849</v>
      </c>
      <c r="I1103" s="8"/>
      <c r="J1103" s="8"/>
      <c r="K1103" s="9">
        <f>Tabla156798[[#This Row],[CANTIDAD PUBLICA]]*0.05</f>
        <v>0</v>
      </c>
      <c r="L1103" s="10">
        <f>Tabla156798[[#This Row],[COMISION AGENCIA]]*0.05</f>
        <v>0</v>
      </c>
      <c r="M1103" s="7">
        <v>3481095071</v>
      </c>
      <c r="N1103" s="7"/>
      <c r="O1103" s="7" t="s">
        <v>3665</v>
      </c>
      <c r="P1103" s="7"/>
    </row>
    <row r="1104" spans="1:16" x14ac:dyDescent="0.25">
      <c r="A1104" s="21">
        <f>Tabla156798[[#This Row],[FECHA IN]]-15</f>
        <v>45214</v>
      </c>
      <c r="B1104" s="21">
        <v>45214</v>
      </c>
      <c r="C1104" s="6">
        <v>44876</v>
      </c>
      <c r="D1104" s="6">
        <v>45229</v>
      </c>
      <c r="E1104" s="6">
        <v>45233</v>
      </c>
      <c r="F1104" s="115">
        <v>22613</v>
      </c>
      <c r="G1104" s="8" t="s">
        <v>3850</v>
      </c>
      <c r="H1104" s="8" t="s">
        <v>3764</v>
      </c>
      <c r="I1104" s="66"/>
      <c r="J1104" s="8"/>
      <c r="K1104" s="9"/>
      <c r="L1104" s="10"/>
      <c r="M1104" s="7">
        <v>3481393869</v>
      </c>
      <c r="N1104" s="7"/>
      <c r="O1104" s="7" t="s">
        <v>2243</v>
      </c>
      <c r="P1104" s="7"/>
    </row>
    <row r="1105" spans="1:16" x14ac:dyDescent="0.25">
      <c r="A1105" s="21">
        <f>Tabla156798[[#This Row],[FECHA IN]]-22</f>
        <v>45216</v>
      </c>
      <c r="B1105" s="21">
        <v>45228</v>
      </c>
      <c r="C1105" s="6">
        <v>45099</v>
      </c>
      <c r="D1105" s="6">
        <v>45238</v>
      </c>
      <c r="E1105" s="6">
        <v>45241</v>
      </c>
      <c r="F1105" s="115">
        <v>25777</v>
      </c>
      <c r="G1105" s="8" t="s">
        <v>3851</v>
      </c>
      <c r="H1105" s="8" t="s">
        <v>3852</v>
      </c>
      <c r="I1105" s="8">
        <v>7606.72</v>
      </c>
      <c r="J1105" s="8">
        <v>6855</v>
      </c>
      <c r="K1105" s="9">
        <f>Tabla156798[[#This Row],[CANTIDAD PUBLICA]]*0.05</f>
        <v>380.33600000000001</v>
      </c>
      <c r="L1105" s="10">
        <f>Tabla156798[[#This Row],[COMISION AGENCIA]]*0.05</f>
        <v>19.0168</v>
      </c>
      <c r="M1105" s="7">
        <v>3481252213</v>
      </c>
      <c r="N1105" s="7">
        <v>11068427</v>
      </c>
      <c r="O1105" s="7" t="s">
        <v>5</v>
      </c>
      <c r="P1105" s="7"/>
    </row>
    <row r="1106" spans="1:16" x14ac:dyDescent="0.25">
      <c r="A1106" s="21">
        <f>Tabla156798[[#This Row],[FECHA IN]]-22</f>
        <v>45216</v>
      </c>
      <c r="B1106" s="21">
        <v>45228</v>
      </c>
      <c r="C1106" s="6">
        <v>45099</v>
      </c>
      <c r="D1106" s="6">
        <v>45238</v>
      </c>
      <c r="E1106" s="6">
        <v>45241</v>
      </c>
      <c r="F1106" s="115">
        <v>25777</v>
      </c>
      <c r="G1106" s="8" t="s">
        <v>3853</v>
      </c>
      <c r="H1106" s="8" t="s">
        <v>3852</v>
      </c>
      <c r="I1106" s="8">
        <v>7606.72</v>
      </c>
      <c r="J1106" s="8">
        <v>6855</v>
      </c>
      <c r="K1106" s="9">
        <f>Tabla156798[[#This Row],[CANTIDAD PUBLICA]]*0.05</f>
        <v>380.33600000000001</v>
      </c>
      <c r="L1106" s="10">
        <f>Tabla156798[[#This Row],[COMISION AGENCIA]]*0.05</f>
        <v>19.0168</v>
      </c>
      <c r="M1106" s="7">
        <v>3481252213</v>
      </c>
      <c r="N1106" s="7">
        <v>11068443</v>
      </c>
      <c r="O1106" s="7" t="s">
        <v>5</v>
      </c>
      <c r="P1106" s="7"/>
    </row>
    <row r="1107" spans="1:16" x14ac:dyDescent="0.25">
      <c r="A1107" s="21">
        <f>Tabla156798[[#This Row],[FECHA IN]]-22</f>
        <v>45216</v>
      </c>
      <c r="B1107" s="21">
        <v>45228</v>
      </c>
      <c r="C1107" s="6">
        <v>45099</v>
      </c>
      <c r="D1107" s="6">
        <v>45238</v>
      </c>
      <c r="E1107" s="6">
        <v>45241</v>
      </c>
      <c r="F1107" s="115">
        <v>25777</v>
      </c>
      <c r="G1107" s="8" t="s">
        <v>3854</v>
      </c>
      <c r="H1107" s="8" t="s">
        <v>3852</v>
      </c>
      <c r="I1107" s="8">
        <v>7606.72</v>
      </c>
      <c r="J1107" s="8">
        <v>6855</v>
      </c>
      <c r="K1107" s="9">
        <f>Tabla156798[[#This Row],[CANTIDAD PUBLICA]]*0.05</f>
        <v>380.33600000000001</v>
      </c>
      <c r="L1107" s="10">
        <f>Tabla156798[[#This Row],[COMISION AGENCIA]]*0.05</f>
        <v>19.0168</v>
      </c>
      <c r="M1107" s="7">
        <v>3481252213</v>
      </c>
      <c r="N1107" s="7">
        <v>11068424</v>
      </c>
      <c r="O1107" s="7" t="s">
        <v>5</v>
      </c>
      <c r="P1107" s="7"/>
    </row>
    <row r="1108" spans="1:16" x14ac:dyDescent="0.25">
      <c r="A1108" s="21">
        <f>Tabla156798[[#This Row],[FECHA IN]]-22</f>
        <v>45216</v>
      </c>
      <c r="B1108" s="21">
        <v>45228</v>
      </c>
      <c r="C1108" s="6">
        <v>45099</v>
      </c>
      <c r="D1108" s="6">
        <v>45238</v>
      </c>
      <c r="E1108" s="6">
        <v>45241</v>
      </c>
      <c r="F1108" s="115">
        <v>25777</v>
      </c>
      <c r="G1108" s="8" t="s">
        <v>3855</v>
      </c>
      <c r="H1108" s="8" t="s">
        <v>3852</v>
      </c>
      <c r="I1108" s="8">
        <v>7606.72</v>
      </c>
      <c r="J1108" s="8">
        <v>6855</v>
      </c>
      <c r="K1108" s="9">
        <f>Tabla156798[[#This Row],[CANTIDAD PUBLICA]]*0.05</f>
        <v>380.33600000000001</v>
      </c>
      <c r="L1108" s="10">
        <f>Tabla156798[[#This Row],[COMISION AGENCIA]]*0.05</f>
        <v>19.0168</v>
      </c>
      <c r="M1108" s="7">
        <v>3481252213</v>
      </c>
      <c r="N1108" s="7">
        <v>11068461</v>
      </c>
      <c r="O1108" s="7" t="s">
        <v>5</v>
      </c>
      <c r="P1108" s="7"/>
    </row>
    <row r="1109" spans="1:16" x14ac:dyDescent="0.25">
      <c r="A1109" s="21">
        <f>Tabla156798[[#This Row],[FECHA IN]]-22</f>
        <v>45216</v>
      </c>
      <c r="B1109" s="21">
        <v>45228</v>
      </c>
      <c r="C1109" s="6">
        <v>45099</v>
      </c>
      <c r="D1109" s="6">
        <v>45238</v>
      </c>
      <c r="E1109" s="6">
        <v>45241</v>
      </c>
      <c r="F1109" s="115">
        <v>25777</v>
      </c>
      <c r="G1109" s="8" t="s">
        <v>3856</v>
      </c>
      <c r="H1109" s="8" t="s">
        <v>3852</v>
      </c>
      <c r="I1109" s="8">
        <v>7606.72</v>
      </c>
      <c r="J1109" s="8">
        <v>6855</v>
      </c>
      <c r="K1109" s="9">
        <f>Tabla156798[[#This Row],[CANTIDAD PUBLICA]]*0.05</f>
        <v>380.33600000000001</v>
      </c>
      <c r="L1109" s="10">
        <f>Tabla156798[[#This Row],[COMISION AGENCIA]]*0.05</f>
        <v>19.0168</v>
      </c>
      <c r="M1109" s="7">
        <v>3481252213</v>
      </c>
      <c r="N1109" s="7">
        <v>11068472</v>
      </c>
      <c r="O1109" s="7" t="s">
        <v>5</v>
      </c>
      <c r="P1109" s="7"/>
    </row>
    <row r="1110" spans="1:16" x14ac:dyDescent="0.25">
      <c r="A1110" s="21">
        <f>Tabla156798[[#This Row],[FECHA IN]]-22</f>
        <v>45216</v>
      </c>
      <c r="B1110" s="21">
        <v>45228</v>
      </c>
      <c r="C1110" s="6">
        <v>45099</v>
      </c>
      <c r="D1110" s="6">
        <v>45238</v>
      </c>
      <c r="E1110" s="6">
        <v>45241</v>
      </c>
      <c r="F1110" s="115">
        <v>25777</v>
      </c>
      <c r="G1110" s="8" t="s">
        <v>3857</v>
      </c>
      <c r="H1110" s="8" t="s">
        <v>3852</v>
      </c>
      <c r="I1110" s="8">
        <v>6266.29</v>
      </c>
      <c r="J1110" s="8">
        <v>5640</v>
      </c>
      <c r="K1110" s="9">
        <f>Tabla156798[[#This Row],[CANTIDAD PUBLICA]]*0.05</f>
        <v>313.31450000000001</v>
      </c>
      <c r="L1110" s="10">
        <f>Tabla156798[[#This Row],[COMISION AGENCIA]]*0.05</f>
        <v>15.665725000000002</v>
      </c>
      <c r="M1110" s="7">
        <v>3481252213</v>
      </c>
      <c r="N1110" s="7">
        <v>11068480</v>
      </c>
      <c r="O1110" s="7" t="s">
        <v>5</v>
      </c>
      <c r="P1110" s="7"/>
    </row>
    <row r="1111" spans="1:16" x14ac:dyDescent="0.25">
      <c r="A1111" s="21">
        <f>Tabla156798[[#This Row],[FECHA IN]]-22</f>
        <v>45216</v>
      </c>
      <c r="B1111" s="21">
        <v>45228</v>
      </c>
      <c r="C1111" s="6">
        <v>45099</v>
      </c>
      <c r="D1111" s="6">
        <v>45238</v>
      </c>
      <c r="E1111" s="6">
        <v>45241</v>
      </c>
      <c r="F1111" s="115">
        <v>25777</v>
      </c>
      <c r="G1111" s="8" t="s">
        <v>3858</v>
      </c>
      <c r="H1111" s="8" t="s">
        <v>3852</v>
      </c>
      <c r="I1111" s="8">
        <v>6266.29</v>
      </c>
      <c r="J1111" s="8">
        <v>5640</v>
      </c>
      <c r="K1111" s="9">
        <f>Tabla156798[[#This Row],[CANTIDAD PUBLICA]]*0.05</f>
        <v>313.31450000000001</v>
      </c>
      <c r="L1111" s="10">
        <f>Tabla156798[[#This Row],[COMISION AGENCIA]]*0.05</f>
        <v>15.665725000000002</v>
      </c>
      <c r="M1111" s="7">
        <v>3481252213</v>
      </c>
      <c r="N1111" s="7">
        <v>11068515</v>
      </c>
      <c r="O1111" s="7" t="s">
        <v>5</v>
      </c>
      <c r="P1111" s="7"/>
    </row>
    <row r="1112" spans="1:16" x14ac:dyDescent="0.25">
      <c r="A1112" s="21">
        <f>Tabla156798[[#This Row],[FECHA IN]]-22</f>
        <v>45216</v>
      </c>
      <c r="B1112" s="21">
        <v>45228</v>
      </c>
      <c r="C1112" s="6">
        <v>45099</v>
      </c>
      <c r="D1112" s="6">
        <v>45238</v>
      </c>
      <c r="E1112" s="6">
        <v>45241</v>
      </c>
      <c r="F1112" s="115">
        <v>25777</v>
      </c>
      <c r="G1112" s="8" t="s">
        <v>3859</v>
      </c>
      <c r="H1112" s="8" t="s">
        <v>3852</v>
      </c>
      <c r="I1112" s="8">
        <v>6266.29</v>
      </c>
      <c r="J1112" s="8">
        <v>5640</v>
      </c>
      <c r="K1112" s="9">
        <f>Tabla156798[[#This Row],[CANTIDAD PUBLICA]]*0.05</f>
        <v>313.31450000000001</v>
      </c>
      <c r="L1112" s="10">
        <f>Tabla156798[[#This Row],[COMISION AGENCIA]]*0.05</f>
        <v>15.665725000000002</v>
      </c>
      <c r="M1112" s="7">
        <v>3481252213</v>
      </c>
      <c r="N1112" s="7">
        <v>11068548</v>
      </c>
      <c r="O1112" s="7" t="s">
        <v>5</v>
      </c>
      <c r="P1112" s="7"/>
    </row>
    <row r="1113" spans="1:16" x14ac:dyDescent="0.25">
      <c r="A1113" s="21">
        <f>Tabla156798[[#This Row],[FECHA IN]]-22</f>
        <v>45216</v>
      </c>
      <c r="B1113" s="21">
        <v>45228</v>
      </c>
      <c r="C1113" s="6">
        <v>45099</v>
      </c>
      <c r="D1113" s="6">
        <v>45238</v>
      </c>
      <c r="E1113" s="6">
        <v>45241</v>
      </c>
      <c r="F1113" s="115">
        <v>25777</v>
      </c>
      <c r="G1113" s="8" t="s">
        <v>3860</v>
      </c>
      <c r="H1113" s="8" t="s">
        <v>3852</v>
      </c>
      <c r="I1113" s="8">
        <v>6266.29</v>
      </c>
      <c r="J1113" s="8">
        <v>5640</v>
      </c>
      <c r="K1113" s="9">
        <f>Tabla156798[[#This Row],[CANTIDAD PUBLICA]]*0.05</f>
        <v>313.31450000000001</v>
      </c>
      <c r="L1113" s="10">
        <f>Tabla156798[[#This Row],[COMISION AGENCIA]]*0.05</f>
        <v>15.665725000000002</v>
      </c>
      <c r="M1113" s="7">
        <v>3481252213</v>
      </c>
      <c r="N1113" s="7">
        <v>11068496</v>
      </c>
      <c r="O1113" s="7" t="s">
        <v>5</v>
      </c>
      <c r="P1113" s="7"/>
    </row>
    <row r="1114" spans="1:16" x14ac:dyDescent="0.25">
      <c r="A1114" s="21">
        <f>Tabla156798[[#This Row],[FECHA IN]]-22</f>
        <v>45216</v>
      </c>
      <c r="B1114" s="21">
        <v>45228</v>
      </c>
      <c r="C1114" s="6">
        <v>45099</v>
      </c>
      <c r="D1114" s="6">
        <v>45238</v>
      </c>
      <c r="E1114" s="6">
        <v>45244</v>
      </c>
      <c r="F1114" s="115">
        <v>25777</v>
      </c>
      <c r="G1114" s="8" t="s">
        <v>3861</v>
      </c>
      <c r="H1114" s="8" t="s">
        <v>3852</v>
      </c>
      <c r="I1114" s="8">
        <v>6266.29</v>
      </c>
      <c r="J1114" s="8">
        <v>5640</v>
      </c>
      <c r="K1114" s="9">
        <f>Tabla156798[[#This Row],[CANTIDAD PUBLICA]]*0.05</f>
        <v>313.31450000000001</v>
      </c>
      <c r="L1114" s="10">
        <f>Tabla156798[[#This Row],[COMISION AGENCIA]]*0.05</f>
        <v>15.665725000000002</v>
      </c>
      <c r="M1114" s="7">
        <v>3481252213</v>
      </c>
      <c r="N1114" s="7">
        <v>11068565</v>
      </c>
      <c r="O1114" s="7" t="s">
        <v>5</v>
      </c>
      <c r="P1114" s="7"/>
    </row>
    <row r="1115" spans="1:16" x14ac:dyDescent="0.25">
      <c r="A1115" s="21">
        <f>Tabla156798[[#This Row],[FECHA IN]]-22</f>
        <v>45216</v>
      </c>
      <c r="B1115" s="21">
        <v>45228</v>
      </c>
      <c r="C1115" s="6">
        <v>45099</v>
      </c>
      <c r="D1115" s="6">
        <v>45238</v>
      </c>
      <c r="E1115" s="6">
        <v>45244</v>
      </c>
      <c r="F1115" s="115">
        <v>25777</v>
      </c>
      <c r="G1115" s="8" t="s">
        <v>3851</v>
      </c>
      <c r="H1115" s="8" t="s">
        <v>3862</v>
      </c>
      <c r="I1115" s="8">
        <v>6433.86</v>
      </c>
      <c r="J1115" s="8">
        <v>5820</v>
      </c>
      <c r="K1115" s="9">
        <f>Tabla156798[[#This Row],[CANTIDAD PUBLICA]]*0.05</f>
        <v>321.69299999999998</v>
      </c>
      <c r="L1115" s="10">
        <f>Tabla156798[[#This Row],[COMISION AGENCIA]]*0.05</f>
        <v>16.08465</v>
      </c>
      <c r="M1115" s="7">
        <v>3481252213</v>
      </c>
      <c r="N1115" s="7">
        <v>11068605</v>
      </c>
      <c r="O1115" s="7" t="s">
        <v>5</v>
      </c>
      <c r="P1115" s="7"/>
    </row>
    <row r="1116" spans="1:16" x14ac:dyDescent="0.25">
      <c r="A1116" s="21">
        <f>Tabla156798[[#This Row],[FECHA IN]]-22</f>
        <v>45219</v>
      </c>
      <c r="B1116" s="21">
        <v>45228</v>
      </c>
      <c r="C1116" s="6">
        <v>45099</v>
      </c>
      <c r="D1116" s="6">
        <v>45241</v>
      </c>
      <c r="E1116" s="6">
        <v>45244</v>
      </c>
      <c r="F1116" s="115">
        <v>25777</v>
      </c>
      <c r="G1116" s="8" t="s">
        <v>3853</v>
      </c>
      <c r="H1116" s="8" t="s">
        <v>3862</v>
      </c>
      <c r="I1116" s="8">
        <v>6433.86</v>
      </c>
      <c r="J1116" s="8">
        <v>5820</v>
      </c>
      <c r="K1116" s="9">
        <f>Tabla156798[[#This Row],[CANTIDAD PUBLICA]]*0.05</f>
        <v>321.69299999999998</v>
      </c>
      <c r="L1116" s="10">
        <f>Tabla156798[[#This Row],[COMISION AGENCIA]]*0.05</f>
        <v>16.08465</v>
      </c>
      <c r="M1116" s="7">
        <v>3481252213</v>
      </c>
      <c r="N1116" s="7">
        <v>11068615</v>
      </c>
      <c r="O1116" s="7" t="s">
        <v>5</v>
      </c>
      <c r="P1116" s="7"/>
    </row>
    <row r="1117" spans="1:16" x14ac:dyDescent="0.25">
      <c r="A1117" s="21">
        <f>Tabla156798[[#This Row],[FECHA IN]]-22</f>
        <v>45219</v>
      </c>
      <c r="B1117" s="21">
        <v>45228</v>
      </c>
      <c r="C1117" s="6">
        <v>45099</v>
      </c>
      <c r="D1117" s="6">
        <v>45241</v>
      </c>
      <c r="E1117" s="6">
        <v>45244</v>
      </c>
      <c r="F1117" s="115">
        <v>25777</v>
      </c>
      <c r="G1117" s="8" t="s">
        <v>3854</v>
      </c>
      <c r="H1117" s="8" t="s">
        <v>3862</v>
      </c>
      <c r="I1117" s="8">
        <v>6433.86</v>
      </c>
      <c r="J1117" s="8">
        <v>5820</v>
      </c>
      <c r="K1117" s="9">
        <f>Tabla156798[[#This Row],[CANTIDAD PUBLICA]]*0.05</f>
        <v>321.69299999999998</v>
      </c>
      <c r="L1117" s="10">
        <f>Tabla156798[[#This Row],[COMISION AGENCIA]]*0.05</f>
        <v>16.08465</v>
      </c>
      <c r="M1117" s="7">
        <v>3481252213</v>
      </c>
      <c r="N1117" s="7">
        <v>11068592</v>
      </c>
      <c r="O1117" s="7" t="s">
        <v>5</v>
      </c>
      <c r="P1117" s="7"/>
    </row>
    <row r="1118" spans="1:16" x14ac:dyDescent="0.25">
      <c r="A1118" s="21">
        <f>Tabla156798[[#This Row],[FECHA IN]]-22</f>
        <v>45219</v>
      </c>
      <c r="B1118" s="21">
        <v>45228</v>
      </c>
      <c r="C1118" s="6">
        <v>45099</v>
      </c>
      <c r="D1118" s="6">
        <v>45241</v>
      </c>
      <c r="E1118" s="6">
        <v>45244</v>
      </c>
      <c r="F1118" s="115">
        <v>25777</v>
      </c>
      <c r="G1118" s="8" t="s">
        <v>3855</v>
      </c>
      <c r="H1118" s="8" t="s">
        <v>3862</v>
      </c>
      <c r="I1118" s="8">
        <v>6433.86</v>
      </c>
      <c r="J1118" s="8">
        <v>5820</v>
      </c>
      <c r="K1118" s="9">
        <f>Tabla156798[[#This Row],[CANTIDAD PUBLICA]]*0.05</f>
        <v>321.69299999999998</v>
      </c>
      <c r="L1118" s="10">
        <f>Tabla156798[[#This Row],[COMISION AGENCIA]]*0.05</f>
        <v>16.08465</v>
      </c>
      <c r="M1118" s="7">
        <v>3481252213</v>
      </c>
      <c r="N1118" s="7">
        <v>11068637</v>
      </c>
      <c r="O1118" s="7" t="s">
        <v>5</v>
      </c>
      <c r="P1118" s="7"/>
    </row>
    <row r="1119" spans="1:16" x14ac:dyDescent="0.25">
      <c r="A1119" s="21">
        <f>Tabla156798[[#This Row],[FECHA IN]]-22</f>
        <v>45219</v>
      </c>
      <c r="B1119" s="21">
        <v>45228</v>
      </c>
      <c r="C1119" s="6">
        <v>45099</v>
      </c>
      <c r="D1119" s="6">
        <v>45241</v>
      </c>
      <c r="E1119" s="6">
        <v>45244</v>
      </c>
      <c r="F1119" s="115">
        <v>25777</v>
      </c>
      <c r="G1119" s="8" t="s">
        <v>3856</v>
      </c>
      <c r="H1119" s="8" t="s">
        <v>3862</v>
      </c>
      <c r="I1119" s="8">
        <v>6433.86</v>
      </c>
      <c r="J1119" s="8">
        <v>5820</v>
      </c>
      <c r="K1119" s="9">
        <f>Tabla156798[[#This Row],[CANTIDAD PUBLICA]]*0.05</f>
        <v>321.69299999999998</v>
      </c>
      <c r="L1119" s="10">
        <f>Tabla156798[[#This Row],[COMISION AGENCIA]]*0.05</f>
        <v>16.08465</v>
      </c>
      <c r="M1119" s="7">
        <v>3481252213</v>
      </c>
      <c r="N1119" s="7">
        <v>11068623</v>
      </c>
      <c r="O1119" s="7" t="s">
        <v>5</v>
      </c>
      <c r="P1119" s="7"/>
    </row>
    <row r="1120" spans="1:16" x14ac:dyDescent="0.25">
      <c r="A1120" s="21">
        <f>Tabla156798[[#This Row],[FECHA IN]]-22</f>
        <v>45219</v>
      </c>
      <c r="B1120" s="21">
        <v>45228</v>
      </c>
      <c r="C1120" s="6">
        <v>45099</v>
      </c>
      <c r="D1120" s="6">
        <v>45241</v>
      </c>
      <c r="E1120" s="6">
        <v>45244</v>
      </c>
      <c r="F1120" s="115">
        <v>25777</v>
      </c>
      <c r="G1120" s="8" t="s">
        <v>3857</v>
      </c>
      <c r="H1120" s="8" t="s">
        <v>3862</v>
      </c>
      <c r="I1120" s="8">
        <v>5824.54</v>
      </c>
      <c r="J1120" s="8">
        <v>5250</v>
      </c>
      <c r="K1120" s="9">
        <f>Tabla156798[[#This Row],[CANTIDAD PUBLICA]]*0.05</f>
        <v>291.22700000000003</v>
      </c>
      <c r="L1120" s="10">
        <f>Tabla156798[[#This Row],[COMISION AGENCIA]]*0.05</f>
        <v>14.561350000000003</v>
      </c>
      <c r="M1120" s="7">
        <v>3481252213</v>
      </c>
      <c r="N1120" s="7">
        <v>11068677</v>
      </c>
      <c r="O1120" s="7" t="s">
        <v>5</v>
      </c>
      <c r="P1120" s="7"/>
    </row>
    <row r="1121" spans="1:16" x14ac:dyDescent="0.25">
      <c r="A1121" s="21">
        <f>Tabla156798[[#This Row],[FECHA IN]]-22</f>
        <v>45219</v>
      </c>
      <c r="B1121" s="21">
        <v>45228</v>
      </c>
      <c r="C1121" s="6">
        <v>45099</v>
      </c>
      <c r="D1121" s="6">
        <v>45241</v>
      </c>
      <c r="E1121" s="6">
        <v>45244</v>
      </c>
      <c r="F1121" s="115">
        <v>25777</v>
      </c>
      <c r="G1121" s="8" t="s">
        <v>3858</v>
      </c>
      <c r="H1121" s="8" t="s">
        <v>3862</v>
      </c>
      <c r="I1121" s="8">
        <v>5824.54</v>
      </c>
      <c r="J1121" s="8">
        <v>5250</v>
      </c>
      <c r="K1121" s="9">
        <f>Tabla156798[[#This Row],[CANTIDAD PUBLICA]]*0.05</f>
        <v>291.22700000000003</v>
      </c>
      <c r="L1121" s="10">
        <f>Tabla156798[[#This Row],[COMISION AGENCIA]]*0.05</f>
        <v>14.561350000000003</v>
      </c>
      <c r="M1121" s="7">
        <v>3481252213</v>
      </c>
      <c r="N1121" s="7">
        <v>11068717</v>
      </c>
      <c r="O1121" s="7" t="s">
        <v>5</v>
      </c>
      <c r="P1121" s="7"/>
    </row>
    <row r="1122" spans="1:16" x14ac:dyDescent="0.25">
      <c r="A1122" s="21">
        <f>Tabla156798[[#This Row],[FECHA IN]]-22</f>
        <v>45219</v>
      </c>
      <c r="B1122" s="21">
        <v>45228</v>
      </c>
      <c r="C1122" s="6">
        <v>45099</v>
      </c>
      <c r="D1122" s="6">
        <v>45241</v>
      </c>
      <c r="E1122" s="6">
        <v>45244</v>
      </c>
      <c r="F1122" s="115">
        <v>25777</v>
      </c>
      <c r="G1122" s="8" t="s">
        <v>3859</v>
      </c>
      <c r="H1122" s="8" t="s">
        <v>3862</v>
      </c>
      <c r="I1122" s="8">
        <v>6433.86</v>
      </c>
      <c r="J1122" s="8">
        <v>5820</v>
      </c>
      <c r="K1122" s="9">
        <f>Tabla156798[[#This Row],[CANTIDAD PUBLICA]]*0.05</f>
        <v>321.69299999999998</v>
      </c>
      <c r="L1122" s="10">
        <f>Tabla156798[[#This Row],[COMISION AGENCIA]]*0.05</f>
        <v>16.08465</v>
      </c>
      <c r="M1122" s="7">
        <v>3481252213</v>
      </c>
      <c r="N1122" s="7">
        <v>11068657</v>
      </c>
      <c r="O1122" s="7" t="s">
        <v>5</v>
      </c>
      <c r="P1122" s="7"/>
    </row>
    <row r="1123" spans="1:16" x14ac:dyDescent="0.25">
      <c r="A1123" s="21">
        <f>Tabla156798[[#This Row],[FECHA IN]]-22</f>
        <v>45219</v>
      </c>
      <c r="B1123" s="21">
        <v>45228</v>
      </c>
      <c r="C1123" s="6">
        <v>45099</v>
      </c>
      <c r="D1123" s="6">
        <v>45241</v>
      </c>
      <c r="E1123" s="6">
        <v>45244</v>
      </c>
      <c r="F1123" s="115">
        <v>25777</v>
      </c>
      <c r="G1123" s="8" t="s">
        <v>3860</v>
      </c>
      <c r="H1123" s="8" t="s">
        <v>3862</v>
      </c>
      <c r="I1123" s="8">
        <v>5824.54</v>
      </c>
      <c r="J1123" s="8">
        <v>5250</v>
      </c>
      <c r="K1123" s="9">
        <f>Tabla156798[[#This Row],[CANTIDAD PUBLICA]]*0.05</f>
        <v>291.22700000000003</v>
      </c>
      <c r="L1123" s="10">
        <f>Tabla156798[[#This Row],[COMISION AGENCIA]]*0.05</f>
        <v>14.561350000000003</v>
      </c>
      <c r="M1123" s="7">
        <v>3481252213</v>
      </c>
      <c r="N1123" s="7">
        <v>11068687</v>
      </c>
      <c r="O1123" s="7" t="s">
        <v>5</v>
      </c>
      <c r="P1123" s="7"/>
    </row>
    <row r="1124" spans="1:16" x14ac:dyDescent="0.25">
      <c r="A1124" s="21">
        <f>Tabla156798[[#This Row],[FECHA IN]]-15</f>
        <v>45220</v>
      </c>
      <c r="B1124" s="21">
        <v>45220</v>
      </c>
      <c r="C1124" s="6">
        <v>44875</v>
      </c>
      <c r="D1124" s="6">
        <v>45235</v>
      </c>
      <c r="E1124" s="6">
        <v>45239</v>
      </c>
      <c r="F1124" s="115"/>
      <c r="G1124" s="8" t="s">
        <v>3863</v>
      </c>
      <c r="H1124" s="8" t="s">
        <v>3864</v>
      </c>
      <c r="I1124" s="66"/>
      <c r="J1124" s="8"/>
      <c r="K1124" s="9"/>
      <c r="L1124" s="10"/>
      <c r="M1124" s="7">
        <v>3481014983</v>
      </c>
      <c r="N1124" s="7"/>
      <c r="O1124" s="7" t="s">
        <v>2243</v>
      </c>
      <c r="P1124" s="7"/>
    </row>
    <row r="1125" spans="1:16" x14ac:dyDescent="0.25">
      <c r="A1125" s="21">
        <f>Tabla156798[[#This Row],[FECHA IN]]-15</f>
        <v>45224</v>
      </c>
      <c r="B1125" s="21">
        <v>45222</v>
      </c>
      <c r="C1125" s="6">
        <v>44930</v>
      </c>
      <c r="D1125" s="6">
        <v>45239</v>
      </c>
      <c r="E1125" s="6">
        <v>45246</v>
      </c>
      <c r="F1125" s="115">
        <v>23124</v>
      </c>
      <c r="G1125" s="8" t="s">
        <v>3865</v>
      </c>
      <c r="H1125" s="8" t="s">
        <v>3866</v>
      </c>
      <c r="I1125" s="8"/>
      <c r="J1125" s="8"/>
      <c r="K1125" s="9">
        <f>Tabla156798[[#This Row],[CANTIDAD PUBLICA]]*0.05</f>
        <v>0</v>
      </c>
      <c r="L1125" s="10">
        <f>Tabla156798[[#This Row],[COMISION AGENCIA]]*0.05</f>
        <v>0</v>
      </c>
      <c r="M1125" s="7"/>
      <c r="N1125" s="7">
        <v>10262951</v>
      </c>
      <c r="O1125" s="7" t="s">
        <v>5</v>
      </c>
      <c r="P1125" s="7"/>
    </row>
    <row r="1126" spans="1:16" x14ac:dyDescent="0.25">
      <c r="A1126" s="21">
        <f>Tabla156798[[#This Row],[FECHA IN]]-15</f>
        <v>45224</v>
      </c>
      <c r="B1126" s="21">
        <v>45222</v>
      </c>
      <c r="C1126" s="6">
        <v>44930</v>
      </c>
      <c r="D1126" s="6">
        <v>45239</v>
      </c>
      <c r="E1126" s="6">
        <v>45246</v>
      </c>
      <c r="F1126" s="115">
        <v>23113</v>
      </c>
      <c r="G1126" s="8" t="s">
        <v>3867</v>
      </c>
      <c r="H1126" s="158" t="s">
        <v>3866</v>
      </c>
      <c r="I1126" s="8"/>
      <c r="J1126" s="8"/>
      <c r="K1126" s="9">
        <f>Tabla156798[[#This Row],[CANTIDAD PUBLICA]]*0.05</f>
        <v>0</v>
      </c>
      <c r="L1126" s="10">
        <f>Tabla156798[[#This Row],[COMISION AGENCIA]]*0.05</f>
        <v>0</v>
      </c>
      <c r="M1126" s="7"/>
      <c r="N1126" s="7">
        <v>10262883</v>
      </c>
      <c r="O1126" s="7" t="s">
        <v>5</v>
      </c>
      <c r="P1126" s="7"/>
    </row>
    <row r="1127" spans="1:16" x14ac:dyDescent="0.25">
      <c r="A1127" s="21">
        <f>Tabla156798[[#This Row],[FECHA IN]]-15</f>
        <v>45224</v>
      </c>
      <c r="B1127" s="21">
        <v>45222</v>
      </c>
      <c r="C1127" s="6">
        <v>44930</v>
      </c>
      <c r="D1127" s="6">
        <v>45239</v>
      </c>
      <c r="E1127" s="6">
        <v>45246</v>
      </c>
      <c r="F1127" s="115">
        <v>23106</v>
      </c>
      <c r="G1127" s="8" t="s">
        <v>3868</v>
      </c>
      <c r="H1127" s="158" t="s">
        <v>3866</v>
      </c>
      <c r="I1127" s="8"/>
      <c r="J1127" s="8"/>
      <c r="K1127" s="9">
        <f>Tabla156798[[#This Row],[CANTIDAD PUBLICA]]*0.05</f>
        <v>0</v>
      </c>
      <c r="L1127" s="10">
        <f>Tabla156798[[#This Row],[COMISION AGENCIA]]*0.05</f>
        <v>0</v>
      </c>
      <c r="M1127" s="7"/>
      <c r="N1127" s="7">
        <v>10262894</v>
      </c>
      <c r="O1127" s="7" t="s">
        <v>5</v>
      </c>
      <c r="P1127" s="7"/>
    </row>
    <row r="1128" spans="1:16" x14ac:dyDescent="0.25">
      <c r="A1128" s="21">
        <f>Tabla156798[[#This Row],[FECHA IN]]-15</f>
        <v>45224</v>
      </c>
      <c r="B1128" s="21">
        <v>45222</v>
      </c>
      <c r="C1128" s="6">
        <v>44930</v>
      </c>
      <c r="D1128" s="6">
        <v>45239</v>
      </c>
      <c r="E1128" s="6">
        <v>45246</v>
      </c>
      <c r="F1128" s="115">
        <v>23106</v>
      </c>
      <c r="G1128" s="8" t="s">
        <v>3869</v>
      </c>
      <c r="H1128" s="158" t="s">
        <v>3866</v>
      </c>
      <c r="I1128" s="8"/>
      <c r="J1128" s="8"/>
      <c r="K1128" s="9">
        <f>Tabla156798[[#This Row],[CANTIDAD PUBLICA]]*0.05</f>
        <v>0</v>
      </c>
      <c r="L1128" s="10">
        <f>Tabla156798[[#This Row],[COMISION AGENCIA]]*0.05</f>
        <v>0</v>
      </c>
      <c r="M1128" s="7"/>
      <c r="N1128" s="7">
        <v>10262926</v>
      </c>
      <c r="O1128" s="7" t="s">
        <v>5</v>
      </c>
      <c r="P1128" s="7"/>
    </row>
    <row r="1129" spans="1:16" x14ac:dyDescent="0.25">
      <c r="A1129" s="21">
        <f>Tabla156798[[#This Row],[FECHA IN]]-15</f>
        <v>45224</v>
      </c>
      <c r="B1129" s="21">
        <v>45222</v>
      </c>
      <c r="C1129" s="6">
        <v>44930</v>
      </c>
      <c r="D1129" s="6">
        <v>45239</v>
      </c>
      <c r="E1129" s="6">
        <v>45246</v>
      </c>
      <c r="F1129" s="115"/>
      <c r="G1129" s="8" t="s">
        <v>1879</v>
      </c>
      <c r="H1129" s="158" t="s">
        <v>3866</v>
      </c>
      <c r="I1129" s="8"/>
      <c r="J1129" s="8"/>
      <c r="K1129" s="9">
        <f>Tabla156798[[#This Row],[CANTIDAD PUBLICA]]*0.05</f>
        <v>0</v>
      </c>
      <c r="L1129" s="10">
        <f>Tabla156798[[#This Row],[COMISION AGENCIA]]*0.05</f>
        <v>0</v>
      </c>
      <c r="M1129" s="7"/>
      <c r="N1129" s="7">
        <v>10582469</v>
      </c>
      <c r="O1129" s="7" t="s">
        <v>5</v>
      </c>
      <c r="P1129" s="7"/>
    </row>
    <row r="1130" spans="1:16" x14ac:dyDescent="0.25">
      <c r="A1130" s="21">
        <f>Tabla156798[[#This Row],[FECHA IN]]-22</f>
        <v>45234</v>
      </c>
      <c r="B1130" s="21">
        <v>45237</v>
      </c>
      <c r="C1130" s="6">
        <v>45041</v>
      </c>
      <c r="D1130" s="6">
        <v>45256</v>
      </c>
      <c r="E1130" s="6">
        <v>45260</v>
      </c>
      <c r="F1130" s="115">
        <v>24682</v>
      </c>
      <c r="G1130" s="8" t="s">
        <v>3870</v>
      </c>
      <c r="H1130" s="8" t="s">
        <v>1773</v>
      </c>
      <c r="I1130" s="8">
        <v>13593.23</v>
      </c>
      <c r="J1130" s="8">
        <v>12240</v>
      </c>
      <c r="K1130" s="9">
        <f>Tabla156798[[#This Row],[CANTIDAD PUBLICA]]*0.05</f>
        <v>679.66150000000005</v>
      </c>
      <c r="L1130" s="10">
        <f>Tabla156798[[#This Row],[COMISION AGENCIA]]*0.05</f>
        <v>33.983075000000007</v>
      </c>
      <c r="M1130" s="7">
        <v>3481255433</v>
      </c>
      <c r="N1130" s="7">
        <v>10814499</v>
      </c>
      <c r="O1130" s="7" t="s">
        <v>5</v>
      </c>
      <c r="P1130" s="7"/>
    </row>
    <row r="1131" spans="1:16" x14ac:dyDescent="0.25">
      <c r="A1131" s="21">
        <f>Tabla156798[[#This Row],[FECHA IN]]-22</f>
        <v>45234</v>
      </c>
      <c r="B1131" s="21">
        <v>45237</v>
      </c>
      <c r="C1131" s="6">
        <v>45041</v>
      </c>
      <c r="D1131" s="6">
        <v>45256</v>
      </c>
      <c r="E1131" s="6">
        <v>45260</v>
      </c>
      <c r="F1131" s="115">
        <v>24682</v>
      </c>
      <c r="G1131" s="8" t="s">
        <v>3871</v>
      </c>
      <c r="H1131" s="8" t="s">
        <v>1773</v>
      </c>
      <c r="I1131" s="8">
        <v>13593.23</v>
      </c>
      <c r="J1131" s="8">
        <v>12240</v>
      </c>
      <c r="K1131" s="9">
        <f>Tabla156798[[#This Row],[CANTIDAD PUBLICA]]*0.05</f>
        <v>679.66150000000005</v>
      </c>
      <c r="L1131" s="10">
        <f>Tabla156798[[#This Row],[COMISION AGENCIA]]*0.05</f>
        <v>33.983075000000007</v>
      </c>
      <c r="M1131" s="7">
        <v>3481255433</v>
      </c>
      <c r="N1131" s="7">
        <v>10814469</v>
      </c>
      <c r="O1131" s="7" t="s">
        <v>5</v>
      </c>
      <c r="P1131" s="7"/>
    </row>
    <row r="1132" spans="1:16" x14ac:dyDescent="0.25">
      <c r="A1132" s="21">
        <f>Tabla156798[[#This Row],[FECHA IN]]-22</f>
        <v>45234</v>
      </c>
      <c r="B1132" s="21">
        <v>45237</v>
      </c>
      <c r="C1132" s="6">
        <v>45041</v>
      </c>
      <c r="D1132" s="6">
        <v>45256</v>
      </c>
      <c r="E1132" s="6">
        <v>45260</v>
      </c>
      <c r="F1132" s="115">
        <v>24682</v>
      </c>
      <c r="G1132" s="8" t="s">
        <v>3872</v>
      </c>
      <c r="H1132" s="8" t="s">
        <v>1773</v>
      </c>
      <c r="I1132" s="8">
        <v>13593.23</v>
      </c>
      <c r="J1132" s="8">
        <v>12240</v>
      </c>
      <c r="K1132" s="9">
        <f>Tabla156798[[#This Row],[CANTIDAD PUBLICA]]*0.05</f>
        <v>679.66150000000005</v>
      </c>
      <c r="L1132" s="10">
        <f>Tabla156798[[#This Row],[COMISION AGENCIA]]*0.05</f>
        <v>33.983075000000007</v>
      </c>
      <c r="M1132" s="7">
        <v>3481255433</v>
      </c>
      <c r="N1132" s="7">
        <v>10814469</v>
      </c>
      <c r="O1132" s="7" t="s">
        <v>5</v>
      </c>
      <c r="P1132" s="7"/>
    </row>
    <row r="1133" spans="1:16" x14ac:dyDescent="0.25">
      <c r="A1133" s="21">
        <f>Tabla156798[[#This Row],[FECHA IN]]-22</f>
        <v>45234</v>
      </c>
      <c r="B1133" s="21">
        <v>45237</v>
      </c>
      <c r="C1133" s="6">
        <v>45041</v>
      </c>
      <c r="D1133" s="6">
        <v>45256</v>
      </c>
      <c r="E1133" s="6">
        <v>45260</v>
      </c>
      <c r="F1133" s="115">
        <v>24682</v>
      </c>
      <c r="G1133" s="8" t="s">
        <v>3873</v>
      </c>
      <c r="H1133" s="8" t="s">
        <v>1773</v>
      </c>
      <c r="I1133" s="8">
        <v>13593.23</v>
      </c>
      <c r="J1133" s="8">
        <v>12240</v>
      </c>
      <c r="K1133" s="9">
        <f>Tabla156798[[#This Row],[CANTIDAD PUBLICA]]*0.05</f>
        <v>679.66150000000005</v>
      </c>
      <c r="L1133" s="10">
        <f>Tabla156798[[#This Row],[COMISION AGENCIA]]*0.05</f>
        <v>33.983075000000007</v>
      </c>
      <c r="M1133" s="7">
        <v>3481255433</v>
      </c>
      <c r="N1133" s="7">
        <v>10814487</v>
      </c>
      <c r="O1133" s="7" t="s">
        <v>5</v>
      </c>
      <c r="P1133" s="7"/>
    </row>
    <row r="1134" spans="1:16" x14ac:dyDescent="0.25">
      <c r="A1134" s="21">
        <f>Tabla156798[[#This Row],[FECHA IN]]-15</f>
        <v>45241</v>
      </c>
      <c r="B1134" s="21">
        <v>45276</v>
      </c>
      <c r="C1134" s="6">
        <v>44909</v>
      </c>
      <c r="D1134" s="6">
        <v>45256</v>
      </c>
      <c r="E1134" s="6">
        <v>45260</v>
      </c>
      <c r="F1134" s="115">
        <v>22945</v>
      </c>
      <c r="G1134" s="8" t="s">
        <v>3813</v>
      </c>
      <c r="H1134" s="8" t="s">
        <v>3198</v>
      </c>
      <c r="I1134" s="8">
        <v>17098.060000000001</v>
      </c>
      <c r="J1134" s="8">
        <v>15390</v>
      </c>
      <c r="K1134" s="9">
        <f>Tabla156798[[#This Row],[CANTIDAD PUBLICA]]*0.05</f>
        <v>854.90300000000013</v>
      </c>
      <c r="L1134" s="10">
        <f>Tabla156798[[#This Row],[COMISION AGENCIA]]*0.05</f>
        <v>42.74515000000001</v>
      </c>
      <c r="M1134" s="7">
        <v>4361146716</v>
      </c>
      <c r="N1134" s="7" t="s">
        <v>3874</v>
      </c>
      <c r="O1134" s="7" t="s">
        <v>2243</v>
      </c>
      <c r="P1134" s="7"/>
    </row>
    <row r="1135" spans="1:16" x14ac:dyDescent="0.25">
      <c r="A1135" s="14">
        <f>Tabla156798[[#This Row],[FECHA IN]]-22</f>
        <v>45251</v>
      </c>
      <c r="B1135" s="14">
        <v>45260</v>
      </c>
      <c r="C1135" s="6">
        <v>45045</v>
      </c>
      <c r="D1135" s="6">
        <v>45273</v>
      </c>
      <c r="E1135" s="6">
        <v>45274</v>
      </c>
      <c r="F1135" s="115">
        <v>24877</v>
      </c>
      <c r="G1135" s="8" t="s">
        <v>3875</v>
      </c>
      <c r="H1135" s="8" t="s">
        <v>3876</v>
      </c>
      <c r="I1135" s="8">
        <v>1663.91</v>
      </c>
      <c r="J1135" s="8">
        <v>1515</v>
      </c>
      <c r="K1135" s="9">
        <f>Tabla156798[[#This Row],[CANTIDAD PUBLICA]]*0.05</f>
        <v>83.19550000000001</v>
      </c>
      <c r="L1135" s="10">
        <f>Tabla156798[[#This Row],[COMISION AGENCIA]]*0.05</f>
        <v>4.1597750000000007</v>
      </c>
      <c r="M1135" s="7">
        <v>3481112480</v>
      </c>
      <c r="N1135" s="7">
        <v>10831487</v>
      </c>
      <c r="O1135" s="7" t="s">
        <v>5</v>
      </c>
      <c r="P1135" s="7"/>
    </row>
    <row r="1136" spans="1:16" x14ac:dyDescent="0.25">
      <c r="A1136" s="14">
        <f>Tabla156798[[#This Row],[FECHA IN]]-22</f>
        <v>45255</v>
      </c>
      <c r="B1136" s="14">
        <v>45260</v>
      </c>
      <c r="C1136" s="6">
        <v>45045</v>
      </c>
      <c r="D1136" s="6">
        <v>45277</v>
      </c>
      <c r="E1136" s="6">
        <v>45278</v>
      </c>
      <c r="F1136" s="115">
        <v>24877</v>
      </c>
      <c r="G1136" s="8" t="s">
        <v>3877</v>
      </c>
      <c r="H1136" s="8" t="s">
        <v>3876</v>
      </c>
      <c r="I1136" s="8">
        <v>1663.91</v>
      </c>
      <c r="J1136" s="8">
        <v>1515</v>
      </c>
      <c r="K1136" s="9">
        <f>Tabla156798[[#This Row],[CANTIDAD PUBLICA]]*0.05</f>
        <v>83.19550000000001</v>
      </c>
      <c r="L1136" s="10">
        <f>Tabla156798[[#This Row],[COMISION AGENCIA]]*0.05</f>
        <v>4.1597750000000007</v>
      </c>
      <c r="M1136" s="7">
        <v>3481112480</v>
      </c>
      <c r="N1136" s="7">
        <v>10831542</v>
      </c>
      <c r="O1136" s="7" t="s">
        <v>5</v>
      </c>
      <c r="P1136" s="7"/>
    </row>
    <row r="1137" spans="1:16" x14ac:dyDescent="0.25">
      <c r="A1137" s="21">
        <f>Tabla156798[[#This Row],[FECHA IN]]-22</f>
        <v>45255</v>
      </c>
      <c r="B1137" s="21">
        <v>45268</v>
      </c>
      <c r="C1137" s="6">
        <v>45078</v>
      </c>
      <c r="D1137" s="6">
        <v>45277</v>
      </c>
      <c r="E1137" s="6">
        <v>45281</v>
      </c>
      <c r="F1137" s="115">
        <v>25253</v>
      </c>
      <c r="G1137" s="8" t="s">
        <v>3878</v>
      </c>
      <c r="H1137" s="8" t="s">
        <v>2181</v>
      </c>
      <c r="I1137" s="8">
        <v>19158.849999999999</v>
      </c>
      <c r="J1137" s="8">
        <v>16670</v>
      </c>
      <c r="K1137" s="9">
        <f>Tabla156798[[#This Row],[CANTIDAD PUBLICA]]*0.05</f>
        <v>957.9425</v>
      </c>
      <c r="L1137" s="10">
        <f>Tabla156798[[#This Row],[COMISION AGENCIA]]*0.05</f>
        <v>47.897125000000003</v>
      </c>
      <c r="M1137" s="7">
        <v>3481272412</v>
      </c>
      <c r="N1137" s="7" t="s">
        <v>3879</v>
      </c>
      <c r="O1137" s="7" t="s">
        <v>6</v>
      </c>
      <c r="P1137" s="7"/>
    </row>
    <row r="1138" spans="1:16" x14ac:dyDescent="0.25">
      <c r="A1138" s="21">
        <f>Tabla156798[[#This Row],[FECHA IN]]-22</f>
        <v>45256</v>
      </c>
      <c r="B1138" s="21">
        <v>45261</v>
      </c>
      <c r="C1138" s="6">
        <v>45014</v>
      </c>
      <c r="D1138" s="6">
        <v>45278</v>
      </c>
      <c r="E1138" s="6">
        <v>45282</v>
      </c>
      <c r="F1138" s="115">
        <v>24228</v>
      </c>
      <c r="G1138" s="8" t="s">
        <v>3880</v>
      </c>
      <c r="H1138" s="8" t="s">
        <v>2167</v>
      </c>
      <c r="I1138" s="8">
        <v>17098.060000000001</v>
      </c>
      <c r="J1138" s="8">
        <v>15390</v>
      </c>
      <c r="K1138" s="9">
        <f>Tabla156798[[#This Row],[CANTIDAD PUBLICA]]*0.05</f>
        <v>854.90300000000013</v>
      </c>
      <c r="L1138" s="10">
        <f>Tabla156798[[#This Row],[COMISION AGENCIA]]*0.05</f>
        <v>42.74515000000001</v>
      </c>
      <c r="M1138" s="7">
        <v>3481307659</v>
      </c>
      <c r="N1138" s="7">
        <v>10692143</v>
      </c>
      <c r="O1138" s="7" t="s">
        <v>5</v>
      </c>
      <c r="P1138" s="7"/>
    </row>
    <row r="1139" spans="1:16" x14ac:dyDescent="0.25">
      <c r="A1139" s="21">
        <f>Tabla156798[[#This Row],[FECHA IN]]-22</f>
        <v>45256</v>
      </c>
      <c r="B1139" s="21">
        <v>45261</v>
      </c>
      <c r="C1139" s="6">
        <v>45014</v>
      </c>
      <c r="D1139" s="6">
        <v>45278</v>
      </c>
      <c r="E1139" s="6">
        <v>45282</v>
      </c>
      <c r="F1139" s="115">
        <v>24228</v>
      </c>
      <c r="G1139" s="8" t="s">
        <v>3881</v>
      </c>
      <c r="H1139" s="8" t="s">
        <v>2167</v>
      </c>
      <c r="I1139" s="8">
        <v>17098.060000000001</v>
      </c>
      <c r="J1139" s="8">
        <v>15390</v>
      </c>
      <c r="K1139" s="9">
        <f>Tabla156798[[#This Row],[CANTIDAD PUBLICA]]*0.05</f>
        <v>854.90300000000013</v>
      </c>
      <c r="L1139" s="10">
        <f>Tabla156798[[#This Row],[COMISION AGENCIA]]*0.05</f>
        <v>42.74515000000001</v>
      </c>
      <c r="M1139" s="7">
        <v>3481307659</v>
      </c>
      <c r="N1139" s="7">
        <v>10692155</v>
      </c>
      <c r="O1139" s="7" t="s">
        <v>5</v>
      </c>
      <c r="P1139" s="7"/>
    </row>
    <row r="1140" spans="1:16" x14ac:dyDescent="0.25">
      <c r="A1140" s="21">
        <f>Tabla156798[[#This Row],[FECHA IN]]-22</f>
        <v>45256</v>
      </c>
      <c r="B1140" s="21">
        <v>45261</v>
      </c>
      <c r="C1140" s="6">
        <v>45014</v>
      </c>
      <c r="D1140" s="6">
        <v>45278</v>
      </c>
      <c r="E1140" s="6">
        <v>45282</v>
      </c>
      <c r="F1140" s="115">
        <v>24228</v>
      </c>
      <c r="G1140" s="8" t="s">
        <v>3882</v>
      </c>
      <c r="H1140" s="8" t="s">
        <v>2167</v>
      </c>
      <c r="I1140" s="8">
        <v>17098.060000000001</v>
      </c>
      <c r="J1140" s="8">
        <v>15390</v>
      </c>
      <c r="K1140" s="9">
        <f>Tabla156798[[#This Row],[CANTIDAD PUBLICA]]*0.05</f>
        <v>854.90300000000013</v>
      </c>
      <c r="L1140" s="10">
        <f>Tabla156798[[#This Row],[COMISION AGENCIA]]*0.05</f>
        <v>42.74515000000001</v>
      </c>
      <c r="M1140" s="7">
        <v>3481307659</v>
      </c>
      <c r="N1140" s="7">
        <v>10692188</v>
      </c>
      <c r="O1140" s="7" t="s">
        <v>5</v>
      </c>
      <c r="P1140" s="7"/>
    </row>
    <row r="1141" spans="1:16" x14ac:dyDescent="0.25">
      <c r="A1141" s="21">
        <f>Tabla156798[[#This Row],[FECHA IN]]-22</f>
        <v>45256</v>
      </c>
      <c r="B1141" s="21">
        <v>45261</v>
      </c>
      <c r="C1141" s="6">
        <v>45014</v>
      </c>
      <c r="D1141" s="6">
        <v>45278</v>
      </c>
      <c r="E1141" s="6">
        <v>45282</v>
      </c>
      <c r="F1141" s="115">
        <v>24228</v>
      </c>
      <c r="G1141" s="8" t="s">
        <v>3883</v>
      </c>
      <c r="H1141" s="8" t="s">
        <v>2167</v>
      </c>
      <c r="I1141" s="8">
        <v>17098.060000000001</v>
      </c>
      <c r="J1141" s="8">
        <v>15390</v>
      </c>
      <c r="K1141" s="9">
        <f>Tabla156798[[#This Row],[CANTIDAD PUBLICA]]*0.05</f>
        <v>854.90300000000013</v>
      </c>
      <c r="L1141" s="10">
        <f>Tabla156798[[#This Row],[COMISION AGENCIA]]*0.05</f>
        <v>42.74515000000001</v>
      </c>
      <c r="M1141" s="7">
        <v>3481307659</v>
      </c>
      <c r="N1141" s="7">
        <v>10692203</v>
      </c>
      <c r="O1141" s="7" t="s">
        <v>5</v>
      </c>
      <c r="P1141" s="7"/>
    </row>
    <row r="1142" spans="1:16" x14ac:dyDescent="0.25">
      <c r="A1142" s="21">
        <f>Tabla156798[[#This Row],[FECHA IN]]-22</f>
        <v>45256</v>
      </c>
      <c r="B1142" s="21">
        <v>45263</v>
      </c>
      <c r="C1142" s="6">
        <v>45062</v>
      </c>
      <c r="D1142" s="6">
        <v>45278</v>
      </c>
      <c r="E1142" s="6">
        <v>45282</v>
      </c>
      <c r="F1142" s="115">
        <v>24228</v>
      </c>
      <c r="G1142" s="8" t="s">
        <v>3884</v>
      </c>
      <c r="H1142" s="8" t="s">
        <v>2167</v>
      </c>
      <c r="I1142" s="8">
        <v>25461.8</v>
      </c>
      <c r="J1142" s="8">
        <v>24510</v>
      </c>
      <c r="K1142" s="9">
        <f>Tabla156798[[#This Row],[CANTIDAD PUBLICA]]*0.05</f>
        <v>1273.0900000000001</v>
      </c>
      <c r="L1142" s="10">
        <f>Tabla156798[[#This Row],[COMISION AGENCIA]]*0.05</f>
        <v>63.654500000000013</v>
      </c>
      <c r="M1142" s="7">
        <v>3481307656</v>
      </c>
      <c r="N1142" s="7">
        <v>10907811</v>
      </c>
      <c r="O1142" s="7" t="s">
        <v>5</v>
      </c>
      <c r="P1142" s="7"/>
    </row>
  </sheetData>
  <sheetProtection algorithmName="SHA-512" hashValue="2gnghskeHy/M0PSKvtLehIgIYulQChQD/IzEsMOrfkxVkC4OJI61v+3ozaIb9hJCNSUygNBk+wjlmMUzfVxwKw==" saltValue="DRhgSoJvxK2hb6fKb0pYSQ==" spinCount="100000" sheet="1" objects="1" scenarios="1"/>
  <mergeCells count="2">
    <mergeCell ref="A1:A3"/>
    <mergeCell ref="C1:C3"/>
  </mergeCells>
  <phoneticPr fontId="1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3"/>
  <sheetViews>
    <sheetView tabSelected="1" zoomScale="115" zoomScaleNormal="115" workbookViewId="0">
      <selection activeCell="H14" sqref="H14:I14"/>
    </sheetView>
  </sheetViews>
  <sheetFormatPr baseColWidth="10" defaultColWidth="11.42578125" defaultRowHeight="15" x14ac:dyDescent="0.25"/>
  <cols>
    <col min="3" max="8" width="3.85546875" customWidth="1"/>
    <col min="9" max="9" width="6.7109375" bestFit="1" customWidth="1"/>
    <col min="10" max="10" width="7.140625" bestFit="1" customWidth="1"/>
    <col min="11" max="11" width="15.140625" bestFit="1" customWidth="1"/>
    <col min="12" max="12" width="7.42578125" bestFit="1" customWidth="1"/>
    <col min="13" max="13" width="14.7109375" bestFit="1" customWidth="1"/>
    <col min="14" max="14" width="7" bestFit="1" customWidth="1"/>
  </cols>
  <sheetData>
    <row r="1" spans="1:14" x14ac:dyDescent="0.25">
      <c r="C1" s="205" t="s">
        <v>3885</v>
      </c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7"/>
    </row>
    <row r="2" spans="1:14" x14ac:dyDescent="0.25">
      <c r="C2" s="202" t="s">
        <v>3886</v>
      </c>
      <c r="D2" s="203"/>
      <c r="E2" s="203"/>
      <c r="F2" s="203"/>
      <c r="G2" s="203"/>
      <c r="H2" s="204"/>
      <c r="I2" s="119">
        <v>44962</v>
      </c>
      <c r="J2" s="119">
        <v>45006</v>
      </c>
      <c r="K2" s="119" t="s">
        <v>3887</v>
      </c>
      <c r="L2" s="119">
        <v>45047</v>
      </c>
      <c r="M2" s="23" t="s">
        <v>3888</v>
      </c>
      <c r="N2" s="119">
        <v>45250</v>
      </c>
    </row>
    <row r="3" spans="1:14" x14ac:dyDescent="0.25">
      <c r="C3" s="23">
        <v>1</v>
      </c>
      <c r="D3" s="23">
        <v>2</v>
      </c>
      <c r="E3" s="23">
        <v>3</v>
      </c>
      <c r="F3" s="23">
        <v>4</v>
      </c>
      <c r="G3" s="23">
        <v>5</v>
      </c>
      <c r="H3" s="23">
        <v>6</v>
      </c>
      <c r="I3" s="23"/>
      <c r="J3" s="23"/>
      <c r="K3" s="23"/>
      <c r="L3" s="23"/>
      <c r="M3" s="23"/>
      <c r="N3" s="23"/>
    </row>
    <row r="4" spans="1:14" x14ac:dyDescent="0.25">
      <c r="A4" s="23" t="s">
        <v>3889</v>
      </c>
      <c r="B4" s="145" t="s">
        <v>3890</v>
      </c>
      <c r="C4" s="23"/>
      <c r="D4" s="23"/>
      <c r="E4" s="23"/>
      <c r="F4" s="23"/>
      <c r="G4" s="23"/>
      <c r="H4" s="23"/>
      <c r="I4" s="23"/>
      <c r="J4" s="23"/>
      <c r="K4" s="23" t="s">
        <v>3891</v>
      </c>
      <c r="L4" s="23"/>
      <c r="M4" s="23"/>
      <c r="N4" s="23"/>
    </row>
    <row r="5" spans="1:14" x14ac:dyDescent="0.25">
      <c r="A5" s="23" t="s">
        <v>3892</v>
      </c>
      <c r="B5" s="145" t="s">
        <v>3893</v>
      </c>
      <c r="C5" s="23"/>
      <c r="D5" s="23"/>
      <c r="E5" s="23"/>
      <c r="F5" s="23"/>
      <c r="G5" s="23"/>
      <c r="H5" s="23"/>
      <c r="I5" s="23"/>
      <c r="J5" s="23"/>
      <c r="K5" s="23" t="s">
        <v>3894</v>
      </c>
      <c r="L5" s="23"/>
      <c r="M5" s="23"/>
      <c r="N5" s="23"/>
    </row>
    <row r="6" spans="1:14" x14ac:dyDescent="0.25">
      <c r="A6" s="23" t="s">
        <v>3895</v>
      </c>
      <c r="B6" s="145" t="s">
        <v>3896</v>
      </c>
      <c r="C6" s="23"/>
      <c r="D6" s="23"/>
      <c r="E6" s="23"/>
      <c r="F6" s="23"/>
      <c r="G6" s="23"/>
      <c r="H6" s="23"/>
      <c r="I6" s="23"/>
      <c r="J6" s="23"/>
      <c r="K6" s="23" t="s">
        <v>3897</v>
      </c>
      <c r="L6" s="23"/>
      <c r="M6" s="23"/>
      <c r="N6" s="23"/>
    </row>
    <row r="7" spans="1:14" x14ac:dyDescent="0.25">
      <c r="A7" s="23" t="s">
        <v>3898</v>
      </c>
      <c r="B7" s="145" t="s">
        <v>3899</v>
      </c>
      <c r="C7" s="202" t="s">
        <v>3900</v>
      </c>
      <c r="D7" s="203"/>
      <c r="E7" s="203"/>
      <c r="F7" s="203"/>
      <c r="G7" s="203"/>
      <c r="H7" s="203"/>
      <c r="I7" s="204"/>
      <c r="J7" s="23"/>
      <c r="K7" s="23"/>
      <c r="L7" s="23"/>
      <c r="M7" s="202" t="s">
        <v>3901</v>
      </c>
      <c r="N7" s="204"/>
    </row>
    <row r="9" spans="1:14" x14ac:dyDescent="0.25">
      <c r="C9" s="209" t="s">
        <v>3902</v>
      </c>
      <c r="D9" s="209"/>
      <c r="E9" s="209"/>
      <c r="F9" s="209"/>
      <c r="G9" s="209"/>
      <c r="H9" s="209"/>
      <c r="I9" s="209"/>
      <c r="J9" s="209"/>
      <c r="K9" s="209"/>
      <c r="L9" s="209"/>
      <c r="M9" s="209"/>
      <c r="N9" s="209"/>
    </row>
    <row r="10" spans="1:14" x14ac:dyDescent="0.25">
      <c r="C10" s="208" t="s">
        <v>3886</v>
      </c>
      <c r="D10" s="208"/>
      <c r="E10" s="208"/>
      <c r="F10" s="208"/>
      <c r="G10" s="208"/>
      <c r="H10" s="208"/>
      <c r="I10" s="119">
        <v>44962</v>
      </c>
      <c r="J10" s="119">
        <v>45006</v>
      </c>
      <c r="K10" s="119" t="s">
        <v>3887</v>
      </c>
      <c r="L10" s="119">
        <v>45047</v>
      </c>
      <c r="M10" s="23" t="s">
        <v>3903</v>
      </c>
      <c r="N10" s="119">
        <v>45250</v>
      </c>
    </row>
    <row r="11" spans="1:14" x14ac:dyDescent="0.25">
      <c r="C11" s="23">
        <v>1</v>
      </c>
      <c r="D11" s="23">
        <v>2</v>
      </c>
      <c r="E11" s="23">
        <v>3</v>
      </c>
      <c r="F11" s="23">
        <v>4</v>
      </c>
      <c r="G11" s="23">
        <v>5</v>
      </c>
      <c r="H11" s="23">
        <v>6</v>
      </c>
      <c r="I11" s="23"/>
      <c r="J11" s="23"/>
      <c r="K11" s="23"/>
      <c r="L11" s="23"/>
      <c r="M11" s="23"/>
      <c r="N11" s="23"/>
    </row>
    <row r="12" spans="1:14" x14ac:dyDescent="0.25">
      <c r="A12" s="23" t="s">
        <v>3889</v>
      </c>
      <c r="B12" s="145" t="s">
        <v>3890</v>
      </c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</row>
    <row r="13" spans="1:14" x14ac:dyDescent="0.25">
      <c r="A13" s="23" t="s">
        <v>3892</v>
      </c>
      <c r="B13" s="145" t="s">
        <v>3893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</row>
    <row r="14" spans="1:14" x14ac:dyDescent="0.25">
      <c r="A14" s="23" t="s">
        <v>3895</v>
      </c>
      <c r="B14" s="145" t="s">
        <v>3896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</row>
    <row r="15" spans="1:14" x14ac:dyDescent="0.25">
      <c r="A15" s="23" t="s">
        <v>3898</v>
      </c>
      <c r="B15" s="145" t="s">
        <v>3899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</row>
    <row r="17" spans="1:14" x14ac:dyDescent="0.25">
      <c r="C17" s="209" t="s">
        <v>3904</v>
      </c>
      <c r="D17" s="209"/>
      <c r="E17" s="209"/>
      <c r="F17" s="209"/>
      <c r="G17" s="209"/>
      <c r="H17" s="209"/>
      <c r="I17" s="209"/>
      <c r="J17" s="209"/>
      <c r="K17" s="209"/>
      <c r="L17" s="209"/>
      <c r="M17" s="209"/>
      <c r="N17" s="209"/>
    </row>
    <row r="18" spans="1:14" x14ac:dyDescent="0.25">
      <c r="C18" s="208" t="s">
        <v>3886</v>
      </c>
      <c r="D18" s="208"/>
      <c r="E18" s="208"/>
      <c r="F18" s="208"/>
      <c r="G18" s="208"/>
      <c r="H18" s="208"/>
      <c r="I18" s="119">
        <v>44962</v>
      </c>
      <c r="J18" s="119">
        <v>45006</v>
      </c>
      <c r="K18" s="119" t="s">
        <v>3887</v>
      </c>
      <c r="L18" s="119">
        <v>45047</v>
      </c>
      <c r="M18" s="23" t="s">
        <v>3905</v>
      </c>
      <c r="N18" s="119">
        <v>45250</v>
      </c>
    </row>
    <row r="19" spans="1:14" x14ac:dyDescent="0.25">
      <c r="C19" s="23">
        <v>1</v>
      </c>
      <c r="D19" s="23">
        <v>2</v>
      </c>
      <c r="E19" s="23">
        <v>3</v>
      </c>
      <c r="F19" s="23">
        <v>4</v>
      </c>
      <c r="G19" s="23">
        <v>5</v>
      </c>
      <c r="H19" s="23">
        <v>6</v>
      </c>
      <c r="I19" s="23"/>
      <c r="J19" s="23"/>
      <c r="K19" s="23"/>
      <c r="L19" s="23"/>
      <c r="M19" s="23"/>
      <c r="N19" s="23"/>
    </row>
    <row r="20" spans="1:14" x14ac:dyDescent="0.25">
      <c r="A20" s="23" t="s">
        <v>3889</v>
      </c>
      <c r="B20" s="145" t="s">
        <v>3890</v>
      </c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</row>
    <row r="21" spans="1:14" x14ac:dyDescent="0.25">
      <c r="A21" s="23" t="s">
        <v>3892</v>
      </c>
      <c r="B21" s="145" t="s">
        <v>3893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</row>
    <row r="22" spans="1:14" x14ac:dyDescent="0.25">
      <c r="A22" s="23" t="s">
        <v>3895</v>
      </c>
      <c r="B22" s="145" t="s">
        <v>3896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</row>
    <row r="23" spans="1:14" x14ac:dyDescent="0.25">
      <c r="A23" s="23" t="s">
        <v>3898</v>
      </c>
      <c r="B23" s="145" t="s">
        <v>3899</v>
      </c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</row>
  </sheetData>
  <mergeCells count="8">
    <mergeCell ref="C2:H2"/>
    <mergeCell ref="C1:N1"/>
    <mergeCell ref="C10:H10"/>
    <mergeCell ref="C17:N17"/>
    <mergeCell ref="C18:H18"/>
    <mergeCell ref="C9:N9"/>
    <mergeCell ref="M7:N7"/>
    <mergeCell ref="C7:I7"/>
  </mergeCells>
  <pageMargins left="0.7" right="0.7" top="0.75" bottom="0.75" header="0.3" footer="0.3"/>
  <pageSetup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AGENTES</vt:lpstr>
      <vt:lpstr>GASTOS FIJOS</vt:lpstr>
      <vt:lpstr>DENISSE</vt:lpstr>
      <vt:lpstr>JERALDY</vt:lpstr>
      <vt:lpstr>JAZMIN</vt:lpstr>
      <vt:lpstr>JOHANA</vt:lpstr>
      <vt:lpstr>Vacaciones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Miguel López</cp:lastModifiedBy>
  <cp:revision/>
  <dcterms:created xsi:type="dcterms:W3CDTF">2022-08-31T16:23:03Z</dcterms:created>
  <dcterms:modified xsi:type="dcterms:W3CDTF">2023-10-25T01:08:48Z</dcterms:modified>
  <cp:category/>
  <cp:contentStatus/>
</cp:coreProperties>
</file>