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Analysera
	-Ernst Reutergårdh</t>
      </text>
    </comment>
  </commentList>
</comments>
</file>

<file path=xl/sharedStrings.xml><?xml version="1.0" encoding="utf-8"?>
<sst xmlns="http://schemas.openxmlformats.org/spreadsheetml/2006/main" count="77" uniqueCount="73">
  <si>
    <t>Episode</t>
  </si>
  <si>
    <t>Micro:bit Timestamp</t>
  </si>
  <si>
    <t>Marzullo micro:bit Offset</t>
  </si>
  <si>
    <t>Timestamp+Offset (synced time)</t>
  </si>
  <si>
    <t>IMU Time</t>
  </si>
  <si>
    <t>Movesense Arrival Time</t>
  </si>
  <si>
    <t>Movesense arr. time - syncedTime</t>
  </si>
  <si>
    <t>Camera timestamp</t>
  </si>
  <si>
    <t>Camera timestamp (ms)</t>
  </si>
  <si>
    <t>Movesense arr. - cameraTimeStamp</t>
  </si>
  <si>
    <t>L1</t>
  </si>
  <si>
    <t>2022-05-13 15:51:10.120</t>
  </si>
  <si>
    <t>L2</t>
  </si>
  <si>
    <t>2022-05-13 15:53:43.167</t>
  </si>
  <si>
    <t>L3</t>
  </si>
  <si>
    <t>2022-05-13 16:01:06.480</t>
  </si>
  <si>
    <t>L4</t>
  </si>
  <si>
    <t>2022-05-13 16:03:34.053</t>
  </si>
  <si>
    <t>L5</t>
  </si>
  <si>
    <t>2022-05-13 16:06:42.231</t>
  </si>
  <si>
    <t>L6</t>
  </si>
  <si>
    <t>2022-05-13  16:14:00.682</t>
  </si>
  <si>
    <t>L7</t>
  </si>
  <si>
    <t>2022-05-13 16:19:47.685</t>
  </si>
  <si>
    <t>L8</t>
  </si>
  <si>
    <t>2022-05-13 16:22:40.951</t>
  </si>
  <si>
    <t>L9</t>
  </si>
  <si>
    <t>2022-05-13 16:30:45.256</t>
  </si>
  <si>
    <t>L10</t>
  </si>
  <si>
    <t>2022-05-13 16:36:19.806</t>
  </si>
  <si>
    <t>L11</t>
  </si>
  <si>
    <t>2022-05-13 16:50:09.126</t>
  </si>
  <si>
    <t>L12</t>
  </si>
  <si>
    <t>2022-05-13 16:53:06:704</t>
  </si>
  <si>
    <t>L13</t>
  </si>
  <si>
    <t>2022-05-13 16:57:22.271</t>
  </si>
  <si>
    <t>L14</t>
  </si>
  <si>
    <t>2022-05-13 17:00:39.888</t>
  </si>
  <si>
    <t>L16</t>
  </si>
  <si>
    <t>2022-05-13 17:07:06.704</t>
  </si>
  <si>
    <t>L15</t>
  </si>
  <si>
    <t>2022-05-13 17:03:42.027</t>
  </si>
  <si>
    <t>L17</t>
  </si>
  <si>
    <t>2022-05-13 17:10:47.580</t>
  </si>
  <si>
    <t>L18</t>
  </si>
  <si>
    <t>2022-05-13 17:14:28.591</t>
  </si>
  <si>
    <t>L19</t>
  </si>
  <si>
    <t>2022-05-13 17:18:29.302</t>
  </si>
  <si>
    <t>L20</t>
  </si>
  <si>
    <t>2022-05-13 17:22:31.593</t>
  </si>
  <si>
    <t>L21</t>
  </si>
  <si>
    <t>2022-05-13 17:26:34.164</t>
  </si>
  <si>
    <t>L22</t>
  </si>
  <si>
    <t>2022-05-13 17:31:37.120</t>
  </si>
  <si>
    <t>L23</t>
  </si>
  <si>
    <t>2022-05-13 17:37:46:981</t>
  </si>
  <si>
    <t>L24</t>
  </si>
  <si>
    <t>2022-05-13 17:41:42.321</t>
  </si>
  <si>
    <t>L25</t>
  </si>
  <si>
    <t>2022-05-13 17:44:44:984</t>
  </si>
  <si>
    <t>L26</t>
  </si>
  <si>
    <t>2022-05-13 17:49:40:963</t>
  </si>
  <si>
    <t>L27</t>
  </si>
  <si>
    <t>2022-05-13 17:52:45.304</t>
  </si>
  <si>
    <t>L28</t>
  </si>
  <si>
    <t>2022-05-13 17:55:36.089</t>
  </si>
  <si>
    <t>L29</t>
  </si>
  <si>
    <t>2022-05-13 17:58:00.868</t>
  </si>
  <si>
    <t>L30</t>
  </si>
  <si>
    <t>2022-05-13 18:00:32.743</t>
  </si>
  <si>
    <t>MEDELVÄRDE</t>
  </si>
  <si>
    <t>STDAV</t>
  </si>
  <si>
    <t>Konf.int.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</si>
</sst>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6" numFmtId="0" xfId="0" applyAlignment="1" applyFill="1" applyFont="1">
      <alignment readingOrder="0"/>
    </xf>
    <xf borderId="0" fillId="3" fontId="1" numFmtId="0" xfId="0" applyAlignment="1" applyFill="1" applyFont="1">
      <alignment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4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3" fontId="1" numFmtId="0" xfId="0" applyAlignment="1" applyFont="1">
      <alignment readingOrder="0" vertical="bottom"/>
    </xf>
    <xf borderId="0" fillId="3" fontId="4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20.0"/>
    <col customWidth="1" min="4" max="4" width="21.13"/>
    <col customWidth="1" min="5" max="5" width="23.25"/>
    <col customWidth="1" min="9" max="9" width="28.5"/>
    <col customWidth="1" min="10" max="10" width="30.13"/>
    <col customWidth="1" min="11" max="12" width="21.63"/>
    <col customWidth="1" min="13" max="13" width="20.88"/>
    <col customWidth="1" min="15" max="15" width="30.13"/>
  </cols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/>
      <c r="H1" s="1" t="s">
        <v>4</v>
      </c>
      <c r="I1" s="1" t="s">
        <v>5</v>
      </c>
      <c r="J1" s="1" t="s">
        <v>6</v>
      </c>
      <c r="K1" s="2"/>
      <c r="L1" s="2" t="s">
        <v>7</v>
      </c>
      <c r="M1" s="3" t="s">
        <v>8</v>
      </c>
      <c r="N1" s="3" t="s">
        <v>9</v>
      </c>
      <c r="O1" s="1" t="s">
        <v>6</v>
      </c>
    </row>
    <row r="2">
      <c r="A2" s="1" t="s">
        <v>10</v>
      </c>
      <c r="B2" s="4">
        <v>225474.0</v>
      </c>
      <c r="C2" s="3">
        <v>1.652449644429E12</v>
      </c>
      <c r="D2" s="5"/>
      <c r="E2" s="5">
        <f t="shared" ref="E2:E31" si="1">(B2)+C2</f>
        <v>1652449869903</v>
      </c>
      <c r="F2" s="5">
        <f t="shared" ref="F2:F31" si="2">(B2*1.001782746+C2)</f>
        <v>1652449870305</v>
      </c>
      <c r="G2" s="6">
        <f t="shared" ref="G2:G31" si="3">F2-E2</f>
        <v>401.9628906</v>
      </c>
      <c r="H2" s="6">
        <v>6070148.0</v>
      </c>
      <c r="I2" s="6">
        <v>1.652449870125E12</v>
      </c>
      <c r="J2" s="5">
        <f t="shared" ref="J2:J31" si="4">I2-E2</f>
        <v>222</v>
      </c>
      <c r="K2" s="4">
        <f t="shared" ref="K2:K31" si="5">I2-F2</f>
        <v>-179.9628906</v>
      </c>
      <c r="L2" s="3" t="s">
        <v>11</v>
      </c>
      <c r="M2" s="7">
        <f>1652449870000+120</f>
        <v>1652449870120</v>
      </c>
      <c r="N2" s="4">
        <f t="shared" ref="N2:N31" si="6">I2-M2</f>
        <v>5</v>
      </c>
      <c r="O2" s="5">
        <f t="shared" ref="O2:O3" si="7">I2-E2</f>
        <v>222</v>
      </c>
    </row>
    <row r="3">
      <c r="A3" s="1" t="s">
        <v>12</v>
      </c>
      <c r="B3" s="4">
        <v>378234.0</v>
      </c>
      <c r="C3" s="3">
        <v>1.652449644429E12</v>
      </c>
      <c r="D3" s="5"/>
      <c r="E3" s="5">
        <f t="shared" si="1"/>
        <v>1652450022663</v>
      </c>
      <c r="F3" s="5">
        <f t="shared" si="2"/>
        <v>1652450023337</v>
      </c>
      <c r="G3" s="6">
        <f t="shared" si="3"/>
        <v>674.295166</v>
      </c>
      <c r="H3" s="6">
        <v>6223187.0</v>
      </c>
      <c r="I3" s="6">
        <v>1.652450023202E12</v>
      </c>
      <c r="J3" s="5">
        <f t="shared" si="4"/>
        <v>539</v>
      </c>
      <c r="K3" s="4">
        <f t="shared" si="5"/>
        <v>-135.295166</v>
      </c>
      <c r="L3" s="3" t="s">
        <v>13</v>
      </c>
      <c r="M3" s="4">
        <f>1652450023000+167</f>
        <v>1652450023167</v>
      </c>
      <c r="N3" s="4">
        <f t="shared" si="6"/>
        <v>35</v>
      </c>
      <c r="O3" s="5">
        <f t="shared" si="7"/>
        <v>539</v>
      </c>
    </row>
    <row r="4">
      <c r="A4" s="8" t="s">
        <v>14</v>
      </c>
      <c r="B4" s="9">
        <v>820470.0</v>
      </c>
      <c r="C4" s="10">
        <v>1.652449629287E12</v>
      </c>
      <c r="D4" s="11"/>
      <c r="E4" s="11">
        <f t="shared" si="1"/>
        <v>1652450449757</v>
      </c>
      <c r="F4" s="11">
        <f t="shared" si="2"/>
        <v>1652450451220</v>
      </c>
      <c r="G4" s="12">
        <f t="shared" si="3"/>
        <v>1462.689697</v>
      </c>
      <c r="H4" s="12">
        <v>6666468.0</v>
      </c>
      <c r="I4" s="12">
        <v>1.652450466503E12</v>
      </c>
      <c r="J4" s="11">
        <f t="shared" si="4"/>
        <v>16746</v>
      </c>
      <c r="K4" s="9">
        <f t="shared" si="5"/>
        <v>15283.3103</v>
      </c>
      <c r="L4" s="10" t="s">
        <v>15</v>
      </c>
      <c r="M4" s="9">
        <f>1652450466000+480</f>
        <v>1652450466480</v>
      </c>
      <c r="N4" s="4">
        <f t="shared" si="6"/>
        <v>23</v>
      </c>
      <c r="O4" s="5"/>
    </row>
    <row r="5">
      <c r="A5" s="13" t="s">
        <v>16</v>
      </c>
      <c r="B5" s="9">
        <v>967742.0</v>
      </c>
      <c r="C5" s="10">
        <v>1.652449629287E12</v>
      </c>
      <c r="D5" s="11"/>
      <c r="E5" s="11">
        <f t="shared" si="1"/>
        <v>1652450597029</v>
      </c>
      <c r="F5" s="11">
        <f t="shared" si="2"/>
        <v>1652450598754</v>
      </c>
      <c r="G5" s="12">
        <f t="shared" si="3"/>
        <v>1725.238281</v>
      </c>
      <c r="H5" s="12">
        <v>6814052.0</v>
      </c>
      <c r="I5" s="12">
        <v>1.652450614059E12</v>
      </c>
      <c r="J5" s="11">
        <f t="shared" si="4"/>
        <v>17030</v>
      </c>
      <c r="K5" s="9">
        <f t="shared" si="5"/>
        <v>15304.76172</v>
      </c>
      <c r="L5" s="10" t="s">
        <v>17</v>
      </c>
      <c r="M5" s="9">
        <f>1652450614000+53</f>
        <v>1652450614053</v>
      </c>
      <c r="N5" s="4">
        <f t="shared" si="6"/>
        <v>6</v>
      </c>
      <c r="O5" s="5"/>
    </row>
    <row r="6">
      <c r="A6" s="8" t="s">
        <v>18</v>
      </c>
      <c r="B6" s="9">
        <v>1155545.0</v>
      </c>
      <c r="C6" s="10">
        <v>1.652449629287E12</v>
      </c>
      <c r="D6" s="11"/>
      <c r="E6" s="11">
        <f t="shared" si="1"/>
        <v>1652450784832</v>
      </c>
      <c r="F6" s="11">
        <f t="shared" si="2"/>
        <v>1652450786892</v>
      </c>
      <c r="G6" s="12">
        <f t="shared" si="3"/>
        <v>2060.043213</v>
      </c>
      <c r="H6" s="12">
        <v>7002231.0</v>
      </c>
      <c r="I6" s="12">
        <v>1.652450802239E12</v>
      </c>
      <c r="J6" s="11">
        <f t="shared" si="4"/>
        <v>17407</v>
      </c>
      <c r="K6" s="9">
        <f t="shared" si="5"/>
        <v>15346.95679</v>
      </c>
      <c r="L6" s="10" t="s">
        <v>19</v>
      </c>
      <c r="M6" s="9">
        <f>1652450802000+231</f>
        <v>1652450802231</v>
      </c>
      <c r="N6" s="4">
        <f t="shared" si="6"/>
        <v>8</v>
      </c>
      <c r="O6" s="5"/>
    </row>
    <row r="7">
      <c r="A7" s="8" t="s">
        <v>20</v>
      </c>
      <c r="B7" s="9">
        <v>1593038.0</v>
      </c>
      <c r="C7" s="10">
        <v>1.6524496033195E12</v>
      </c>
      <c r="D7" s="11"/>
      <c r="E7" s="11">
        <f t="shared" si="1"/>
        <v>1652451196358</v>
      </c>
      <c r="F7" s="11">
        <f t="shared" si="2"/>
        <v>1652451199197</v>
      </c>
      <c r="G7" s="12">
        <f t="shared" si="3"/>
        <v>2839.982178</v>
      </c>
      <c r="H7" s="12">
        <v>7440679.0</v>
      </c>
      <c r="I7" s="12">
        <v>1.652451240696E12</v>
      </c>
      <c r="J7" s="11">
        <f t="shared" si="4"/>
        <v>44338.5</v>
      </c>
      <c r="K7" s="9">
        <f t="shared" si="5"/>
        <v>41498.51782</v>
      </c>
      <c r="L7" s="10" t="s">
        <v>21</v>
      </c>
      <c r="M7" s="9">
        <f>1652451240000+682</f>
        <v>1652451240682</v>
      </c>
      <c r="N7" s="4">
        <f t="shared" si="6"/>
        <v>14</v>
      </c>
      <c r="O7" s="5"/>
    </row>
    <row r="8">
      <c r="A8" s="8" t="s">
        <v>22</v>
      </c>
      <c r="B8" s="9">
        <v>1939342.0</v>
      </c>
      <c r="C8" s="14">
        <v>1.652449596433E12</v>
      </c>
      <c r="D8" s="11"/>
      <c r="E8" s="11">
        <f t="shared" si="1"/>
        <v>1652451535775</v>
      </c>
      <c r="F8" s="11">
        <f t="shared" si="2"/>
        <v>1652451539232</v>
      </c>
      <c r="G8" s="12">
        <f t="shared" si="3"/>
        <v>3457.354248</v>
      </c>
      <c r="H8" s="12">
        <v>7787648.0</v>
      </c>
      <c r="I8" s="12">
        <v>1.652451587689E12</v>
      </c>
      <c r="J8" s="11">
        <f t="shared" si="4"/>
        <v>51914</v>
      </c>
      <c r="K8" s="9">
        <f t="shared" si="5"/>
        <v>48456.64575</v>
      </c>
      <c r="L8" s="10" t="s">
        <v>23</v>
      </c>
      <c r="M8" s="9">
        <f>1652451587000+685</f>
        <v>1652451587685</v>
      </c>
      <c r="N8" s="4">
        <f t="shared" si="6"/>
        <v>4</v>
      </c>
      <c r="O8" s="5"/>
    </row>
    <row r="9">
      <c r="A9" s="8" t="s">
        <v>24</v>
      </c>
      <c r="B9" s="9">
        <v>2112322.0</v>
      </c>
      <c r="C9" s="10">
        <v>1.652449596433E12</v>
      </c>
      <c r="D9" s="11"/>
      <c r="E9" s="11">
        <f t="shared" si="1"/>
        <v>1652451708755</v>
      </c>
      <c r="F9" s="11">
        <f t="shared" si="2"/>
        <v>1652451712521</v>
      </c>
      <c r="G9" s="12">
        <f t="shared" si="3"/>
        <v>3765.733643</v>
      </c>
      <c r="H9" s="12">
        <v>7960953.0</v>
      </c>
      <c r="I9" s="12">
        <v>1.65245176098E12</v>
      </c>
      <c r="J9" s="11">
        <f t="shared" si="4"/>
        <v>52225</v>
      </c>
      <c r="K9" s="9">
        <f t="shared" si="5"/>
        <v>48459.26636</v>
      </c>
      <c r="L9" s="10" t="s">
        <v>25</v>
      </c>
      <c r="M9" s="9">
        <f>1652451760000+951</f>
        <v>1652451760951</v>
      </c>
      <c r="N9" s="4">
        <f t="shared" si="6"/>
        <v>29</v>
      </c>
      <c r="O9" s="5"/>
    </row>
    <row r="10">
      <c r="A10" s="1" t="s">
        <v>26</v>
      </c>
      <c r="B10" s="4">
        <v>2595658.0</v>
      </c>
      <c r="C10" s="3">
        <v>1.6524496494E12</v>
      </c>
      <c r="D10" s="5"/>
      <c r="E10" s="5">
        <f t="shared" si="1"/>
        <v>1652452245058</v>
      </c>
      <c r="F10" s="5">
        <f t="shared" si="2"/>
        <v>1652452249685</v>
      </c>
      <c r="G10" s="6">
        <f t="shared" si="3"/>
        <v>4627.398926</v>
      </c>
      <c r="H10" s="6">
        <v>8445237.0</v>
      </c>
      <c r="I10" s="6">
        <v>1.652452245265E12</v>
      </c>
      <c r="J10" s="5">
        <f t="shared" si="4"/>
        <v>207</v>
      </c>
      <c r="K10" s="4">
        <f t="shared" si="5"/>
        <v>-4420.398926</v>
      </c>
      <c r="L10" s="3" t="s">
        <v>27</v>
      </c>
      <c r="M10" s="4">
        <f>1652452245000+256</f>
        <v>1652452245256</v>
      </c>
      <c r="N10" s="4">
        <f t="shared" si="6"/>
        <v>9</v>
      </c>
      <c r="O10" s="5">
        <f t="shared" ref="O10:O19" si="8">I10-E10</f>
        <v>207</v>
      </c>
    </row>
    <row r="11">
      <c r="A11" s="1" t="s">
        <v>28</v>
      </c>
      <c r="B11" s="4">
        <v>2929614.0</v>
      </c>
      <c r="C11" s="3">
        <v>1.6524496494E12</v>
      </c>
      <c r="D11" s="5"/>
      <c r="E11" s="5">
        <f t="shared" si="1"/>
        <v>1652452579014</v>
      </c>
      <c r="F11" s="5">
        <f t="shared" si="2"/>
        <v>1652452584237</v>
      </c>
      <c r="G11" s="6">
        <f t="shared" si="3"/>
        <v>5222.757568</v>
      </c>
      <c r="H11" s="6">
        <v>8779763.0</v>
      </c>
      <c r="I11" s="6">
        <v>1.652452579807E12</v>
      </c>
      <c r="J11" s="5">
        <f t="shared" si="4"/>
        <v>793</v>
      </c>
      <c r="K11" s="4">
        <f t="shared" si="5"/>
        <v>-4429.757568</v>
      </c>
      <c r="L11" s="3" t="s">
        <v>29</v>
      </c>
      <c r="M11" s="4">
        <f>1652452579000+806</f>
        <v>1652452579806</v>
      </c>
      <c r="N11" s="4">
        <f t="shared" si="6"/>
        <v>1</v>
      </c>
      <c r="O11" s="5">
        <f t="shared" si="8"/>
        <v>793</v>
      </c>
    </row>
    <row r="12">
      <c r="A12" s="1" t="s">
        <v>30</v>
      </c>
      <c r="B12" s="4">
        <v>121154.0</v>
      </c>
      <c r="C12" s="3">
        <v>1.652453287815E12</v>
      </c>
      <c r="D12" s="5"/>
      <c r="E12" s="5">
        <f t="shared" si="1"/>
        <v>1652453408969</v>
      </c>
      <c r="F12" s="5">
        <f t="shared" si="2"/>
        <v>1652453409185</v>
      </c>
      <c r="G12" s="6">
        <f t="shared" si="3"/>
        <v>215.9868164</v>
      </c>
      <c r="H12" s="6">
        <v>81868.0</v>
      </c>
      <c r="I12" s="6">
        <v>1.652453409141E12</v>
      </c>
      <c r="J12" s="5">
        <f t="shared" si="4"/>
        <v>172</v>
      </c>
      <c r="K12" s="4">
        <f t="shared" si="5"/>
        <v>-43.98681641</v>
      </c>
      <c r="L12" s="3" t="s">
        <v>31</v>
      </c>
      <c r="M12" s="4">
        <f>1652453409000+126</f>
        <v>1652453409126</v>
      </c>
      <c r="N12" s="4">
        <f t="shared" si="6"/>
        <v>15</v>
      </c>
      <c r="O12" s="5">
        <f t="shared" si="8"/>
        <v>172</v>
      </c>
    </row>
    <row r="13">
      <c r="A13" s="1" t="s">
        <v>32</v>
      </c>
      <c r="B13" s="4">
        <v>298386.0</v>
      </c>
      <c r="C13" s="3">
        <v>1.652453287815E12</v>
      </c>
      <c r="D13" s="5"/>
      <c r="E13" s="5">
        <f t="shared" si="1"/>
        <v>1652453586201</v>
      </c>
      <c r="F13" s="5">
        <f t="shared" si="2"/>
        <v>1652453586733</v>
      </c>
      <c r="G13" s="6">
        <f t="shared" si="3"/>
        <v>531.9465332</v>
      </c>
      <c r="H13" s="6">
        <v>259435.0</v>
      </c>
      <c r="I13" s="6">
        <v>1.652453586704E12</v>
      </c>
      <c r="J13" s="5">
        <f t="shared" si="4"/>
        <v>503</v>
      </c>
      <c r="K13" s="4">
        <f t="shared" si="5"/>
        <v>-28.9465332</v>
      </c>
      <c r="L13" s="3" t="s">
        <v>33</v>
      </c>
      <c r="M13" s="4">
        <f>1652453586000+704</f>
        <v>1652453586704</v>
      </c>
      <c r="N13" s="4">
        <f t="shared" si="6"/>
        <v>0</v>
      </c>
      <c r="O13" s="5">
        <f t="shared" si="8"/>
        <v>503</v>
      </c>
    </row>
    <row r="14">
      <c r="A14" s="1" t="s">
        <v>34</v>
      </c>
      <c r="B14" s="4">
        <v>553406.0</v>
      </c>
      <c r="C14" s="3">
        <v>1.6524532890125E12</v>
      </c>
      <c r="D14" s="5"/>
      <c r="E14" s="5">
        <f t="shared" si="1"/>
        <v>1652453842419</v>
      </c>
      <c r="F14" s="5">
        <f t="shared" si="2"/>
        <v>1652453843405</v>
      </c>
      <c r="G14" s="6">
        <f t="shared" si="3"/>
        <v>986.5822754</v>
      </c>
      <c r="H14" s="6">
        <v>514987.0</v>
      </c>
      <c r="I14" s="6">
        <v>1.652453842272E12</v>
      </c>
      <c r="J14" s="5">
        <f t="shared" si="4"/>
        <v>-146.5</v>
      </c>
      <c r="K14" s="4">
        <f t="shared" si="5"/>
        <v>-1133.082275</v>
      </c>
      <c r="L14" s="3" t="s">
        <v>35</v>
      </c>
      <c r="M14" s="4">
        <f>1652453842000+271</f>
        <v>1652453842271</v>
      </c>
      <c r="N14" s="4">
        <f t="shared" si="6"/>
        <v>1</v>
      </c>
      <c r="O14" s="5">
        <f t="shared" si="8"/>
        <v>-146.5</v>
      </c>
    </row>
    <row r="15">
      <c r="A15" s="1" t="s">
        <v>36</v>
      </c>
      <c r="B15" s="4">
        <v>750614.0</v>
      </c>
      <c r="C15" s="3">
        <v>1.6524532890125E12</v>
      </c>
      <c r="D15" s="5"/>
      <c r="E15" s="5">
        <f t="shared" si="1"/>
        <v>1652454039627</v>
      </c>
      <c r="F15" s="5">
        <f t="shared" si="2"/>
        <v>1652454040965</v>
      </c>
      <c r="G15" s="6">
        <f t="shared" si="3"/>
        <v>1338.154053</v>
      </c>
      <c r="H15" s="6">
        <v>712610.0</v>
      </c>
      <c r="I15" s="6">
        <v>1.652454039905E12</v>
      </c>
      <c r="J15" s="5">
        <f t="shared" si="4"/>
        <v>278.5</v>
      </c>
      <c r="K15" s="4">
        <f t="shared" si="5"/>
        <v>-1059.654053</v>
      </c>
      <c r="L15" s="3" t="s">
        <v>37</v>
      </c>
      <c r="M15" s="4">
        <f>1652454039000+888</f>
        <v>1652454039888</v>
      </c>
      <c r="N15" s="4">
        <f t="shared" si="6"/>
        <v>17</v>
      </c>
      <c r="O15" s="5">
        <f t="shared" si="8"/>
        <v>278.5</v>
      </c>
    </row>
    <row r="16">
      <c r="A16" s="1" t="s">
        <v>38</v>
      </c>
      <c r="B16" s="4">
        <v>1137230.0</v>
      </c>
      <c r="C16" s="3">
        <v>1.6524532902905E12</v>
      </c>
      <c r="D16" s="5"/>
      <c r="E16" s="5">
        <f t="shared" si="1"/>
        <v>1652454427521</v>
      </c>
      <c r="F16" s="5">
        <f t="shared" si="2"/>
        <v>1652454429548</v>
      </c>
      <c r="G16" s="6">
        <f t="shared" si="3"/>
        <v>2027.392334</v>
      </c>
      <c r="H16" s="6">
        <v>1099427.0</v>
      </c>
      <c r="I16" s="6">
        <v>1.652454426721E12</v>
      </c>
      <c r="J16" s="5">
        <f t="shared" si="4"/>
        <v>-799.5</v>
      </c>
      <c r="K16" s="4">
        <f t="shared" si="5"/>
        <v>-2826.892334</v>
      </c>
      <c r="L16" s="3" t="s">
        <v>39</v>
      </c>
      <c r="M16" s="4">
        <f>1652454426000+704</f>
        <v>1652454426704</v>
      </c>
      <c r="N16" s="4">
        <f t="shared" si="6"/>
        <v>17</v>
      </c>
      <c r="O16" s="5">
        <f t="shared" si="8"/>
        <v>-799.5</v>
      </c>
    </row>
    <row r="17">
      <c r="A17" s="1" t="s">
        <v>40</v>
      </c>
      <c r="B17" s="4">
        <v>932354.0</v>
      </c>
      <c r="C17" s="3">
        <v>1.6524532890125E12</v>
      </c>
      <c r="D17" s="5"/>
      <c r="E17" s="5">
        <f t="shared" si="1"/>
        <v>1652454221367</v>
      </c>
      <c r="F17" s="5">
        <f t="shared" si="2"/>
        <v>1652454223029</v>
      </c>
      <c r="G17" s="6">
        <f t="shared" si="3"/>
        <v>1662.150391</v>
      </c>
      <c r="H17" s="6">
        <v>894753.0</v>
      </c>
      <c r="I17" s="6">
        <v>1.652454222044E12</v>
      </c>
      <c r="J17" s="5">
        <f t="shared" si="4"/>
        <v>677.5</v>
      </c>
      <c r="K17" s="4">
        <f t="shared" si="5"/>
        <v>-984.6503906</v>
      </c>
      <c r="L17" s="3" t="s">
        <v>41</v>
      </c>
      <c r="M17" s="4">
        <f>1652454222000+27</f>
        <v>1652454222027</v>
      </c>
      <c r="N17" s="4">
        <f t="shared" si="6"/>
        <v>17</v>
      </c>
      <c r="O17" s="5">
        <f t="shared" si="8"/>
        <v>677.5</v>
      </c>
    </row>
    <row r="18">
      <c r="A18" s="1" t="s">
        <v>42</v>
      </c>
      <c r="B18" s="4">
        <v>1357042.0</v>
      </c>
      <c r="C18" s="3">
        <v>1.6524532902905E12</v>
      </c>
      <c r="D18" s="5"/>
      <c r="E18" s="5">
        <f t="shared" si="1"/>
        <v>1652454647333</v>
      </c>
      <c r="F18" s="5">
        <f t="shared" si="2"/>
        <v>1652454649752</v>
      </c>
      <c r="G18" s="6">
        <f t="shared" si="3"/>
        <v>2419.26123</v>
      </c>
      <c r="H18" s="6">
        <v>1320296.0</v>
      </c>
      <c r="I18" s="6">
        <v>1.6524546476E12</v>
      </c>
      <c r="J18" s="5">
        <f t="shared" si="4"/>
        <v>267.5</v>
      </c>
      <c r="K18" s="4">
        <f t="shared" si="5"/>
        <v>-2151.76123</v>
      </c>
      <c r="L18" s="3" t="s">
        <v>43</v>
      </c>
      <c r="M18" s="4">
        <f>1652454647000+580</f>
        <v>1652454647580</v>
      </c>
      <c r="N18" s="4">
        <f t="shared" si="6"/>
        <v>20</v>
      </c>
      <c r="O18" s="5">
        <f t="shared" si="8"/>
        <v>267.5</v>
      </c>
    </row>
    <row r="19">
      <c r="A19" s="1" t="s">
        <v>44</v>
      </c>
      <c r="B19" s="4">
        <v>1577506.0</v>
      </c>
      <c r="C19" s="3">
        <v>1.6524532902905E12</v>
      </c>
      <c r="D19" s="5"/>
      <c r="E19" s="5">
        <f t="shared" si="1"/>
        <v>1652454867797</v>
      </c>
      <c r="F19" s="5">
        <f t="shared" si="2"/>
        <v>1652454870609</v>
      </c>
      <c r="G19" s="6">
        <f t="shared" si="3"/>
        <v>2812.29248</v>
      </c>
      <c r="H19" s="6">
        <v>1541325.0</v>
      </c>
      <c r="I19" s="6">
        <v>1.652454868629E12</v>
      </c>
      <c r="J19" s="5">
        <f t="shared" si="4"/>
        <v>832.5</v>
      </c>
      <c r="K19" s="4">
        <f t="shared" si="5"/>
        <v>-1979.79248</v>
      </c>
      <c r="L19" s="3" t="s">
        <v>45</v>
      </c>
      <c r="M19" s="4">
        <f>1652454868000+591</f>
        <v>1652454868591</v>
      </c>
      <c r="N19" s="4">
        <f t="shared" si="6"/>
        <v>38</v>
      </c>
      <c r="O19" s="5">
        <f t="shared" si="8"/>
        <v>832.5</v>
      </c>
    </row>
    <row r="20">
      <c r="A20" s="8" t="s">
        <v>46</v>
      </c>
      <c r="B20" s="9">
        <v>1817658.0</v>
      </c>
      <c r="C20" s="10">
        <v>1.652453263898E12</v>
      </c>
      <c r="D20" s="11"/>
      <c r="E20" s="11">
        <f t="shared" si="1"/>
        <v>1652455081556</v>
      </c>
      <c r="F20" s="11">
        <f t="shared" si="2"/>
        <v>1652455084796</v>
      </c>
      <c r="G20" s="12">
        <f t="shared" si="3"/>
        <v>3240.422607</v>
      </c>
      <c r="H20" s="12">
        <v>1782006.0</v>
      </c>
      <c r="I20" s="12">
        <v>1.65245510931E12</v>
      </c>
      <c r="J20" s="11">
        <f t="shared" si="4"/>
        <v>27754</v>
      </c>
      <c r="K20" s="9">
        <f t="shared" si="5"/>
        <v>24513.57739</v>
      </c>
      <c r="L20" s="10" t="s">
        <v>47</v>
      </c>
      <c r="M20" s="9">
        <f>1652455109000+302</f>
        <v>1652455109302</v>
      </c>
      <c r="N20" s="4">
        <f t="shared" si="6"/>
        <v>8</v>
      </c>
      <c r="O20" s="5"/>
    </row>
    <row r="21">
      <c r="A21" s="8" t="s">
        <v>48</v>
      </c>
      <c r="B21" s="9">
        <v>2059414.0</v>
      </c>
      <c r="C21" s="10">
        <v>1.652453263898E12</v>
      </c>
      <c r="D21" s="11"/>
      <c r="E21" s="11">
        <f t="shared" si="1"/>
        <v>1652455323312</v>
      </c>
      <c r="F21" s="11">
        <f t="shared" si="2"/>
        <v>1652455326983</v>
      </c>
      <c r="G21" s="12">
        <f t="shared" si="3"/>
        <v>3671.412109</v>
      </c>
      <c r="H21" s="12">
        <v>2024289.0</v>
      </c>
      <c r="I21" s="12">
        <v>1.65245535164E12</v>
      </c>
      <c r="J21" s="11">
        <f t="shared" si="4"/>
        <v>28328</v>
      </c>
      <c r="K21" s="9">
        <f t="shared" si="5"/>
        <v>24656.58789</v>
      </c>
      <c r="L21" s="10" t="s">
        <v>49</v>
      </c>
      <c r="M21" s="9">
        <f>1652455351000+593</f>
        <v>1652455351593</v>
      </c>
      <c r="N21" s="4">
        <f t="shared" si="6"/>
        <v>47</v>
      </c>
      <c r="O21" s="5"/>
    </row>
    <row r="22">
      <c r="A22" s="1" t="s">
        <v>50</v>
      </c>
      <c r="B22" s="4">
        <v>2301506.0</v>
      </c>
      <c r="C22" s="3">
        <v>1.6524532928715E12</v>
      </c>
      <c r="D22" s="5"/>
      <c r="E22" s="5">
        <f t="shared" si="1"/>
        <v>1652455594378</v>
      </c>
      <c r="F22" s="5">
        <f t="shared" si="2"/>
        <v>1652455598481</v>
      </c>
      <c r="G22" s="6">
        <f t="shared" si="3"/>
        <v>4103.000732</v>
      </c>
      <c r="H22" s="6">
        <v>2266860.0</v>
      </c>
      <c r="I22" s="6">
        <v>1.652455594157E12</v>
      </c>
      <c r="J22" s="5">
        <f t="shared" si="4"/>
        <v>-220.5</v>
      </c>
      <c r="K22" s="4">
        <f t="shared" si="5"/>
        <v>-4323.500732</v>
      </c>
      <c r="L22" s="3" t="s">
        <v>51</v>
      </c>
      <c r="M22" s="4">
        <f>1652455594000+164</f>
        <v>1652455594164</v>
      </c>
      <c r="N22" s="4">
        <f t="shared" si="6"/>
        <v>-7</v>
      </c>
      <c r="O22" s="5">
        <f t="shared" ref="O22:O23" si="9">I22-E22</f>
        <v>-220.5</v>
      </c>
    </row>
    <row r="23">
      <c r="A23" s="1" t="s">
        <v>52</v>
      </c>
      <c r="B23" s="4">
        <v>2603958.0</v>
      </c>
      <c r="C23" s="3">
        <v>1.6524532928715E12</v>
      </c>
      <c r="D23" s="5"/>
      <c r="E23" s="5">
        <f t="shared" si="1"/>
        <v>1652455896830</v>
      </c>
      <c r="F23" s="5">
        <f t="shared" si="2"/>
        <v>1652455901472</v>
      </c>
      <c r="G23" s="6">
        <f t="shared" si="3"/>
        <v>4642.195801</v>
      </c>
      <c r="H23" s="6">
        <v>2569851.0</v>
      </c>
      <c r="I23" s="6">
        <v>1.652455897131E12</v>
      </c>
      <c r="J23" s="5">
        <f t="shared" si="4"/>
        <v>301.5</v>
      </c>
      <c r="K23" s="4">
        <f t="shared" si="5"/>
        <v>-4340.695801</v>
      </c>
      <c r="L23" s="3" t="s">
        <v>53</v>
      </c>
      <c r="M23" s="4">
        <f>1652455897000+120</f>
        <v>1652455897120</v>
      </c>
      <c r="N23" s="4">
        <f t="shared" si="6"/>
        <v>11</v>
      </c>
      <c r="O23" s="5">
        <f t="shared" si="9"/>
        <v>301.5</v>
      </c>
    </row>
    <row r="24">
      <c r="A24" s="8" t="s">
        <v>54</v>
      </c>
      <c r="B24" s="9">
        <v>2973222.0</v>
      </c>
      <c r="C24" s="10">
        <v>1.6524532866615E12</v>
      </c>
      <c r="D24" s="11"/>
      <c r="E24" s="11">
        <f t="shared" si="1"/>
        <v>1652456259884</v>
      </c>
      <c r="F24" s="11">
        <f t="shared" si="2"/>
        <v>1652456265184</v>
      </c>
      <c r="G24" s="12">
        <f t="shared" si="3"/>
        <v>5300.499512</v>
      </c>
      <c r="H24" s="12">
        <v>2939675.0</v>
      </c>
      <c r="I24" s="12">
        <v>1.652456266998E12</v>
      </c>
      <c r="J24" s="11">
        <f t="shared" si="4"/>
        <v>7114.5</v>
      </c>
      <c r="K24" s="9">
        <f t="shared" si="5"/>
        <v>1814.000488</v>
      </c>
      <c r="L24" s="10" t="s">
        <v>55</v>
      </c>
      <c r="M24" s="9">
        <f>1652456266000+981</f>
        <v>1652456266981</v>
      </c>
      <c r="N24" s="4">
        <f t="shared" si="6"/>
        <v>17</v>
      </c>
      <c r="O24" s="5"/>
    </row>
    <row r="25">
      <c r="A25" s="8" t="s">
        <v>56</v>
      </c>
      <c r="B25" s="9">
        <v>3208202.0</v>
      </c>
      <c r="C25" s="10">
        <v>1.6524532866615E12</v>
      </c>
      <c r="D25" s="11"/>
      <c r="E25" s="11">
        <f t="shared" si="1"/>
        <v>1652456494864</v>
      </c>
      <c r="F25" s="11">
        <f t="shared" si="2"/>
        <v>1652456500583</v>
      </c>
      <c r="G25" s="12">
        <f t="shared" si="3"/>
        <v>5719.40918</v>
      </c>
      <c r="H25" s="12">
        <v>3175039.0</v>
      </c>
      <c r="I25" s="12">
        <v>1.652456502358E12</v>
      </c>
      <c r="J25" s="11">
        <f t="shared" si="4"/>
        <v>7494.5</v>
      </c>
      <c r="K25" s="9">
        <f t="shared" si="5"/>
        <v>1775.09082</v>
      </c>
      <c r="L25" s="10" t="s">
        <v>57</v>
      </c>
      <c r="M25" s="9">
        <f>1652456502000+321</f>
        <v>1652456502321</v>
      </c>
      <c r="N25" s="4">
        <f t="shared" si="6"/>
        <v>37</v>
      </c>
      <c r="O25" s="5"/>
    </row>
    <row r="26">
      <c r="A26" s="8" t="s">
        <v>58</v>
      </c>
      <c r="B26" s="9">
        <v>3390606.0</v>
      </c>
      <c r="C26" s="10">
        <v>1.6524532866615E12</v>
      </c>
      <c r="D26" s="11"/>
      <c r="E26" s="11">
        <f t="shared" si="1"/>
        <v>1652456677268</v>
      </c>
      <c r="F26" s="11">
        <f t="shared" si="2"/>
        <v>1652456683312</v>
      </c>
      <c r="G26" s="12">
        <f t="shared" si="3"/>
        <v>6044.589355</v>
      </c>
      <c r="H26" s="12">
        <v>3357685.0</v>
      </c>
      <c r="I26" s="12">
        <v>1.652456685015E12</v>
      </c>
      <c r="J26" s="11">
        <f t="shared" si="4"/>
        <v>7747.5</v>
      </c>
      <c r="K26" s="9">
        <f t="shared" si="5"/>
        <v>1702.910645</v>
      </c>
      <c r="L26" s="10" t="s">
        <v>59</v>
      </c>
      <c r="M26" s="9">
        <f>1652456684000+984</f>
        <v>1652456684984</v>
      </c>
      <c r="N26" s="4">
        <f t="shared" si="6"/>
        <v>31</v>
      </c>
      <c r="O26" s="5"/>
    </row>
    <row r="27">
      <c r="A27" s="1" t="s">
        <v>60</v>
      </c>
      <c r="B27" s="4">
        <v>3686086.0</v>
      </c>
      <c r="C27" s="3">
        <v>1.652453294796E12</v>
      </c>
      <c r="D27" s="5"/>
      <c r="E27" s="5">
        <f t="shared" si="1"/>
        <v>1652456980882</v>
      </c>
      <c r="F27" s="5">
        <f t="shared" si="2"/>
        <v>1652456987453</v>
      </c>
      <c r="G27" s="6">
        <f t="shared" si="3"/>
        <v>6571.35498</v>
      </c>
      <c r="H27" s="6">
        <v>3653644.0</v>
      </c>
      <c r="I27" s="6">
        <v>1.65245698097E12</v>
      </c>
      <c r="J27" s="5">
        <f t="shared" si="4"/>
        <v>88</v>
      </c>
      <c r="K27" s="4">
        <f t="shared" si="5"/>
        <v>-6483.35498</v>
      </c>
      <c r="L27" s="3" t="s">
        <v>61</v>
      </c>
      <c r="M27" s="4">
        <f>1652456980000+963</f>
        <v>1652456980963</v>
      </c>
      <c r="N27" s="4">
        <f t="shared" si="6"/>
        <v>7</v>
      </c>
      <c r="O27" s="5">
        <f t="shared" ref="O27:O29" si="10">I27-E27</f>
        <v>88</v>
      </c>
    </row>
    <row r="28">
      <c r="A28" s="1" t="s">
        <v>62</v>
      </c>
      <c r="B28" s="4">
        <v>3870042.0</v>
      </c>
      <c r="C28" s="3">
        <v>1.652453294796E12</v>
      </c>
      <c r="D28" s="5"/>
      <c r="E28" s="5">
        <f t="shared" si="1"/>
        <v>1652457164838</v>
      </c>
      <c r="F28" s="5">
        <f t="shared" si="2"/>
        <v>1652457171737</v>
      </c>
      <c r="G28" s="6">
        <f t="shared" si="3"/>
        <v>6899.302002</v>
      </c>
      <c r="H28" s="6">
        <v>3837992.0</v>
      </c>
      <c r="I28" s="6">
        <v>1.652457165325E12</v>
      </c>
      <c r="J28" s="5">
        <f t="shared" si="4"/>
        <v>487</v>
      </c>
      <c r="K28" s="4">
        <f t="shared" si="5"/>
        <v>-6412.302002</v>
      </c>
      <c r="L28" s="3" t="s">
        <v>63</v>
      </c>
      <c r="M28" s="4">
        <f>1652457165000+304</f>
        <v>1652457165304</v>
      </c>
      <c r="N28" s="4">
        <f t="shared" si="6"/>
        <v>21</v>
      </c>
      <c r="O28" s="5">
        <f t="shared" si="10"/>
        <v>487</v>
      </c>
    </row>
    <row r="29">
      <c r="A29" s="1" t="s">
        <v>64</v>
      </c>
      <c r="B29" s="4">
        <v>4040478.0</v>
      </c>
      <c r="C29" s="3">
        <v>1.652453294796E12</v>
      </c>
      <c r="D29" s="5"/>
      <c r="E29" s="5">
        <f t="shared" si="1"/>
        <v>1652457335274</v>
      </c>
      <c r="F29" s="5">
        <f t="shared" si="2"/>
        <v>1652457342477</v>
      </c>
      <c r="G29" s="6">
        <f t="shared" si="3"/>
        <v>7203.145996</v>
      </c>
      <c r="H29" s="6">
        <v>4008759.0</v>
      </c>
      <c r="I29" s="6">
        <v>1.652457336105E12</v>
      </c>
      <c r="J29" s="5">
        <f t="shared" si="4"/>
        <v>831</v>
      </c>
      <c r="K29" s="4">
        <f t="shared" si="5"/>
        <v>-6372.145996</v>
      </c>
      <c r="L29" s="3" t="s">
        <v>65</v>
      </c>
      <c r="M29" s="4">
        <f>1652457336000+89</f>
        <v>1652457336089</v>
      </c>
      <c r="N29" s="4">
        <f t="shared" si="6"/>
        <v>16</v>
      </c>
      <c r="O29" s="5">
        <f t="shared" si="10"/>
        <v>831</v>
      </c>
    </row>
    <row r="30">
      <c r="A30" s="8" t="s">
        <v>66</v>
      </c>
      <c r="B30" s="9">
        <v>4185010.0</v>
      </c>
      <c r="C30" s="10">
        <v>1.6524532813615E12</v>
      </c>
      <c r="D30" s="11"/>
      <c r="E30" s="11">
        <f t="shared" si="1"/>
        <v>1652457466372</v>
      </c>
      <c r="F30" s="11">
        <f t="shared" si="2"/>
        <v>1652457473832</v>
      </c>
      <c r="G30" s="12">
        <f t="shared" si="3"/>
        <v>7460.809814</v>
      </c>
      <c r="H30" s="12">
        <v>4153551.0</v>
      </c>
      <c r="I30" s="12">
        <v>1.652457480893E12</v>
      </c>
      <c r="J30" s="11">
        <f t="shared" si="4"/>
        <v>14521.5</v>
      </c>
      <c r="K30" s="9">
        <f t="shared" si="5"/>
        <v>7060.690186</v>
      </c>
      <c r="L30" s="10" t="s">
        <v>67</v>
      </c>
      <c r="M30" s="9">
        <f>1652457480000+868</f>
        <v>1652457480868</v>
      </c>
      <c r="N30" s="4">
        <f t="shared" si="6"/>
        <v>25</v>
      </c>
      <c r="O30" s="5"/>
    </row>
    <row r="31">
      <c r="A31" s="8" t="s">
        <v>68</v>
      </c>
      <c r="B31" s="9">
        <v>4336554.0</v>
      </c>
      <c r="C31" s="10">
        <v>1.6524532813615E12</v>
      </c>
      <c r="D31" s="11"/>
      <c r="E31" s="11">
        <f t="shared" si="1"/>
        <v>1652457617916</v>
      </c>
      <c r="F31" s="11">
        <f t="shared" si="2"/>
        <v>1652457625646</v>
      </c>
      <c r="G31" s="12">
        <f t="shared" si="3"/>
        <v>7730.974365</v>
      </c>
      <c r="H31" s="12">
        <v>4305431.0</v>
      </c>
      <c r="I31" s="12">
        <v>1.652457632769E12</v>
      </c>
      <c r="J31" s="11">
        <f t="shared" si="4"/>
        <v>14853.5</v>
      </c>
      <c r="K31" s="9">
        <f t="shared" si="5"/>
        <v>7122.525635</v>
      </c>
      <c r="L31" s="10" t="s">
        <v>69</v>
      </c>
      <c r="M31" s="9">
        <f>1652457632000+743</f>
        <v>1652457632743</v>
      </c>
      <c r="N31" s="4">
        <f t="shared" si="6"/>
        <v>26</v>
      </c>
      <c r="O31" s="5"/>
    </row>
    <row r="32">
      <c r="A32" s="1"/>
      <c r="B32" s="5"/>
      <c r="C32" s="5"/>
      <c r="D32" s="5"/>
      <c r="E32" s="5"/>
      <c r="F32" s="6"/>
      <c r="G32" s="6"/>
      <c r="H32" s="6"/>
      <c r="I32" s="6"/>
      <c r="J32" s="5"/>
      <c r="N32" s="3" t="s">
        <v>70</v>
      </c>
      <c r="O32" s="15" t="s">
        <v>70</v>
      </c>
    </row>
    <row r="33">
      <c r="A33" s="1"/>
      <c r="B33" s="5"/>
      <c r="C33" s="5"/>
      <c r="D33" s="5"/>
      <c r="E33" s="5"/>
      <c r="F33" s="6"/>
      <c r="G33" s="6"/>
      <c r="H33" s="6"/>
      <c r="I33" s="6"/>
      <c r="J33" s="5"/>
      <c r="N33" s="4">
        <f t="shared" ref="N33:O33" si="11">AVERAGE(N2:N31)</f>
        <v>16.6</v>
      </c>
      <c r="O33" s="5">
        <f t="shared" si="11"/>
        <v>296.0588235</v>
      </c>
    </row>
    <row r="34">
      <c r="N34" s="3" t="s">
        <v>71</v>
      </c>
      <c r="O34" s="3" t="s">
        <v>71</v>
      </c>
    </row>
    <row r="35">
      <c r="N35" s="4">
        <f t="shared" ref="N35:O35" si="12">_xlfn.STDEV.P(N2:N31)</f>
        <v>12.64014768</v>
      </c>
      <c r="O35" s="4">
        <f t="shared" si="12"/>
        <v>408.7910398</v>
      </c>
    </row>
    <row r="36">
      <c r="N36" s="3" t="s">
        <v>72</v>
      </c>
      <c r="O36" s="3" t="s">
        <v>72</v>
      </c>
    </row>
    <row r="37">
      <c r="N37" s="4">
        <f t="shared" ref="N37:O37" si="13">_xlfn.CONFIDENCE.NORM(0.05,N35,30)</f>
        <v>4.523135644</v>
      </c>
      <c r="O37" s="4">
        <f t="shared" si="13"/>
        <v>146.281307</v>
      </c>
    </row>
  </sheetData>
  <drawing r:id="rId2"/>
  <legacyDrawing r:id="rId3"/>
</worksheet>
</file>