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84775479-B7EC-4183-8AEB-02D9934D33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ametros" sheetId="1" r:id="rId1"/>
    <sheet name="probabilidad de daño" sheetId="5" state="hidden" r:id="rId2"/>
    <sheet name="PERDIDAS" sheetId="4" state="hidden" r:id="rId3"/>
    <sheet name="Estructura principal" sheetId="3" state="hidden" r:id="rId4"/>
    <sheet name="Ciudades" sheetId="2" state="hidden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" i="1" l="1"/>
  <c r="S22" i="1" l="1"/>
  <c r="S21" i="1"/>
  <c r="S20" i="1"/>
  <c r="S19" i="1"/>
  <c r="S18" i="1"/>
  <c r="S17" i="1"/>
  <c r="S16" i="1"/>
  <c r="S15" i="1"/>
  <c r="N35" i="1" l="1"/>
  <c r="N33" i="1"/>
  <c r="N31" i="1"/>
  <c r="N25" i="1"/>
  <c r="N16" i="1"/>
  <c r="N18" i="1"/>
  <c r="N20" i="1"/>
  <c r="N10" i="1"/>
  <c r="L5" i="1"/>
  <c r="N40" i="1" s="1"/>
  <c r="C55" i="1"/>
  <c r="C54" i="1"/>
  <c r="C52" i="1"/>
  <c r="C22" i="3"/>
  <c r="C21" i="3"/>
  <c r="C48" i="1"/>
  <c r="C46" i="1"/>
  <c r="B22" i="3"/>
  <c r="B21" i="3"/>
  <c r="C22" i="1"/>
  <c r="C34" i="1"/>
  <c r="C30" i="1"/>
  <c r="C29" i="1"/>
  <c r="C24" i="1"/>
  <c r="C10" i="1"/>
  <c r="C20" i="1"/>
  <c r="C12" i="1"/>
  <c r="B4" i="1"/>
  <c r="B3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N44" i="1" l="1"/>
  <c r="N47" i="1"/>
  <c r="N50" i="1"/>
  <c r="N11" i="1"/>
  <c r="N26" i="1"/>
  <c r="C25" i="1"/>
  <c r="C31" i="1"/>
  <c r="C32" i="1" s="1"/>
  <c r="C35" i="1" s="1"/>
  <c r="R6" i="1" s="1"/>
  <c r="C56" i="1"/>
  <c r="R10" i="1" s="1"/>
  <c r="C13" i="1"/>
  <c r="R5" i="1" s="1"/>
  <c r="C49" i="1"/>
  <c r="R7" i="1" s="1"/>
  <c r="N36" i="1"/>
  <c r="N21" i="1"/>
  <c r="R3" i="1" l="1"/>
  <c r="R4" i="1"/>
  <c r="R9" i="1"/>
  <c r="R26" i="1" s="1"/>
  <c r="R8" i="1"/>
  <c r="I40" i="4" l="1"/>
  <c r="O39" i="4"/>
  <c r="I39" i="4"/>
  <c r="M41" i="4"/>
  <c r="I41" i="4"/>
  <c r="K40" i="4"/>
  <c r="K41" i="4"/>
  <c r="O40" i="4"/>
  <c r="R27" i="1"/>
  <c r="R33" i="1" s="1"/>
  <c r="O41" i="4"/>
  <c r="Q36" i="1" l="1"/>
  <c r="R36" i="1" s="1"/>
</calcChain>
</file>

<file path=xl/sharedStrings.xml><?xml version="1.0" encoding="utf-8"?>
<sst xmlns="http://schemas.openxmlformats.org/spreadsheetml/2006/main" count="357" uniqueCount="286">
  <si>
    <t>Ciudad</t>
  </si>
  <si>
    <t>Latitud</t>
  </si>
  <si>
    <t>Longitud</t>
  </si>
  <si>
    <t>Cartagena</t>
  </si>
  <si>
    <t>Corozal</t>
  </si>
  <si>
    <t>Magangue</t>
  </si>
  <si>
    <t>Montería</t>
  </si>
  <si>
    <t>Quibdo</t>
  </si>
  <si>
    <t>Tumaco</t>
  </si>
  <si>
    <t>Turbo</t>
  </si>
  <si>
    <t>Valledupar</t>
  </si>
  <si>
    <t>Riohacha</t>
  </si>
  <si>
    <t>Armenia</t>
  </si>
  <si>
    <t>Barranca</t>
  </si>
  <si>
    <t>Bogota</t>
  </si>
  <si>
    <t>Bucaramanga</t>
  </si>
  <si>
    <t>Cali</t>
  </si>
  <si>
    <t>Cúcuta</t>
  </si>
  <si>
    <t>Girardot</t>
  </si>
  <si>
    <t>Ibagué</t>
  </si>
  <si>
    <t>Ipiales</t>
  </si>
  <si>
    <t>Manizales</t>
  </si>
  <si>
    <t>Medellín</t>
  </si>
  <si>
    <t>Neiva</t>
  </si>
  <si>
    <t>Ocaña</t>
  </si>
  <si>
    <t>Pasto</t>
  </si>
  <si>
    <t>Pereira</t>
  </si>
  <si>
    <t>Popayán</t>
  </si>
  <si>
    <t>Remedios</t>
  </si>
  <si>
    <t>Villavicencio</t>
  </si>
  <si>
    <t>Bagre</t>
  </si>
  <si>
    <t>Samaná</t>
  </si>
  <si>
    <t>El Banco</t>
  </si>
  <si>
    <t>Santa Marta</t>
  </si>
  <si>
    <t>Densidad promedio</t>
  </si>
  <si>
    <t>NC</t>
  </si>
  <si>
    <t>Parametros de estructura y acometida</t>
  </si>
  <si>
    <t>DDT</t>
  </si>
  <si>
    <t>Esructura principal</t>
  </si>
  <si>
    <t>Largo estructura</t>
  </si>
  <si>
    <t>Ancho estructura</t>
  </si>
  <si>
    <t>Alto estructura</t>
  </si>
  <si>
    <t xml:space="preserve">Objeto rodeado de objetos o árboles más altos </t>
  </si>
  <si>
    <t xml:space="preserve">Objeto rodeado de objetos o árboles de igual altura o menor </t>
  </si>
  <si>
    <t xml:space="preserve">Objeto aislado: sin objetos en la vecindad </t>
  </si>
  <si>
    <t xml:space="preserve">Objeto aislado: en la cima de una colina o elevación </t>
  </si>
  <si>
    <t xml:space="preserve">Localización relativa </t>
  </si>
  <si>
    <t>Cd</t>
  </si>
  <si>
    <t>Localización relativa</t>
  </si>
  <si>
    <t>cd</t>
  </si>
  <si>
    <t>Area Efectiva</t>
  </si>
  <si>
    <t>Largo adyacente</t>
  </si>
  <si>
    <t>Ancho adyacente</t>
  </si>
  <si>
    <t>Alto adyacente</t>
  </si>
  <si>
    <t xml:space="preserve">Tipo de transformador </t>
  </si>
  <si>
    <t>Ct</t>
  </si>
  <si>
    <t>Transformador con devanado primario y secundario desacoplados eléctricamente</t>
  </si>
  <si>
    <t>Auto transformador</t>
  </si>
  <si>
    <t>Sin transformador</t>
  </si>
  <si>
    <t>Area de influencia</t>
  </si>
  <si>
    <t>ct</t>
  </si>
  <si>
    <t>Cerca a la Esructura principal</t>
  </si>
  <si>
    <t>Area influencia</t>
  </si>
  <si>
    <t>Am - Ad</t>
  </si>
  <si>
    <t>Nm</t>
  </si>
  <si>
    <t>ACOMETIDAS DE SERVICIOA PROTEGER ENERGIA ELECTRICA</t>
  </si>
  <si>
    <t>LONGITUD ACOMETIDA</t>
  </si>
  <si>
    <t>ALTURA ESTRUCTURA</t>
  </si>
  <si>
    <t>ALTURA DE INGRESO ACOMETIDA</t>
  </si>
  <si>
    <t>ALTURA SOBRE LA TIERRA DE ACOMETIDA</t>
  </si>
  <si>
    <t>RESISTIVIDAD</t>
  </si>
  <si>
    <t xml:space="preserve">TIPO DE ACOMETIDA </t>
  </si>
  <si>
    <t>AREA EFECTIVA ACOMETIDA</t>
  </si>
  <si>
    <t>SUBTERRANEA</t>
  </si>
  <si>
    <t>AEREA</t>
  </si>
  <si>
    <t>FACTOR DE LOCALIZACION</t>
  </si>
  <si>
    <t>CERCANO A LA ACOMETIDA</t>
  </si>
  <si>
    <t>Ai</t>
  </si>
  <si>
    <t xml:space="preserve">AMBIENTE </t>
  </si>
  <si>
    <t>ACOMETIDA</t>
  </si>
  <si>
    <t>AMBIENTE</t>
  </si>
  <si>
    <t>Ce</t>
  </si>
  <si>
    <t>RURAL</t>
  </si>
  <si>
    <t>Edificaciones menores a 10 m de altura</t>
  </si>
  <si>
    <t>Edificaciones de más de 20 m de altura</t>
  </si>
  <si>
    <t>Edificaciones entre 10 m y 20 m de altura</t>
  </si>
  <si>
    <t>Ni</t>
  </si>
  <si>
    <t xml:space="preserve">PARAMETROS DE PERDIDA </t>
  </si>
  <si>
    <t>NUMEROS DE POSIBLES VICTIMAS</t>
  </si>
  <si>
    <t xml:space="preserve">NUMERO DE USUARIOS </t>
  </si>
  <si>
    <t xml:space="preserve">TIEMPO DE PERMANENCIA </t>
  </si>
  <si>
    <t>LT</t>
  </si>
  <si>
    <t>PERDIDAS DE VIDA HUMANA POR TENSIONES DE CONTACTO FUERA DE LA ESTRUCTURA - LA</t>
  </si>
  <si>
    <t>TIPO DE SUPERFICIE</t>
  </si>
  <si>
    <t>Tipo de Superficie</t>
  </si>
  <si>
    <t>ra y ru</t>
  </si>
  <si>
    <t xml:space="preserve">Resistencia de contacto [KΩ] (1) </t>
  </si>
  <si>
    <t xml:space="preserve">Agricultura, concreto </t>
  </si>
  <si>
    <t xml:space="preserve">≤ 1 </t>
  </si>
  <si>
    <t xml:space="preserve">Mármol, cerámica </t>
  </si>
  <si>
    <t>Gravilla, tapete</t>
  </si>
  <si>
    <t>1--10</t>
  </si>
  <si>
    <t>10 -- 100</t>
  </si>
  <si>
    <t xml:space="preserve">≥ 100 </t>
  </si>
  <si>
    <t>Asfalto, madera, linóleo</t>
  </si>
  <si>
    <r>
      <rPr>
        <b/>
        <sz val="11"/>
        <color theme="1"/>
        <rFont val="Calibri"/>
        <family val="2"/>
        <scheme val="minor"/>
      </rPr>
      <t>NOTA :</t>
    </r>
    <r>
      <rPr>
        <sz val="11"/>
        <color theme="1"/>
        <rFont val="Calibri"/>
        <family val="2"/>
        <scheme val="minor"/>
      </rPr>
      <t xml:space="preserve"> (1) Valores medidos entre 400 cm2 electrodos con una fuerza de 500 N y un punto infinito</t>
    </r>
  </si>
  <si>
    <t>RA</t>
  </si>
  <si>
    <t>LA</t>
  </si>
  <si>
    <t>PERDIDAS DE VIDA HUMANA POR FUEGO O EXPLOSION DENTRO ESTRUCTURA - LB</t>
  </si>
  <si>
    <t>MEDIDA DE PREVENCION</t>
  </si>
  <si>
    <t>RP</t>
  </si>
  <si>
    <t>RIESGO DE FUEGO</t>
  </si>
  <si>
    <t>RF</t>
  </si>
  <si>
    <t>CLASE DE RIESGO</t>
  </si>
  <si>
    <t>Hz</t>
  </si>
  <si>
    <t>LB</t>
  </si>
  <si>
    <t xml:space="preserve">Sin riesgo especial </t>
  </si>
  <si>
    <t>Nivel bajo de pánico (Edificación de dos pisos con un número no mayor a 100 personas)</t>
  </si>
  <si>
    <t>Nivel medio de pánico (Edificaciones diseñadas para eventos culturales o deportivos, con unnúmero de participantes entre 100 y 1 000 personas)</t>
  </si>
  <si>
    <t xml:space="preserve">Dificultad de evacuación (edificación con personas inmovilizadas) </t>
  </si>
  <si>
    <t xml:space="preserve">Nivel alto de pánico (Edificaciones diseñadas para eventos culturales o deportivos, con un número de participantes superiores a 1 000 personas) </t>
  </si>
  <si>
    <t xml:space="preserve">Peligro por ambiente alrededor </t>
  </si>
  <si>
    <t xml:space="preserve">Contaminación del ambiente alrededor </t>
  </si>
  <si>
    <t>Clase especial de riesgo</t>
  </si>
  <si>
    <t xml:space="preserve"> hz</t>
  </si>
  <si>
    <t>rf</t>
  </si>
  <si>
    <t>Explosión</t>
  </si>
  <si>
    <t>Alto</t>
  </si>
  <si>
    <t>Ordinario</t>
  </si>
  <si>
    <t>Bajo</t>
  </si>
  <si>
    <t>Ninguno</t>
  </si>
  <si>
    <t>Riesgo de fuego</t>
  </si>
  <si>
    <t xml:space="preserve">Medida de prevención </t>
  </si>
  <si>
    <t>r p</t>
  </si>
  <si>
    <t>Sin medida de prevención</t>
  </si>
  <si>
    <t xml:space="preserve">Una de las siguientes prevenciones: Extintores manuales; instalaciones de alarma manual;hidrantes, compartimientos contra fuego; rutas de evacuación </t>
  </si>
  <si>
    <t xml:space="preserve">Una de las siguientes prevenciones: Extintores automáticos; instalaciones de alarma automática (*) </t>
  </si>
  <si>
    <t>Si más de una de estas medidas de provisión se aplican, es necesario tomar el valor mas bajo entre los calculados individualmente. En una estructura con riesgo de explosión rp = 1.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</si>
  <si>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>(*) Solo si esta protegida contra sobretensiones o otros daños y tiempo de respuesta de los bomberos menor a 10 min.</t>
    </r>
  </si>
  <si>
    <t>RU</t>
  </si>
  <si>
    <t>LU</t>
  </si>
  <si>
    <t>PERDIDAS DE VIDA HUMANA POR DAÑOS FISICOS EN ACOMETIDA-LV</t>
  </si>
  <si>
    <t>LV</t>
  </si>
  <si>
    <t>PERDIDAS DE VIDA HUMANA POR IER EN ESTRUCTURA - LC</t>
  </si>
  <si>
    <t>PERDIDAS DE VIDA HUMANA POR IER CERCANA A LA ESTRUCTURA - LM</t>
  </si>
  <si>
    <t>LC</t>
  </si>
  <si>
    <t>LM</t>
  </si>
  <si>
    <t>LZ</t>
  </si>
  <si>
    <t>PERDIDAS DE VIDA HUMANA POR IER CERCANA A LA ACOMETIDA - LZ</t>
  </si>
  <si>
    <t>PERDIDAS DE VIDA HUMANA POR IER SOBRE LA ACOMETIDA - LW</t>
  </si>
  <si>
    <t>Tipo de servicio</t>
  </si>
  <si>
    <t>LF</t>
  </si>
  <si>
    <t>L0</t>
  </si>
  <si>
    <t>GAS, ACUEDUCTO</t>
  </si>
  <si>
    <t>TV, TLC, SUMINISTRO DE POTENCIA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</si>
  <si>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SOLO SI NO SE TIENE LOS VALORES DE NP, NT, T.(LT)</t>
    </r>
  </si>
  <si>
    <t>COMPONENTES DE RIESGO DE ESTRUCTURA</t>
  </si>
  <si>
    <t>COMPONENTE</t>
  </si>
  <si>
    <t>VALOR</t>
  </si>
  <si>
    <t>RB</t>
  </si>
  <si>
    <t>RC</t>
  </si>
  <si>
    <t>RM</t>
  </si>
  <si>
    <t>RV</t>
  </si>
  <si>
    <t>RW</t>
  </si>
  <si>
    <t>RZ</t>
  </si>
  <si>
    <t xml:space="preserve">Medida de Protección </t>
  </si>
  <si>
    <r>
      <t>P</t>
    </r>
    <r>
      <rPr>
        <b/>
        <sz val="6"/>
        <color rgb="FF000000"/>
        <rFont val="Arial-BoldMT"/>
      </rPr>
      <t>A</t>
    </r>
  </si>
  <si>
    <t xml:space="preserve">Sin medidas de protección </t>
  </si>
  <si>
    <t xml:space="preserve">Aislamiento eléctrico de bajantes expuestas. (Ej. al menos 3 mm de polietileno) </t>
  </si>
  <si>
    <t xml:space="preserve">Equipotencialización efectiva del suelo </t>
  </si>
  <si>
    <t xml:space="preserve">Avisos de advertencia </t>
  </si>
  <si>
    <r>
      <t>NOTA Si más de una medida de protección ha sido tomada, el valor de P</t>
    </r>
    <r>
      <rPr>
        <sz val="6"/>
        <color rgb="FF000000"/>
        <rFont val="ArialMT"/>
      </rPr>
      <t xml:space="preserve">A </t>
    </r>
    <r>
      <rPr>
        <sz val="9"/>
        <color rgb="FF000000"/>
        <rFont val="ArialMT"/>
      </rPr>
      <t>es producto de los valores
correspondientes según esta tabla.</t>
    </r>
  </si>
  <si>
    <t xml:space="preserve">Características de la estructura </t>
  </si>
  <si>
    <t xml:space="preserve">Nivel de protección contra rayos </t>
  </si>
  <si>
    <r>
      <t>P</t>
    </r>
    <r>
      <rPr>
        <b/>
        <sz val="6"/>
        <color rgb="FF000000"/>
        <rFont val="Arial-BoldMT"/>
      </rPr>
      <t>B</t>
    </r>
  </si>
  <si>
    <t xml:space="preserve">No Protegida </t>
  </si>
  <si>
    <t xml:space="preserve">-- </t>
  </si>
  <si>
    <t xml:space="preserve">IV </t>
  </si>
  <si>
    <t xml:space="preserve">III </t>
  </si>
  <si>
    <t xml:space="preserve">II </t>
  </si>
  <si>
    <t xml:space="preserve">I </t>
  </si>
  <si>
    <t xml:space="preserve">Estructura con un sistema de captación aéreo de acuerdo al nivel I y donde se usa el armazón de
concreto reforzado como el sistema de bajantes. </t>
  </si>
  <si>
    <t>Estructura con techo metálico o un sistema de captación aéreo con protección completa de
cualquier instalación el techo contra impactos directos de rayo y donde se usa el armazón de
concreto reforzado como el sistema de bajantes.</t>
  </si>
  <si>
    <t>NOTA Los valores de probabilidad descritos en la tabla son posibles siempre y cuando el sistema de
protección contra rayos cumpla con los criterios de NTC 4552.</t>
  </si>
  <si>
    <t xml:space="preserve">Sin sistema coordinado de protección </t>
  </si>
  <si>
    <t xml:space="preserve">III - IV </t>
  </si>
  <si>
    <r>
      <t>Son posibles valores menores de P</t>
    </r>
    <r>
      <rPr>
        <sz val="6"/>
        <color rgb="FF000000"/>
        <rFont val="ArialMT"/>
      </rPr>
      <t xml:space="preserve">C </t>
    </r>
    <r>
      <rPr>
        <sz val="9"/>
        <color rgb="FF000000"/>
        <rFont val="ArialMT"/>
      </rPr>
      <t>en el caso en que los dispositivos de protección
tengan mejores características de protección (mayor capacidad de corriente
soportable, menor nivel de protección, etc.) comparado con requerimientos definidos
para el Nivel I de Protección contra Rayos.</t>
    </r>
  </si>
  <si>
    <t>0,005 - 0,001</t>
  </si>
  <si>
    <r>
      <t>NOTA Solo un sistema coordinado de DPSs es adecuado como medida de reducción de P</t>
    </r>
    <r>
      <rPr>
        <sz val="6"/>
        <color rgb="FF000000"/>
        <rFont val="ArialMT"/>
      </rPr>
      <t xml:space="preserve">C.
</t>
    </r>
    <r>
      <rPr>
        <sz val="9"/>
        <color rgb="FF000000"/>
        <rFont val="ArialMT"/>
      </rPr>
      <t>NOTA Sistemas internos apantallados conectados a líneas externas a través de ductos apantallados no
requieren de un sistema coordinado de DPSs.</t>
    </r>
  </si>
  <si>
    <r>
      <t>P</t>
    </r>
    <r>
      <rPr>
        <b/>
        <i/>
        <sz val="6"/>
        <color rgb="FF000000"/>
        <rFont val="Arial-ItalicMT"/>
      </rPr>
      <t xml:space="preserve">C </t>
    </r>
    <r>
      <rPr>
        <b/>
        <i/>
        <sz val="9"/>
        <color rgb="FF000000"/>
        <rFont val="Arial-ItalicMT"/>
      </rPr>
      <t>= P</t>
    </r>
    <r>
      <rPr>
        <b/>
        <i/>
        <sz val="6"/>
        <color rgb="FF000000"/>
        <rFont val="Arial-ItalicMT"/>
      </rPr>
      <t>SPD</t>
    </r>
  </si>
  <si>
    <r>
      <t>K</t>
    </r>
    <r>
      <rPr>
        <b/>
        <sz val="6"/>
        <color rgb="FF000000"/>
        <rFont val="Arial-BoldMT"/>
      </rPr>
      <t xml:space="preserve">MS1 </t>
    </r>
  </si>
  <si>
    <r>
      <t>P</t>
    </r>
    <r>
      <rPr>
        <b/>
        <sz val="6"/>
        <color rgb="FF000000"/>
        <rFont val="Arial-BoldMT"/>
      </rPr>
      <t>MS</t>
    </r>
  </si>
  <si>
    <r>
      <t xml:space="preserve">≥ </t>
    </r>
    <r>
      <rPr>
        <sz val="9"/>
        <color rgb="FF000000"/>
        <rFont val="ArialMT"/>
      </rPr>
      <t xml:space="preserve">0,4 </t>
    </r>
  </si>
  <si>
    <t xml:space="preserve">0,15 </t>
  </si>
  <si>
    <t xml:space="preserve">0,07 </t>
  </si>
  <si>
    <t xml:space="preserve">0,035 </t>
  </si>
  <si>
    <t xml:space="preserve">0,021 </t>
  </si>
  <si>
    <t xml:space="preserve">0,016 </t>
  </si>
  <si>
    <t xml:space="preserve">0,015 </t>
  </si>
  <si>
    <t xml:space="preserve">0,014 </t>
  </si>
  <si>
    <r>
      <t xml:space="preserve">≤ </t>
    </r>
    <r>
      <rPr>
        <sz val="9"/>
        <color rgb="FF000000"/>
        <rFont val="ArialMT"/>
      </rPr>
      <t xml:space="preserve">0,013 </t>
    </r>
  </si>
  <si>
    <r>
      <t>NOTA Para sistemas internos con equipos con niveles de soportabilidad al
impulso inferiores a los estándar, se asignara un valor de P</t>
    </r>
    <r>
      <rPr>
        <sz val="6"/>
        <color rgb="FF000000"/>
        <rFont val="ArialMT"/>
      </rPr>
      <t xml:space="preserve">MS </t>
    </r>
    <r>
      <rPr>
        <sz val="9"/>
        <color rgb="FF000000"/>
        <rFont val="ArialMT"/>
      </rPr>
      <t>= 1</t>
    </r>
  </si>
  <si>
    <t>Tipo de acometida</t>
  </si>
  <si>
    <r>
      <t>U</t>
    </r>
    <r>
      <rPr>
        <b/>
        <sz val="6"/>
        <color rgb="FF000000"/>
        <rFont val="Arial-BoldMT"/>
      </rPr>
      <t xml:space="preserve">W
</t>
    </r>
    <r>
      <rPr>
        <b/>
        <sz val="9"/>
        <color rgb="FF000000"/>
        <rFont val="Arial-BoldMT"/>
      </rPr>
      <t>[kV]</t>
    </r>
  </si>
  <si>
    <r>
      <t>5 &lt; R</t>
    </r>
    <r>
      <rPr>
        <b/>
        <sz val="6"/>
        <color rgb="FF000000"/>
        <rFont val="Arial-BoldMT"/>
      </rPr>
      <t xml:space="preserve">s </t>
    </r>
    <r>
      <rPr>
        <sz val="9"/>
        <color rgb="FF000000"/>
        <rFont val="SymbolMT"/>
      </rPr>
      <t xml:space="preserve">≤ </t>
    </r>
    <r>
      <rPr>
        <b/>
        <sz val="9"/>
        <color rgb="FF000000"/>
        <rFont val="Arial-BoldMT"/>
      </rPr>
      <t>20
[</t>
    </r>
    <r>
      <rPr>
        <sz val="9"/>
        <color rgb="FF000000"/>
        <rFont val="SymbolMT"/>
      </rPr>
      <t>Ω</t>
    </r>
    <r>
      <rPr>
        <b/>
        <sz val="9"/>
        <color rgb="FF000000"/>
        <rFont val="Arial-BoldMT"/>
      </rPr>
      <t>/km]</t>
    </r>
  </si>
  <si>
    <r>
      <t xml:space="preserve">1 </t>
    </r>
    <r>
      <rPr>
        <sz val="9"/>
        <color rgb="FF000000"/>
        <rFont val="SymbolMT"/>
      </rPr>
      <t xml:space="preserve">&lt; </t>
    </r>
    <r>
      <rPr>
        <b/>
        <sz val="9"/>
        <color rgb="FF000000"/>
        <rFont val="Arial-BoldMT"/>
      </rPr>
      <t>R</t>
    </r>
    <r>
      <rPr>
        <b/>
        <sz val="6"/>
        <color rgb="FF000000"/>
        <rFont val="Arial-BoldMT"/>
      </rPr>
      <t xml:space="preserve">s </t>
    </r>
    <r>
      <rPr>
        <sz val="9"/>
        <color rgb="FF000000"/>
        <rFont val="SymbolMT"/>
      </rPr>
      <t xml:space="preserve">≤ </t>
    </r>
    <r>
      <rPr>
        <b/>
        <sz val="9"/>
        <color rgb="FF000000"/>
        <rFont val="Arial-BoldMT"/>
      </rPr>
      <t>5
[</t>
    </r>
    <r>
      <rPr>
        <sz val="9"/>
        <color rgb="FF000000"/>
        <rFont val="SymbolMT"/>
      </rPr>
      <t>Ω</t>
    </r>
    <r>
      <rPr>
        <b/>
        <sz val="9"/>
        <color rgb="FF000000"/>
        <rFont val="Arial-BoldMT"/>
      </rPr>
      <t>/km]</t>
    </r>
  </si>
  <si>
    <r>
      <t>R</t>
    </r>
    <r>
      <rPr>
        <b/>
        <sz val="6"/>
        <color rgb="FF000000"/>
        <rFont val="Arial-BoldMT"/>
      </rPr>
      <t xml:space="preserve">s </t>
    </r>
    <r>
      <rPr>
        <sz val="9"/>
        <color rgb="FF000000"/>
        <rFont val="SymbolMT"/>
      </rPr>
      <t xml:space="preserve">≤ </t>
    </r>
    <r>
      <rPr>
        <b/>
        <sz val="9"/>
        <color rgb="FF000000"/>
        <rFont val="Arial-BoldMT"/>
      </rPr>
      <t>1
[</t>
    </r>
    <r>
      <rPr>
        <sz val="9"/>
        <color rgb="FF000000"/>
        <rFont val="SymbolMT"/>
      </rPr>
      <t>Ω</t>
    </r>
    <r>
      <rPr>
        <b/>
        <sz val="9"/>
        <color rgb="FF000000"/>
        <rFont val="Arial-BoldMT"/>
      </rPr>
      <t>/km]</t>
    </r>
  </si>
  <si>
    <t xml:space="preserve">Cable NO apantallado </t>
  </si>
  <si>
    <r>
      <t>R</t>
    </r>
    <r>
      <rPr>
        <sz val="6"/>
        <color rgb="FF000000"/>
        <rFont val="ArialMT"/>
      </rPr>
      <t xml:space="preserve">S </t>
    </r>
    <r>
      <rPr>
        <sz val="9"/>
        <color rgb="FF000000"/>
        <rFont val="ArialMT"/>
      </rPr>
      <t>(</t>
    </r>
    <r>
      <rPr>
        <sz val="9"/>
        <color rgb="FF000000"/>
        <rFont val="SymbolMT"/>
      </rPr>
      <t>Ω</t>
    </r>
    <r>
      <rPr>
        <sz val="9"/>
        <color rgb="FF000000"/>
        <rFont val="ArialMT"/>
      </rPr>
      <t>/km): resistencia del apantallamiento del cabl</t>
    </r>
  </si>
  <si>
    <t>PU,V,W, probabilidad de lesiones a seres vivos  a causa de tensiones de toque o paso por
descargas sobre las acometidas de servicio</t>
  </si>
  <si>
    <t>Apantallamiento y equipo unido a
barra equipotencial</t>
  </si>
  <si>
    <t>Sin pantalla</t>
  </si>
  <si>
    <r>
      <t xml:space="preserve">5 &lt; Rs </t>
    </r>
    <r>
      <rPr>
        <sz val="9"/>
        <color rgb="FF000000"/>
        <rFont val="SymbolMT"/>
      </rPr>
      <t xml:space="preserve">≤ </t>
    </r>
    <r>
      <rPr>
        <b/>
        <sz val="9"/>
        <color rgb="FF000000"/>
        <rFont val="Arial-BoldMT"/>
      </rPr>
      <t>20
[</t>
    </r>
    <r>
      <rPr>
        <sz val="9"/>
        <color rgb="FF000000"/>
        <rFont val="SymbolMT"/>
      </rPr>
      <t>Ω</t>
    </r>
    <r>
      <rPr>
        <b/>
        <sz val="9"/>
        <color rgb="FF000000"/>
        <rFont val="Arial-BoldMT"/>
      </rPr>
      <t>/km]</t>
    </r>
  </si>
  <si>
    <r>
      <t>U</t>
    </r>
    <r>
      <rPr>
        <b/>
        <sz val="6"/>
        <color rgb="FF000000"/>
        <rFont val="Arial-BoldMT"/>
      </rPr>
      <t xml:space="preserve">W 
</t>
    </r>
    <r>
      <rPr>
        <b/>
        <sz val="9"/>
        <color rgb="FF000000"/>
        <rFont val="Arial-BoldMT"/>
      </rPr>
      <t>[kV]</t>
    </r>
  </si>
  <si>
    <t>Pantalla no conectada a barra
equipotencial a la cual esta
conectada el equipo</t>
  </si>
  <si>
    <r>
      <t>R</t>
    </r>
    <r>
      <rPr>
        <sz val="6"/>
        <color rgb="FF000000"/>
        <rFont val="ArialMT"/>
      </rPr>
      <t>s</t>
    </r>
    <r>
      <rPr>
        <sz val="9"/>
        <color rgb="FF000000"/>
        <rFont val="ArialMT"/>
      </rPr>
      <t>: resistencia de la pantalla del cable (Ω/km)</t>
    </r>
  </si>
  <si>
    <t>acometidas de servicios</t>
  </si>
  <si>
    <r>
      <t xml:space="preserve"> PZ probabilidad de daño de sistemas internos</t>
    </r>
    <r>
      <rPr>
        <sz val="7"/>
        <color rgb="FF000000"/>
        <rFont val="ArialMT"/>
      </rPr>
      <t xml:space="preserve"> </t>
    </r>
    <r>
      <rPr>
        <sz val="11"/>
        <color rgb="FF000000"/>
        <rFont val="ArialMT"/>
      </rPr>
      <t>a causa de descargas cercanas a las</t>
    </r>
  </si>
  <si>
    <t>PM</t>
  </si>
  <si>
    <t>PA lesiones a seres vivos por tension de paso o contacto</t>
  </si>
  <si>
    <t>PB probabilidad de daño a la estructura por descargas directas</t>
  </si>
  <si>
    <t>PC probabilidad de daño de sistemas internos por impacto directo a la estructura</t>
  </si>
  <si>
    <t>Esructura ADYACENTE</t>
  </si>
  <si>
    <t>PERDIDAS DE VIDA HUMANA POR TENSION DENTRO ESTRUCTURA-LU</t>
  </si>
  <si>
    <t>RESUMEN PROBABILODAD DE DAÑO</t>
  </si>
  <si>
    <t>MEDIDA</t>
  </si>
  <si>
    <t>PA</t>
  </si>
  <si>
    <t>PB</t>
  </si>
  <si>
    <t>PC</t>
  </si>
  <si>
    <t>PU</t>
  </si>
  <si>
    <t>PV</t>
  </si>
  <si>
    <t>PW</t>
  </si>
  <si>
    <t>PZ</t>
  </si>
  <si>
    <t>Estructura protegida 1</t>
  </si>
  <si>
    <t>Estructura protegida 2</t>
  </si>
  <si>
    <t>Estructura protegida 4</t>
  </si>
  <si>
    <t>Estructura protegida 3</t>
  </si>
  <si>
    <t xml:space="preserve">≥ 0,4 </t>
  </si>
  <si>
    <t>Cable apantallado A</t>
  </si>
  <si>
    <t>Cable apantallado B</t>
  </si>
  <si>
    <t>Cable apantallado C</t>
  </si>
  <si>
    <t>Cable apantallado D</t>
  </si>
  <si>
    <t>EVALUACION DE RIESGO ESTRUCTURA Y ACOMETIDA</t>
  </si>
  <si>
    <t>R1</t>
  </si>
  <si>
    <t>R2</t>
  </si>
  <si>
    <t>R3</t>
  </si>
  <si>
    <t>R4</t>
  </si>
  <si>
    <t>RIESGO TOLERABLE</t>
  </si>
  <si>
    <t>RIESGO TOTAL</t>
  </si>
  <si>
    <t>LW</t>
  </si>
  <si>
    <t>ND</t>
  </si>
  <si>
    <t>Nda</t>
  </si>
  <si>
    <t>Nl</t>
  </si>
  <si>
    <t>PERDIDA INACEPTABLE  DEL SERVICIO PUBLICO</t>
  </si>
  <si>
    <t>NO</t>
  </si>
  <si>
    <t>SERVICIO PUBLICO INDISPENSABLE</t>
  </si>
  <si>
    <t>L2</t>
  </si>
  <si>
    <t>PERDIDA INACEPTABLE  PATRIMONIO CULTURAL</t>
  </si>
  <si>
    <t>PERDIDAS ECONOMICAS</t>
  </si>
  <si>
    <t>SI</t>
  </si>
  <si>
    <t>BIEN O INTERES CULTURAL</t>
  </si>
  <si>
    <t>VALOR ECONOMICO ACEPTABLE</t>
  </si>
  <si>
    <t>L4</t>
  </si>
  <si>
    <t xml:space="preserve">Tipo de Daño </t>
  </si>
  <si>
    <t xml:space="preserve">Lesiones a seres
vivos </t>
  </si>
  <si>
    <t>Daños físicos</t>
  </si>
  <si>
    <t>Fallas de sistemas
eléctricos y
electrónicos</t>
  </si>
  <si>
    <t xml:space="preserve">Componente de Riesgo </t>
  </si>
  <si>
    <r>
      <t>R</t>
    </r>
    <r>
      <rPr>
        <b/>
        <sz val="6"/>
        <color rgb="FF000000"/>
        <rFont val="Arial-BoldMT"/>
      </rPr>
      <t xml:space="preserve">s </t>
    </r>
  </si>
  <si>
    <r>
      <t>R</t>
    </r>
    <r>
      <rPr>
        <b/>
        <sz val="6"/>
        <color rgb="FF000000"/>
        <rFont val="Arial-BoldMT"/>
      </rPr>
      <t xml:space="preserve">F </t>
    </r>
  </si>
  <si>
    <r>
      <t>R</t>
    </r>
    <r>
      <rPr>
        <b/>
        <sz val="6"/>
        <color rgb="FF000000"/>
        <rFont val="Arial-BoldMT"/>
      </rPr>
      <t>O</t>
    </r>
  </si>
  <si>
    <r>
      <t>R</t>
    </r>
    <r>
      <rPr>
        <sz val="6"/>
        <color rgb="FF000000"/>
        <rFont val="ArialMT"/>
      </rPr>
      <t xml:space="preserve">1 
</t>
    </r>
    <r>
      <rPr>
        <sz val="9"/>
        <color rgb="FF000000"/>
        <rFont val="ArialMT"/>
      </rPr>
      <t>R</t>
    </r>
    <r>
      <rPr>
        <sz val="6"/>
        <color rgb="FF000000"/>
        <rFont val="ArialMT"/>
      </rPr>
      <t xml:space="preserve">2 
</t>
    </r>
    <r>
      <rPr>
        <sz val="9"/>
        <color rgb="FF000000"/>
        <rFont val="ArialMT"/>
      </rPr>
      <t>R</t>
    </r>
    <r>
      <rPr>
        <sz val="6"/>
        <color rgb="FF000000"/>
        <rFont val="ArialMT"/>
      </rPr>
      <t xml:space="preserve">3 
</t>
    </r>
    <r>
      <rPr>
        <sz val="9"/>
        <color rgb="FF000000"/>
        <rFont val="ArialMT"/>
      </rPr>
      <t>R</t>
    </r>
    <r>
      <rPr>
        <sz val="6"/>
        <color rgb="FF000000"/>
        <rFont val="ArialMT"/>
      </rPr>
      <t xml:space="preserve">4 </t>
    </r>
  </si>
  <si>
    <r>
      <t>R</t>
    </r>
    <r>
      <rPr>
        <sz val="6"/>
        <color rgb="FF000000"/>
        <rFont val="ArialMT"/>
      </rPr>
      <t xml:space="preserve">A + </t>
    </r>
    <r>
      <rPr>
        <sz val="9"/>
        <color rgb="FF000000"/>
        <rFont val="ArialMT"/>
      </rPr>
      <t>R</t>
    </r>
    <r>
      <rPr>
        <sz val="6"/>
        <color rgb="FF000000"/>
        <rFont val="ArialMT"/>
      </rPr>
      <t xml:space="preserve">U 
</t>
    </r>
    <r>
      <rPr>
        <sz val="9"/>
        <color rgb="FF000000"/>
        <rFont val="ArialMT"/>
      </rPr>
      <t>- 
- 
R</t>
    </r>
    <r>
      <rPr>
        <sz val="6"/>
        <color rgb="FF000000"/>
        <rFont val="ArialMT"/>
      </rPr>
      <t xml:space="preserve">A + </t>
    </r>
    <r>
      <rPr>
        <sz val="9"/>
        <color rgb="FF000000"/>
        <rFont val="ArialMT"/>
      </rPr>
      <t>R</t>
    </r>
    <r>
      <rPr>
        <sz val="6"/>
        <color rgb="FF000000"/>
        <rFont val="ArialMT"/>
      </rPr>
      <t xml:space="preserve">U (2) </t>
    </r>
  </si>
  <si>
    <r>
      <t>R</t>
    </r>
    <r>
      <rPr>
        <sz val="6"/>
        <color rgb="FF000000"/>
        <rFont val="ArialMT"/>
      </rPr>
      <t xml:space="preserve">B+ </t>
    </r>
    <r>
      <rPr>
        <sz val="9"/>
        <color rgb="FF000000"/>
        <rFont val="ArialMT"/>
      </rPr>
      <t>R</t>
    </r>
    <r>
      <rPr>
        <sz val="6"/>
        <color rgb="FF000000"/>
        <rFont val="ArialMT"/>
      </rPr>
      <t xml:space="preserve">V 
</t>
    </r>
    <r>
      <rPr>
        <sz val="9"/>
        <color rgb="FF000000"/>
        <rFont val="ArialMT"/>
      </rPr>
      <t>R</t>
    </r>
    <r>
      <rPr>
        <sz val="6"/>
        <color rgb="FF000000"/>
        <rFont val="ArialMT"/>
      </rPr>
      <t xml:space="preserve">B+ </t>
    </r>
    <r>
      <rPr>
        <sz val="9"/>
        <color rgb="FF000000"/>
        <rFont val="ArialMT"/>
      </rPr>
      <t>R</t>
    </r>
    <r>
      <rPr>
        <sz val="6"/>
        <color rgb="FF000000"/>
        <rFont val="ArialMT"/>
      </rPr>
      <t xml:space="preserve">V 
</t>
    </r>
    <r>
      <rPr>
        <sz val="9"/>
        <color rgb="FF000000"/>
        <rFont val="ArialMT"/>
      </rPr>
      <t>R</t>
    </r>
    <r>
      <rPr>
        <sz val="6"/>
        <color rgb="FF000000"/>
        <rFont val="ArialMT"/>
      </rPr>
      <t xml:space="preserve">B+ </t>
    </r>
    <r>
      <rPr>
        <sz val="9"/>
        <color rgb="FF000000"/>
        <rFont val="ArialMT"/>
      </rPr>
      <t>R</t>
    </r>
    <r>
      <rPr>
        <sz val="6"/>
        <color rgb="FF000000"/>
        <rFont val="ArialMT"/>
      </rPr>
      <t xml:space="preserve">V 
</t>
    </r>
    <r>
      <rPr>
        <sz val="9"/>
        <color rgb="FF000000"/>
        <rFont val="ArialMT"/>
      </rPr>
      <t>R</t>
    </r>
    <r>
      <rPr>
        <sz val="6"/>
        <color rgb="FF000000"/>
        <rFont val="ArialMT"/>
      </rPr>
      <t xml:space="preserve">B+ </t>
    </r>
    <r>
      <rPr>
        <sz val="9"/>
        <color rgb="FF000000"/>
        <rFont val="ArialMT"/>
      </rPr>
      <t>R</t>
    </r>
    <r>
      <rPr>
        <sz val="6"/>
        <color rgb="FF000000"/>
        <rFont val="ArialMT"/>
      </rPr>
      <t xml:space="preserve">V </t>
    </r>
  </si>
  <si>
    <r>
      <t>R</t>
    </r>
    <r>
      <rPr>
        <sz val="6"/>
        <color rgb="FF000000"/>
        <rFont val="ArialMT"/>
      </rPr>
      <t xml:space="preserve">C + </t>
    </r>
    <r>
      <rPr>
        <sz val="9"/>
        <color rgb="FF000000"/>
        <rFont val="ArialMT"/>
      </rPr>
      <t>R</t>
    </r>
    <r>
      <rPr>
        <sz val="6"/>
        <color rgb="FF000000"/>
        <rFont val="ArialMT"/>
      </rPr>
      <t xml:space="preserve">M + </t>
    </r>
    <r>
      <rPr>
        <sz val="9"/>
        <color rgb="FF000000"/>
        <rFont val="ArialMT"/>
      </rPr>
      <t>R</t>
    </r>
    <r>
      <rPr>
        <sz val="6"/>
        <color rgb="FF000000"/>
        <rFont val="ArialMT"/>
      </rPr>
      <t xml:space="preserve">W + </t>
    </r>
    <r>
      <rPr>
        <sz val="9"/>
        <color rgb="FF000000"/>
        <rFont val="ArialMT"/>
      </rPr>
      <t>R</t>
    </r>
    <r>
      <rPr>
        <sz val="6"/>
        <color rgb="FF000000"/>
        <rFont val="ArialMT"/>
      </rPr>
      <t xml:space="preserve">Z (1)
</t>
    </r>
    <r>
      <rPr>
        <sz val="9"/>
        <color rgb="FF000000"/>
        <rFont val="ArialMT"/>
      </rPr>
      <t>R</t>
    </r>
    <r>
      <rPr>
        <sz val="6"/>
        <color rgb="FF000000"/>
        <rFont val="ArialMT"/>
      </rPr>
      <t xml:space="preserve">C + </t>
    </r>
    <r>
      <rPr>
        <sz val="9"/>
        <color rgb="FF000000"/>
        <rFont val="ArialMT"/>
      </rPr>
      <t>R</t>
    </r>
    <r>
      <rPr>
        <sz val="6"/>
        <color rgb="FF000000"/>
        <rFont val="ArialMT"/>
      </rPr>
      <t xml:space="preserve">M + </t>
    </r>
    <r>
      <rPr>
        <sz val="9"/>
        <color rgb="FF000000"/>
        <rFont val="ArialMT"/>
      </rPr>
      <t>R</t>
    </r>
    <r>
      <rPr>
        <sz val="6"/>
        <color rgb="FF000000"/>
        <rFont val="ArialMT"/>
      </rPr>
      <t xml:space="preserve">W + </t>
    </r>
    <r>
      <rPr>
        <sz val="9"/>
        <color rgb="FF000000"/>
        <rFont val="ArialMT"/>
      </rPr>
      <t>R</t>
    </r>
    <r>
      <rPr>
        <sz val="6"/>
        <color rgb="FF000000"/>
        <rFont val="ArialMT"/>
      </rPr>
      <t xml:space="preserve">Z
</t>
    </r>
    <r>
      <rPr>
        <sz val="9"/>
        <color rgb="FF000000"/>
        <rFont val="ArialMT"/>
      </rPr>
      <t>-
R</t>
    </r>
    <r>
      <rPr>
        <sz val="6"/>
        <color rgb="FF000000"/>
        <rFont val="ArialMT"/>
      </rPr>
      <t xml:space="preserve">C + </t>
    </r>
    <r>
      <rPr>
        <sz val="9"/>
        <color rgb="FF000000"/>
        <rFont val="ArialMT"/>
      </rPr>
      <t>R</t>
    </r>
    <r>
      <rPr>
        <sz val="6"/>
        <color rgb="FF000000"/>
        <rFont val="ArialMT"/>
      </rPr>
      <t xml:space="preserve">M + </t>
    </r>
    <r>
      <rPr>
        <sz val="9"/>
        <color rgb="FF000000"/>
        <rFont val="ArialMT"/>
      </rPr>
      <t>R</t>
    </r>
    <r>
      <rPr>
        <sz val="6"/>
        <color rgb="FF000000"/>
        <rFont val="ArialMT"/>
      </rPr>
      <t xml:space="preserve">W + </t>
    </r>
    <r>
      <rPr>
        <sz val="9"/>
        <color rgb="FF000000"/>
        <rFont val="ArialMT"/>
      </rPr>
      <t>R</t>
    </r>
    <r>
      <rPr>
        <sz val="6"/>
        <color rgb="FF000000"/>
        <rFont val="ArialMT"/>
      </rPr>
      <t>Z</t>
    </r>
  </si>
  <si>
    <t>Tipo de
Riesgo</t>
  </si>
  <si>
    <r>
      <t xml:space="preserve">(1) </t>
    </r>
    <r>
      <rPr>
        <sz val="9"/>
        <color rgb="FF000000"/>
        <rFont val="ArialMT"/>
      </rPr>
      <t xml:space="preserve">Únicamente para estructuras con riesgo de explosión, o para hospitales u otras estructuras en
donde la falla de sistemas internos ponga en peligro la vida humana.
</t>
    </r>
    <r>
      <rPr>
        <sz val="6"/>
        <color rgb="FF000000"/>
        <rFont val="ArialMT"/>
      </rPr>
      <t xml:space="preserve">(2) </t>
    </r>
    <r>
      <rPr>
        <sz val="9"/>
        <color rgb="FF000000"/>
        <rFont val="ArialMT"/>
      </rPr>
      <t>Únicamente para propiedades en donde pueda haber pérdida de animales</t>
    </r>
  </si>
  <si>
    <t xml:space="preserve">Tipo de pérdida </t>
  </si>
  <si>
    <r>
      <t>R</t>
    </r>
    <r>
      <rPr>
        <b/>
        <sz val="6"/>
        <color rgb="FF000000"/>
        <rFont val="Arial-BoldMT"/>
      </rPr>
      <t xml:space="preserve">T </t>
    </r>
    <r>
      <rPr>
        <b/>
        <sz val="9"/>
        <color rgb="FF000000"/>
        <rFont val="Arial-BoldMT"/>
      </rPr>
      <t xml:space="preserve">(y </t>
    </r>
    <r>
      <rPr>
        <b/>
        <sz val="6"/>
        <color rgb="FF000000"/>
        <rFont val="Arial-BoldMT"/>
      </rPr>
      <t>- 1</t>
    </r>
    <r>
      <rPr>
        <b/>
        <sz val="9"/>
        <color rgb="FF000000"/>
        <rFont val="Arial-BoldMT"/>
      </rPr>
      <t>)</t>
    </r>
  </si>
  <si>
    <t xml:space="preserve">Pérdida de vidas o lesiones permanentes </t>
  </si>
  <si>
    <t xml:space="preserve">Pérdida de servicio público </t>
  </si>
  <si>
    <t xml:space="preserve">Pérdida de patrimonio Cultural </t>
  </si>
  <si>
    <t>REQUIERE SIPRA</t>
  </si>
  <si>
    <t>NO REQUIERE SIPRA</t>
  </si>
  <si>
    <t>DUITAMA</t>
  </si>
  <si>
    <t>Duitama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</si>
</sst>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-BoldMT"/>
    </font>
    <font>
      <b/>
      <sz val="6"/>
      <color rgb="FF000000"/>
      <name val="Arial-BoldMT"/>
    </font>
    <font>
      <sz val="9"/>
      <color rgb="FF000000"/>
      <name val="ArialMT"/>
    </font>
    <font>
      <sz val="6"/>
      <color rgb="FF000000"/>
      <name val="ArialMT"/>
    </font>
    <font>
      <sz val="11"/>
      <color rgb="FF000000"/>
      <name val="ArialMT"/>
    </font>
    <font>
      <sz val="7"/>
      <color rgb="FF000000"/>
      <name val="ArialMT"/>
    </font>
    <font>
      <b/>
      <i/>
      <sz val="9"/>
      <color rgb="FF000000"/>
      <name val="Arial-ItalicMT"/>
    </font>
    <font>
      <b/>
      <i/>
      <sz val="6"/>
      <color rgb="FF000000"/>
      <name val="Arial-ItalicMT"/>
    </font>
    <font>
      <sz val="9"/>
      <color rgb="FF000000"/>
      <name val="SymbolMT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0" xfId="0" applyAlignment="1">
      <alignment horizontal="left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7" borderId="0" xfId="0" applyFill="1" applyAlignment="1">
      <alignment horizontal="center"/>
    </xf>
    <xf numFmtId="16" fontId="0" fillId="0" borderId="0" xfId="0" applyNumberFormat="1" applyAlignment="1">
      <alignment horizontal="left"/>
    </xf>
    <xf numFmtId="0" fontId="0" fillId="8" borderId="1" xfId="0" applyFill="1" applyBorder="1" applyAlignment="1">
      <alignment horizontal="center" vertical="center"/>
    </xf>
    <xf numFmtId="0" fontId="0" fillId="9" borderId="0" xfId="0" applyFill="1"/>
    <xf numFmtId="0" fontId="0" fillId="0" borderId="10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4" xfId="0" applyFill="1" applyBorder="1"/>
    <xf numFmtId="0" fontId="0" fillId="3" borderId="11" xfId="0" applyFill="1" applyBorder="1"/>
    <xf numFmtId="0" fontId="0" fillId="0" borderId="11" xfId="0" applyBorder="1"/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1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6" fillId="0" borderId="0" xfId="0" applyFont="1"/>
    <xf numFmtId="0" fontId="8" fillId="0" borderId="1" xfId="0" applyFont="1" applyBorder="1"/>
    <xf numFmtId="0" fontId="10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14" xfId="0" applyBorder="1"/>
    <xf numFmtId="0" fontId="4" fillId="0" borderId="0" xfId="0" applyFont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11" fillId="0" borderId="0" xfId="0" applyFont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left" wrapText="1"/>
    </xf>
    <xf numFmtId="0" fontId="0" fillId="0" borderId="0" xfId="0" applyAlignment="1">
      <alignment horizontal="center" wrapText="1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d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9:B25" totalsRowShown="0">
  <autoFilter ref="A19:B25" xr:uid="{00000000-0009-0000-0100-000003000000}">
    <filterColumn colId="0" hiddenButton="1"/>
    <filterColumn colId="1" hiddenButton="1"/>
  </autoFilter>
  <tableColumns count="2">
    <tableColumn id="1" xr3:uid="{00000000-0010-0000-0000-000001000000}" name="Riesgo de fuego"/>
    <tableColumn id="2" xr3:uid="{00000000-0010-0000-0000-000002000000}" name="rf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a6" displayName="Tabla6" ref="A40:C44" totalsRowShown="0">
  <autoFilter ref="A40:C44" xr:uid="{00000000-0009-0000-0100-000006000000}">
    <filterColumn colId="0" hiddenButton="1"/>
    <filterColumn colId="1" hiddenButton="1"/>
    <filterColumn colId="2" hiddenButton="1"/>
  </autoFilter>
  <tableColumns count="3">
    <tableColumn id="1" xr3:uid="{00000000-0010-0000-0100-000001000000}" name="Tipo de servicio"/>
    <tableColumn id="2" xr3:uid="{00000000-0010-0000-0100-000002000000}" name="LF"/>
    <tableColumn id="3" xr3:uid="{00000000-0010-0000-0100-000003000000}" name="L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a1" displayName="Tabla1" ref="A10:B14" totalsRowShown="0" headerRowDxfId="3" dataDxfId="2">
  <autoFilter ref="A10:B14" xr:uid="{00000000-0009-0000-0100-000001000000}">
    <filterColumn colId="0" hiddenButton="1"/>
    <filterColumn colId="1" hiddenButton="1"/>
  </autoFilter>
  <tableColumns count="2">
    <tableColumn id="1" xr3:uid="{00000000-0010-0000-0200-000001000000}" name="Localización relativa " dataDxfId="1"/>
    <tableColumn id="2" xr3:uid="{00000000-0010-0000-0200-000002000000}" name="Cd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tabSelected="1" zoomScale="90" zoomScaleNormal="90" workbookViewId="0">
      <selection activeCell="B58" sqref="B58"/>
    </sheetView>
  </sheetViews>
  <sheetFormatPr baseColWidth="10" defaultRowHeight="15"/>
  <cols>
    <col min="1" max="1" width="11.42578125" customWidth="1"/>
    <col min="2" max="2" width="33.7109375" customWidth="1"/>
    <col min="17" max="18" width="22.7109375" customWidth="1"/>
  </cols>
  <sheetData>
    <row r="1" spans="1:19">
      <c r="A1" s="46" t="s">
        <v>36</v>
      </c>
      <c r="B1" s="47"/>
      <c r="I1" s="40" t="s">
        <v>87</v>
      </c>
      <c r="J1" s="40"/>
      <c r="K1" s="40"/>
      <c r="L1" s="40"/>
      <c r="M1" s="40"/>
      <c r="Q1" s="48" t="s">
        <v>156</v>
      </c>
      <c r="R1" s="48"/>
    </row>
    <row r="2" spans="1:19">
      <c r="A2" s="3" t="s">
        <v>0</v>
      </c>
      <c r="B2" s="15" t="s">
        <v>285</v>
      </c>
      <c r="I2" s="41" t="s">
        <v>88</v>
      </c>
      <c r="J2" s="41"/>
      <c r="K2" s="41"/>
      <c r="L2" s="43">
        <v>6</v>
      </c>
      <c r="M2" s="43"/>
      <c r="Q2" s="3" t="s">
        <v>157</v>
      </c>
      <c r="R2" s="3" t="s">
        <v>158</v>
      </c>
    </row>
    <row r="3" spans="1:19">
      <c r="A3" s="3" t="s">
        <v>35</v>
      </c>
      <c r="B3" s="12">
        <f>IF(B2="","",VLOOKUP($B$2,Ciudades!A1:E33,5,FALSE))</f>
        <v>60</v>
      </c>
      <c r="I3" s="41" t="s">
        <v>89</v>
      </c>
      <c r="J3" s="41"/>
      <c r="K3" s="41"/>
      <c r="L3" s="43">
        <v>90</v>
      </c>
      <c r="M3" s="43"/>
      <c r="Q3" s="3" t="s">
        <v>106</v>
      </c>
      <c r="R3" s="3">
        <f>C13*S15*N11</f>
        <v>2.4857176307158428E-6</v>
      </c>
    </row>
    <row r="4" spans="1:19">
      <c r="A4" s="3" t="s">
        <v>37</v>
      </c>
      <c r="B4" s="12">
        <f>IF(B2="","",VLOOKUP($B$2,Ciudades!A1:E33,4,FALSE))</f>
        <v>1</v>
      </c>
      <c r="I4" s="41" t="s">
        <v>90</v>
      </c>
      <c r="J4" s="41"/>
      <c r="K4" s="41"/>
      <c r="L4" s="43">
        <v>2920</v>
      </c>
      <c r="M4" s="43"/>
      <c r="Q4" s="3" t="s">
        <v>159</v>
      </c>
      <c r="R4" s="3">
        <f>C13*N21*S16</f>
        <v>2.4857176307158429E-7</v>
      </c>
    </row>
    <row r="5" spans="1:19">
      <c r="I5" s="41" t="s">
        <v>91</v>
      </c>
      <c r="J5" s="41"/>
      <c r="K5" s="41"/>
      <c r="L5" s="42">
        <f>(L2/L3)*(L4/8760)</f>
        <v>2.222222222222222E-2</v>
      </c>
      <c r="M5" s="42"/>
      <c r="Q5" s="3" t="s">
        <v>160</v>
      </c>
      <c r="R5" s="3">
        <f>C13*S17*N40</f>
        <v>2.4857176307158428E-4</v>
      </c>
    </row>
    <row r="6" spans="1:19">
      <c r="A6" s="40" t="s">
        <v>38</v>
      </c>
      <c r="B6" s="40"/>
      <c r="C6" s="40"/>
      <c r="D6" s="40"/>
      <c r="E6" s="40"/>
      <c r="F6" s="40"/>
      <c r="Q6" s="3" t="s">
        <v>161</v>
      </c>
      <c r="R6" s="3">
        <f>C35*S18*N44</f>
        <v>4.8809490359508223E-4</v>
      </c>
    </row>
    <row r="7" spans="1:19">
      <c r="A7" s="45" t="s">
        <v>39</v>
      </c>
      <c r="B7" s="45"/>
      <c r="C7" s="43">
        <v>20</v>
      </c>
      <c r="D7" s="43"/>
      <c r="E7" s="43"/>
      <c r="F7" s="43"/>
      <c r="Q7" s="3" t="s">
        <v>139</v>
      </c>
      <c r="R7" s="3">
        <f>(C49+C25)*N26*S19</f>
        <v>1.9848278052265178E-8</v>
      </c>
    </row>
    <row r="8" spans="1:19">
      <c r="A8" s="45" t="s">
        <v>40</v>
      </c>
      <c r="B8" s="45"/>
      <c r="C8" s="43">
        <v>10</v>
      </c>
      <c r="D8" s="43"/>
      <c r="E8" s="43"/>
      <c r="F8" s="43"/>
      <c r="I8" s="40" t="s">
        <v>92</v>
      </c>
      <c r="J8" s="40"/>
      <c r="K8" s="40"/>
      <c r="L8" s="40"/>
      <c r="M8" s="40"/>
      <c r="N8" s="40"/>
      <c r="O8" s="40"/>
      <c r="Q8" s="3" t="s">
        <v>162</v>
      </c>
      <c r="R8" s="3">
        <f>(C25+C49)*N36*S20</f>
        <v>1.9848278052265178E-8</v>
      </c>
    </row>
    <row r="9" spans="1:19">
      <c r="A9" s="45" t="s">
        <v>41</v>
      </c>
      <c r="B9" s="45"/>
      <c r="C9" s="43">
        <v>25</v>
      </c>
      <c r="D9" s="43"/>
      <c r="E9" s="43"/>
      <c r="F9" s="43"/>
      <c r="I9" s="41" t="s">
        <v>93</v>
      </c>
      <c r="J9" s="41"/>
      <c r="K9" s="41"/>
      <c r="L9" s="41"/>
      <c r="M9" s="41"/>
      <c r="N9" s="43" t="s">
        <v>97</v>
      </c>
      <c r="O9" s="43"/>
      <c r="Q9" s="3" t="s">
        <v>163</v>
      </c>
      <c r="R9" s="3">
        <f>(C25+C49)*S21*N47</f>
        <v>1.984827805226518E-5</v>
      </c>
    </row>
    <row r="10" spans="1:19">
      <c r="A10" s="41" t="s">
        <v>50</v>
      </c>
      <c r="B10" s="41"/>
      <c r="C10" s="42">
        <f>((C7*C8)+((6*C9)*(C7+C8))+((9*PI())*(C9*C9)))</f>
        <v>22371.458676442588</v>
      </c>
      <c r="D10" s="42"/>
      <c r="E10" s="42"/>
      <c r="F10" s="42"/>
      <c r="I10" s="41" t="s">
        <v>106</v>
      </c>
      <c r="J10" s="41"/>
      <c r="K10" s="41"/>
      <c r="L10" s="41"/>
      <c r="M10" s="41"/>
      <c r="N10" s="42">
        <f>IF(N9="","",VLOOKUP($N$9,PERDIDAS!A2:E5,5,FALSE))</f>
        <v>0.01</v>
      </c>
      <c r="O10" s="42"/>
      <c r="Q10" s="3" t="s">
        <v>164</v>
      </c>
      <c r="R10" s="3">
        <f>(C56-C49)*N50*S22</f>
        <v>0</v>
      </c>
    </row>
    <row r="11" spans="1:19">
      <c r="A11" t="s">
        <v>48</v>
      </c>
      <c r="C11" s="43" t="s">
        <v>43</v>
      </c>
      <c r="D11" s="43"/>
      <c r="E11" s="43"/>
      <c r="F11" s="43"/>
      <c r="I11" s="41" t="s">
        <v>107</v>
      </c>
      <c r="J11" s="41"/>
      <c r="K11" s="41"/>
      <c r="L11" s="41"/>
      <c r="M11" s="41"/>
      <c r="N11" s="42">
        <f>L5*N10</f>
        <v>2.2222222222222221E-4</v>
      </c>
      <c r="O11" s="42"/>
    </row>
    <row r="12" spans="1:19">
      <c r="A12" s="44" t="s">
        <v>49</v>
      </c>
      <c r="B12" s="44"/>
      <c r="C12" s="42">
        <f>IF(C11="","",VLOOKUP($C$11,Tabla1[#All],2,FALSE))</f>
        <v>0.5</v>
      </c>
      <c r="D12" s="42"/>
      <c r="E12" s="42"/>
      <c r="F12" s="42"/>
      <c r="I12" s="41"/>
      <c r="J12" s="41"/>
      <c r="K12" s="41"/>
      <c r="L12" s="41"/>
      <c r="M12" s="41"/>
      <c r="N12" s="42"/>
      <c r="O12" s="42"/>
    </row>
    <row r="13" spans="1:19">
      <c r="A13" s="41" t="s">
        <v>250</v>
      </c>
      <c r="B13" s="41"/>
      <c r="C13" s="42">
        <f>B4*C10*C12*(10^-6)</f>
        <v>1.1185729338221293E-2</v>
      </c>
      <c r="D13" s="42"/>
      <c r="E13" s="42"/>
      <c r="F13" s="42"/>
      <c r="Q13" s="48" t="s">
        <v>224</v>
      </c>
      <c r="R13" s="48"/>
      <c r="S13" s="48"/>
    </row>
    <row r="14" spans="1:19">
      <c r="G14" s="16"/>
      <c r="I14" s="40" t="s">
        <v>108</v>
      </c>
      <c r="J14" s="40"/>
      <c r="K14" s="40"/>
      <c r="L14" s="40"/>
      <c r="M14" s="40"/>
      <c r="N14" s="40"/>
      <c r="O14" s="40"/>
      <c r="Q14" s="3" t="s">
        <v>157</v>
      </c>
      <c r="R14" s="3" t="s">
        <v>225</v>
      </c>
      <c r="S14" s="3" t="s">
        <v>158</v>
      </c>
    </row>
    <row r="15" spans="1:19">
      <c r="I15" s="41" t="s">
        <v>109</v>
      </c>
      <c r="J15" s="41"/>
      <c r="K15" s="41"/>
      <c r="L15" s="41"/>
      <c r="M15" s="41"/>
      <c r="N15" s="43" t="s">
        <v>135</v>
      </c>
      <c r="O15" s="43"/>
      <c r="Q15" s="3" t="s">
        <v>226</v>
      </c>
      <c r="R15" s="3" t="s">
        <v>167</v>
      </c>
      <c r="S15" s="3">
        <f>VLOOKUP(R15,'probabilidad de daño'!A3:B7,2,FALSE)</f>
        <v>1</v>
      </c>
    </row>
    <row r="16" spans="1:19">
      <c r="A16" s="40" t="s">
        <v>222</v>
      </c>
      <c r="B16" s="40"/>
      <c r="C16" s="40"/>
      <c r="D16" s="40"/>
      <c r="E16" s="40"/>
      <c r="F16" s="40"/>
      <c r="I16" s="41" t="s">
        <v>110</v>
      </c>
      <c r="J16" s="41"/>
      <c r="K16" s="41"/>
      <c r="L16" s="41"/>
      <c r="M16" s="41"/>
      <c r="N16" s="42">
        <f>IF(N15="","",VLOOKUP($N$15,PERDIDAS!A29:H31,8,FALSE))</f>
        <v>0.5</v>
      </c>
      <c r="O16" s="42"/>
      <c r="Q16" s="3" t="s">
        <v>227</v>
      </c>
      <c r="R16" s="3" t="s">
        <v>175</v>
      </c>
      <c r="S16" s="3">
        <f>VLOOKUP(R16,'probabilidad de daño'!A12:C19,3,FALSE)</f>
        <v>1</v>
      </c>
    </row>
    <row r="17" spans="1:19">
      <c r="A17" s="45" t="s">
        <v>51</v>
      </c>
      <c r="B17" s="45"/>
      <c r="C17" s="43">
        <v>20</v>
      </c>
      <c r="D17" s="43"/>
      <c r="E17" s="43"/>
      <c r="F17" s="43"/>
      <c r="I17" s="41" t="s">
        <v>111</v>
      </c>
      <c r="J17" s="41"/>
      <c r="K17" s="41"/>
      <c r="L17" s="41"/>
      <c r="M17" s="41"/>
      <c r="N17" s="43" t="s">
        <v>129</v>
      </c>
      <c r="O17" s="43"/>
      <c r="Q17" s="3" t="s">
        <v>228</v>
      </c>
      <c r="R17" s="3" t="s">
        <v>184</v>
      </c>
      <c r="S17" s="3">
        <f>VLOOKUP(R17,'probabilidad de daño'!A23:B28,2,FALSE)</f>
        <v>1</v>
      </c>
    </row>
    <row r="18" spans="1:19">
      <c r="A18" s="45" t="s">
        <v>52</v>
      </c>
      <c r="B18" s="45"/>
      <c r="C18" s="43">
        <v>7</v>
      </c>
      <c r="D18" s="43"/>
      <c r="E18" s="43"/>
      <c r="F18" s="43"/>
      <c r="I18" s="41" t="s">
        <v>112</v>
      </c>
      <c r="J18" s="41"/>
      <c r="K18" s="41"/>
      <c r="L18" s="41"/>
      <c r="M18" s="41"/>
      <c r="N18" s="42">
        <f>IF(N17="","",VLOOKUP($N$17,PERDIDAS!A20:B24,2,FALSE))</f>
        <v>1E-3</v>
      </c>
      <c r="O18" s="42"/>
      <c r="Q18" s="3" t="s">
        <v>218</v>
      </c>
      <c r="R18" s="3" t="s">
        <v>237</v>
      </c>
      <c r="S18" s="3">
        <f>VLOOKUP(R18,'probabilidad de daño'!A32:B41,2,FALSE)</f>
        <v>1</v>
      </c>
    </row>
    <row r="19" spans="1:19">
      <c r="A19" s="45" t="s">
        <v>53</v>
      </c>
      <c r="B19" s="45"/>
      <c r="C19" s="43">
        <v>15</v>
      </c>
      <c r="D19" s="43"/>
      <c r="E19" s="43"/>
      <c r="F19" s="43"/>
      <c r="I19" s="41" t="s">
        <v>113</v>
      </c>
      <c r="J19" s="41"/>
      <c r="K19" s="41"/>
      <c r="L19" s="41"/>
      <c r="M19" s="41"/>
      <c r="N19" s="43" t="s">
        <v>117</v>
      </c>
      <c r="O19" s="43"/>
      <c r="Q19" s="3" t="s">
        <v>229</v>
      </c>
      <c r="R19" s="3" t="s">
        <v>207</v>
      </c>
      <c r="S19" s="3">
        <f>VLOOKUP(R19,'probabilidad de daño'!A46:E50,4,FALSE)</f>
        <v>1</v>
      </c>
    </row>
    <row r="20" spans="1:19">
      <c r="A20" s="41" t="s">
        <v>59</v>
      </c>
      <c r="B20" s="41"/>
      <c r="C20" s="42">
        <f>((C18*C17)+((6*C19)*(C17+C18))+((9*PI())*(C19*C19)))</f>
        <v>8931.7251235193307</v>
      </c>
      <c r="D20" s="42"/>
      <c r="E20" s="42"/>
      <c r="F20" s="42"/>
      <c r="I20" s="41" t="s">
        <v>114</v>
      </c>
      <c r="J20" s="41"/>
      <c r="K20" s="41"/>
      <c r="L20" s="41"/>
      <c r="M20" s="41"/>
      <c r="N20" s="42">
        <f>IF(N19="","",VLOOKUP($N$19,PERDIDAS!A9:I17,9,FALSE))</f>
        <v>2</v>
      </c>
      <c r="O20" s="42"/>
      <c r="Q20" s="3" t="s">
        <v>230</v>
      </c>
      <c r="R20" s="3" t="s">
        <v>207</v>
      </c>
      <c r="S20" s="3">
        <f>VLOOKUP(R20,'probabilidad de daño'!A46:E50,4,FALSE)</f>
        <v>1</v>
      </c>
    </row>
    <row r="21" spans="1:19">
      <c r="A21" t="s">
        <v>75</v>
      </c>
      <c r="C21" s="43" t="s">
        <v>43</v>
      </c>
      <c r="D21" s="43"/>
      <c r="E21" s="43"/>
      <c r="F21" s="43"/>
      <c r="I21" s="41" t="s">
        <v>115</v>
      </c>
      <c r="J21" s="41"/>
      <c r="K21" s="41"/>
      <c r="L21" s="41"/>
      <c r="M21" s="41"/>
      <c r="N21" s="42">
        <f>N16*N20*N18*L5</f>
        <v>2.222222222222222E-5</v>
      </c>
      <c r="O21" s="42"/>
      <c r="Q21" s="3" t="s">
        <v>231</v>
      </c>
      <c r="R21" s="3" t="s">
        <v>207</v>
      </c>
      <c r="S21" s="3">
        <f>VLOOKUP(R21,'probabilidad de daño'!A46:E50,4,FALSE)</f>
        <v>1</v>
      </c>
    </row>
    <row r="22" spans="1:19">
      <c r="A22" s="44" t="s">
        <v>49</v>
      </c>
      <c r="B22" s="44"/>
      <c r="C22" s="42">
        <f>IF(C21="","",VLOOKUP($C$21,Tabla1[#All],2,FALSE))</f>
        <v>0.5</v>
      </c>
      <c r="D22" s="42"/>
      <c r="E22" s="42"/>
      <c r="F22" s="42"/>
      <c r="Q22" s="3" t="s">
        <v>232</v>
      </c>
      <c r="R22" s="3" t="s">
        <v>207</v>
      </c>
      <c r="S22" s="3">
        <f>VLOOKUP(R22,'probabilidad de daño'!A46:E50,4,FALSE)</f>
        <v>1</v>
      </c>
    </row>
    <row r="23" spans="1:19">
      <c r="A23" s="41" t="s">
        <v>54</v>
      </c>
      <c r="B23" s="41"/>
      <c r="C23" s="43" t="s">
        <v>56</v>
      </c>
      <c r="D23" s="43"/>
      <c r="E23" s="43"/>
      <c r="F23" s="43"/>
      <c r="I23" s="40" t="s">
        <v>223</v>
      </c>
      <c r="J23" s="40"/>
      <c r="K23" s="40"/>
      <c r="L23" s="40"/>
      <c r="M23" s="40"/>
      <c r="N23" s="40"/>
      <c r="O23" s="40"/>
    </row>
    <row r="24" spans="1:19">
      <c r="A24" s="41" t="s">
        <v>60</v>
      </c>
      <c r="B24" s="41"/>
      <c r="C24" s="42">
        <f>IF(C23="","",VLOOKUP($C$23,'Estructura principal'!A16:B19,2,FALSE))</f>
        <v>0.2</v>
      </c>
      <c r="D24" s="42"/>
      <c r="E24" s="42"/>
      <c r="F24" s="42"/>
      <c r="I24" s="41" t="s">
        <v>93</v>
      </c>
      <c r="J24" s="41"/>
      <c r="K24" s="41"/>
      <c r="L24" s="41"/>
      <c r="M24" s="41"/>
      <c r="N24" s="43" t="s">
        <v>99</v>
      </c>
      <c r="O24" s="43"/>
      <c r="Q24" s="48" t="s">
        <v>242</v>
      </c>
      <c r="R24" s="48"/>
    </row>
    <row r="25" spans="1:19">
      <c r="A25" s="41" t="s">
        <v>251</v>
      </c>
      <c r="B25" s="41"/>
      <c r="C25" s="42">
        <f>B4*C20*C24*C22*(10^-6)</f>
        <v>8.9317251235193314E-4</v>
      </c>
      <c r="D25" s="42"/>
      <c r="E25" s="42"/>
      <c r="F25" s="42"/>
      <c r="I25" s="41" t="s">
        <v>139</v>
      </c>
      <c r="J25" s="41"/>
      <c r="K25" s="41"/>
      <c r="L25" s="41"/>
      <c r="M25" s="41"/>
      <c r="N25" s="42">
        <f>IF(N24="","",VLOOKUP($N$24,PERDIDAS!A2:E5,5,FALSE))</f>
        <v>1E-3</v>
      </c>
      <c r="O25" s="42"/>
      <c r="Q25" s="3" t="s">
        <v>157</v>
      </c>
      <c r="R25" s="3" t="s">
        <v>158</v>
      </c>
    </row>
    <row r="26" spans="1:19">
      <c r="I26" s="41" t="s">
        <v>140</v>
      </c>
      <c r="J26" s="41"/>
      <c r="K26" s="41"/>
      <c r="L26" s="41"/>
      <c r="M26" s="41"/>
      <c r="N26" s="42">
        <f>L5*N25</f>
        <v>2.222222222222222E-5</v>
      </c>
      <c r="O26" s="42"/>
      <c r="Q26" s="3" t="s">
        <v>243</v>
      </c>
      <c r="R26" s="3">
        <f>R5+R6+R9</f>
        <v>7.5651494471893168E-4</v>
      </c>
    </row>
    <row r="27" spans="1:19">
      <c r="Q27" s="3" t="s">
        <v>244</v>
      </c>
      <c r="R27" s="3">
        <f>R4+R8</f>
        <v>2.6842004112384946E-7</v>
      </c>
    </row>
    <row r="28" spans="1:19">
      <c r="A28" s="40" t="s">
        <v>61</v>
      </c>
      <c r="B28" s="40"/>
      <c r="C28" s="40"/>
      <c r="D28" s="40"/>
      <c r="E28" s="40"/>
      <c r="F28" s="40"/>
      <c r="Q28" s="3" t="s">
        <v>245</v>
      </c>
      <c r="R28" s="3">
        <v>2.3141572633490401E-4</v>
      </c>
    </row>
    <row r="29" spans="1:19">
      <c r="A29" s="45" t="s">
        <v>39</v>
      </c>
      <c r="B29" s="45"/>
      <c r="C29" s="42">
        <f>250+(C7/2)</f>
        <v>260</v>
      </c>
      <c r="D29" s="42"/>
      <c r="E29" s="42"/>
      <c r="F29" s="42"/>
      <c r="I29" s="40" t="s">
        <v>141</v>
      </c>
      <c r="J29" s="40"/>
      <c r="K29" s="40"/>
      <c r="L29" s="40"/>
      <c r="M29" s="40"/>
      <c r="N29" s="40"/>
      <c r="O29" s="40"/>
      <c r="Q29" s="3" t="s">
        <v>246</v>
      </c>
      <c r="R29" s="3">
        <v>1.8218027013472466E-8</v>
      </c>
    </row>
    <row r="30" spans="1:19">
      <c r="A30" s="45" t="s">
        <v>40</v>
      </c>
      <c r="B30" s="45"/>
      <c r="C30" s="42">
        <f>250+(C8/2)</f>
        <v>255</v>
      </c>
      <c r="D30" s="42"/>
      <c r="E30" s="42"/>
      <c r="F30" s="42"/>
      <c r="I30" s="41" t="s">
        <v>109</v>
      </c>
      <c r="J30" s="41"/>
      <c r="K30" s="41"/>
      <c r="L30" s="41"/>
      <c r="M30" s="41"/>
      <c r="N30" s="43" t="s">
        <v>135</v>
      </c>
      <c r="O30" s="43"/>
    </row>
    <row r="31" spans="1:19">
      <c r="A31" s="41" t="s">
        <v>62</v>
      </c>
      <c r="B31" s="41"/>
      <c r="C31" s="42">
        <f>C29*C30</f>
        <v>66300</v>
      </c>
      <c r="D31" s="42"/>
      <c r="E31" s="42"/>
      <c r="F31" s="42"/>
      <c r="I31" s="41" t="s">
        <v>110</v>
      </c>
      <c r="J31" s="41"/>
      <c r="K31" s="41"/>
      <c r="L31" s="41"/>
      <c r="M31" s="41"/>
      <c r="N31" s="42">
        <f>IF(N30="","",VLOOKUP($N$30,PERDIDAS!A29:H31,8,FALSE))</f>
        <v>0.5</v>
      </c>
      <c r="O31" s="42"/>
      <c r="Q31" s="3" t="s">
        <v>247</v>
      </c>
      <c r="R31" s="3">
        <v>1.0000000000000001E-5</v>
      </c>
    </row>
    <row r="32" spans="1:19">
      <c r="A32" s="41" t="s">
        <v>63</v>
      </c>
      <c r="B32" s="41"/>
      <c r="C32" s="42">
        <f>C31-C10</f>
        <v>43928.541323557409</v>
      </c>
      <c r="D32" s="42"/>
      <c r="E32" s="42"/>
      <c r="F32" s="42"/>
      <c r="I32" s="41" t="s">
        <v>111</v>
      </c>
      <c r="J32" s="41"/>
      <c r="K32" s="41"/>
      <c r="L32" s="41"/>
      <c r="M32" s="41"/>
      <c r="N32" s="43" t="s">
        <v>129</v>
      </c>
      <c r="O32" s="43"/>
    </row>
    <row r="33" spans="1:18">
      <c r="A33" t="s">
        <v>48</v>
      </c>
      <c r="C33" s="43" t="s">
        <v>43</v>
      </c>
      <c r="D33" s="43"/>
      <c r="E33" s="43"/>
      <c r="F33" s="43"/>
      <c r="I33" s="41" t="s">
        <v>112</v>
      </c>
      <c r="J33" s="41"/>
      <c r="K33" s="41"/>
      <c r="L33" s="41"/>
      <c r="M33" s="41"/>
      <c r="N33" s="42">
        <f>IF(N32="","",VLOOKUP($N$32,PERDIDAS!A20:B24,2,FALSE))</f>
        <v>1E-3</v>
      </c>
      <c r="O33" s="42"/>
      <c r="Q33" s="3" t="s">
        <v>248</v>
      </c>
      <c r="R33" s="3">
        <f>SUM(R26:R29)</f>
        <v>9.8821730912197303E-4</v>
      </c>
    </row>
    <row r="34" spans="1:18">
      <c r="A34" s="44" t="s">
        <v>49</v>
      </c>
      <c r="B34" s="44"/>
      <c r="C34" s="42">
        <f>IF(C33="","",VLOOKUP($C$33,Tabla1[#All],2,FALSE))</f>
        <v>0.5</v>
      </c>
      <c r="D34" s="42"/>
      <c r="E34" s="42"/>
      <c r="F34" s="42"/>
      <c r="I34" s="41" t="s">
        <v>113</v>
      </c>
      <c r="J34" s="41"/>
      <c r="K34" s="41"/>
      <c r="L34" s="41"/>
      <c r="M34" s="41"/>
      <c r="N34" s="43" t="s">
        <v>117</v>
      </c>
      <c r="O34" s="43"/>
    </row>
    <row r="35" spans="1:18">
      <c r="A35" s="41" t="s">
        <v>64</v>
      </c>
      <c r="B35" s="41"/>
      <c r="C35" s="42">
        <f>B4*(C32*C34)*(10^-6)</f>
        <v>2.1964270661778702E-2</v>
      </c>
      <c r="D35" s="42"/>
      <c r="E35" s="42"/>
      <c r="F35" s="42"/>
      <c r="I35" s="41" t="s">
        <v>114</v>
      </c>
      <c r="J35" s="41"/>
      <c r="K35" s="41"/>
      <c r="L35" s="41"/>
      <c r="M35" s="41"/>
      <c r="N35" s="42">
        <f>IF(N34="","",VLOOKUP($N$34,PERDIDAS!A9:I17,9,FALSE))</f>
        <v>2</v>
      </c>
      <c r="O35" s="42"/>
    </row>
    <row r="36" spans="1:18">
      <c r="I36" s="41" t="s">
        <v>142</v>
      </c>
      <c r="J36" s="41"/>
      <c r="K36" s="41"/>
      <c r="L36" s="41"/>
      <c r="M36" s="41"/>
      <c r="N36" s="42">
        <f>N35*N33*N31*L5</f>
        <v>2.222222222222222E-5</v>
      </c>
      <c r="O36" s="42"/>
      <c r="Q36" s="39">
        <f>IF(R33&gt;R31,1,2)</f>
        <v>1</v>
      </c>
      <c r="R36" s="49" t="str">
        <f>VLOOKUP(Q36,PERDIDAS!Q30:R31,2,FALSE)</f>
        <v>REQUIERE SIPRA</v>
      </c>
    </row>
    <row r="37" spans="1:18">
      <c r="A37" s="40" t="s">
        <v>65</v>
      </c>
      <c r="B37" s="40"/>
      <c r="C37" s="40"/>
      <c r="D37" s="40"/>
      <c r="E37" s="40"/>
      <c r="F37" s="40"/>
      <c r="R37" s="50"/>
    </row>
    <row r="38" spans="1:18">
      <c r="A38" s="41" t="s">
        <v>66</v>
      </c>
      <c r="B38" s="41"/>
      <c r="C38" s="43">
        <v>25</v>
      </c>
      <c r="D38" s="43"/>
      <c r="E38" s="43"/>
      <c r="F38" s="43"/>
    </row>
    <row r="39" spans="1:18">
      <c r="A39" s="41" t="s">
        <v>67</v>
      </c>
      <c r="B39" s="41"/>
      <c r="C39" s="43">
        <v>12</v>
      </c>
      <c r="D39" s="43"/>
      <c r="E39" s="43"/>
      <c r="F39" s="43"/>
      <c r="I39" s="40" t="s">
        <v>143</v>
      </c>
      <c r="J39" s="40"/>
      <c r="K39" s="40"/>
      <c r="L39" s="40"/>
      <c r="M39" s="40"/>
      <c r="N39" s="40"/>
      <c r="O39" s="40"/>
    </row>
    <row r="40" spans="1:18">
      <c r="A40" s="41" t="s">
        <v>68</v>
      </c>
      <c r="B40" s="41"/>
      <c r="C40" s="43">
        <v>0</v>
      </c>
      <c r="D40" s="43"/>
      <c r="E40" s="43"/>
      <c r="F40" s="43"/>
      <c r="I40" s="41" t="s">
        <v>145</v>
      </c>
      <c r="J40" s="41"/>
      <c r="K40" s="41"/>
      <c r="L40" s="41"/>
      <c r="M40" s="41"/>
      <c r="N40" s="42">
        <f>L5</f>
        <v>2.222222222222222E-2</v>
      </c>
      <c r="O40" s="42"/>
    </row>
    <row r="41" spans="1:18">
      <c r="A41" s="41" t="s">
        <v>69</v>
      </c>
      <c r="B41" s="41"/>
      <c r="C41" s="43">
        <v>0</v>
      </c>
      <c r="D41" s="43"/>
      <c r="E41" s="43"/>
      <c r="F41" s="43"/>
    </row>
    <row r="42" spans="1:18">
      <c r="A42" s="41" t="s">
        <v>70</v>
      </c>
      <c r="B42" s="41"/>
      <c r="C42" s="43">
        <v>65</v>
      </c>
      <c r="D42" s="43"/>
      <c r="E42" s="43"/>
      <c r="F42" s="43"/>
    </row>
    <row r="43" spans="1:18">
      <c r="A43" s="41" t="s">
        <v>71</v>
      </c>
      <c r="B43" s="41"/>
      <c r="C43" s="43" t="s">
        <v>73</v>
      </c>
      <c r="D43" s="43"/>
      <c r="E43" s="43"/>
      <c r="F43" s="43"/>
      <c r="I43" s="40" t="s">
        <v>144</v>
      </c>
      <c r="J43" s="40"/>
      <c r="K43" s="40"/>
      <c r="L43" s="40"/>
      <c r="M43" s="40"/>
      <c r="N43" s="40"/>
      <c r="O43" s="40"/>
    </row>
    <row r="44" spans="1:18">
      <c r="A44" s="41" t="s">
        <v>72</v>
      </c>
      <c r="B44" s="41"/>
      <c r="C44" s="42">
        <v>0</v>
      </c>
      <c r="D44" s="42"/>
      <c r="E44" s="42"/>
      <c r="F44" s="42"/>
      <c r="I44" s="41" t="s">
        <v>146</v>
      </c>
      <c r="J44" s="41"/>
      <c r="K44" s="41"/>
      <c r="L44" s="41"/>
      <c r="M44" s="41"/>
      <c r="N44" s="42">
        <f>L5</f>
        <v>2.222222222222222E-2</v>
      </c>
      <c r="O44" s="42"/>
    </row>
    <row r="45" spans="1:18">
      <c r="A45" t="s">
        <v>75</v>
      </c>
      <c r="C45" s="43" t="s">
        <v>43</v>
      </c>
      <c r="D45" s="43"/>
      <c r="E45" s="43"/>
      <c r="F45" s="43"/>
    </row>
    <row r="46" spans="1:18">
      <c r="A46" s="44" t="s">
        <v>49</v>
      </c>
      <c r="B46" s="44"/>
      <c r="C46" s="42">
        <f>IF(C45="","",VLOOKUP($C$45,Tabla1[#All],2,FALSE))</f>
        <v>0.5</v>
      </c>
      <c r="D46" s="42"/>
      <c r="E46" s="42"/>
      <c r="F46" s="42"/>
      <c r="I46" s="40" t="s">
        <v>149</v>
      </c>
      <c r="J46" s="40"/>
      <c r="K46" s="40"/>
      <c r="L46" s="40"/>
      <c r="M46" s="40"/>
      <c r="N46" s="40"/>
      <c r="O46" s="40"/>
    </row>
    <row r="47" spans="1:18">
      <c r="A47" s="41" t="s">
        <v>54</v>
      </c>
      <c r="B47" s="41"/>
      <c r="C47" s="43" t="s">
        <v>56</v>
      </c>
      <c r="D47" s="43"/>
      <c r="E47" s="43"/>
      <c r="F47" s="43"/>
      <c r="I47" s="41" t="s">
        <v>249</v>
      </c>
      <c r="J47" s="41"/>
      <c r="K47" s="41"/>
      <c r="L47" s="41"/>
      <c r="M47" s="41"/>
      <c r="N47" s="42">
        <f>L5</f>
        <v>2.222222222222222E-2</v>
      </c>
      <c r="O47" s="42"/>
    </row>
    <row r="48" spans="1:18">
      <c r="A48" s="41" t="s">
        <v>60</v>
      </c>
      <c r="B48" s="41"/>
      <c r="C48" s="42">
        <f>IF(C47="","",VLOOKUP($C$47,'Estructura principal'!A16:B19,2,FALSE))</f>
        <v>0.2</v>
      </c>
      <c r="D48" s="42"/>
      <c r="E48" s="42"/>
      <c r="F48" s="42"/>
    </row>
    <row r="49" spans="1:15">
      <c r="A49" s="41" t="s">
        <v>252</v>
      </c>
      <c r="B49" s="41"/>
      <c r="C49" s="42">
        <f>B4*C44*C46*C48*(10^-6)</f>
        <v>0</v>
      </c>
      <c r="D49" s="42"/>
      <c r="E49" s="42"/>
      <c r="F49" s="42"/>
      <c r="I49" s="40" t="s">
        <v>148</v>
      </c>
      <c r="J49" s="40"/>
      <c r="K49" s="40"/>
      <c r="L49" s="40"/>
      <c r="M49" s="40"/>
      <c r="N49" s="40"/>
      <c r="O49" s="40"/>
    </row>
    <row r="50" spans="1:15">
      <c r="I50" s="41" t="s">
        <v>147</v>
      </c>
      <c r="J50" s="41"/>
      <c r="K50" s="41"/>
      <c r="L50" s="41"/>
      <c r="M50" s="41"/>
      <c r="N50" s="42">
        <f>L5</f>
        <v>2.222222222222222E-2</v>
      </c>
      <c r="O50" s="42"/>
    </row>
    <row r="51" spans="1:15">
      <c r="A51" s="40" t="s">
        <v>76</v>
      </c>
      <c r="B51" s="40"/>
      <c r="C51" s="40"/>
      <c r="D51" s="40"/>
      <c r="E51" s="40"/>
      <c r="F51" s="40"/>
    </row>
    <row r="52" spans="1:15">
      <c r="A52" s="41" t="s">
        <v>77</v>
      </c>
      <c r="B52" s="41"/>
      <c r="C52" s="42">
        <f>IF(C43="","",VLOOKUP($C$43,'Estructura principal'!A21:C22,3,FALSE))</f>
        <v>5038.9110926865933</v>
      </c>
      <c r="D52" s="42"/>
      <c r="E52" s="42"/>
      <c r="F52" s="42"/>
      <c r="I52" s="40" t="s">
        <v>253</v>
      </c>
      <c r="J52" s="40"/>
      <c r="K52" s="40"/>
      <c r="L52" s="40"/>
      <c r="M52" s="40"/>
      <c r="N52" s="40"/>
      <c r="O52" s="40"/>
    </row>
    <row r="53" spans="1:15">
      <c r="A53" s="41" t="s">
        <v>78</v>
      </c>
      <c r="B53" s="41"/>
      <c r="C53" s="43" t="s">
        <v>84</v>
      </c>
      <c r="D53" s="43"/>
      <c r="E53" s="43"/>
      <c r="F53" s="43"/>
      <c r="I53" s="42" t="s">
        <v>255</v>
      </c>
      <c r="J53" s="42"/>
      <c r="K53" s="42"/>
      <c r="L53" s="42"/>
      <c r="M53" s="42"/>
      <c r="N53" s="42" t="s">
        <v>254</v>
      </c>
      <c r="O53" s="42"/>
    </row>
    <row r="54" spans="1:15">
      <c r="A54" s="41" t="s">
        <v>81</v>
      </c>
      <c r="B54" s="41"/>
      <c r="C54" s="42">
        <f>IF(C53="","",VLOOKUP($C$53,'Estructura principal'!A26:B29,2,FALSE))</f>
        <v>0</v>
      </c>
      <c r="D54" s="42"/>
      <c r="E54" s="42"/>
      <c r="F54" s="42"/>
      <c r="I54" s="42" t="s">
        <v>256</v>
      </c>
      <c r="J54" s="42"/>
      <c r="K54" s="42"/>
      <c r="L54" s="42"/>
      <c r="M54" s="42"/>
      <c r="N54" s="42">
        <f>VLOOKUP(N53,PERDIDAS!A41:C43,2,FALSE)</f>
        <v>0</v>
      </c>
      <c r="O54" s="42"/>
    </row>
    <row r="55" spans="1:15">
      <c r="A55" s="41" t="s">
        <v>55</v>
      </c>
      <c r="B55" s="41"/>
      <c r="C55" s="42">
        <f>IF(C47="","",VLOOKUP($C$47,'Estructura principal'!A16:B19,2,FALSE))</f>
        <v>0.2</v>
      </c>
      <c r="D55" s="42"/>
      <c r="E55" s="42"/>
      <c r="F55" s="42"/>
      <c r="I55" s="40" t="s">
        <v>257</v>
      </c>
      <c r="J55" s="40"/>
      <c r="K55" s="40"/>
      <c r="L55" s="40"/>
      <c r="M55" s="40"/>
      <c r="N55" s="40"/>
      <c r="O55" s="40"/>
    </row>
    <row r="56" spans="1:15">
      <c r="A56" s="41" t="s">
        <v>86</v>
      </c>
      <c r="B56" s="41"/>
      <c r="C56" s="42">
        <f>B4*C52*C54*C55*(10^-6)</f>
        <v>0</v>
      </c>
      <c r="D56" s="42"/>
      <c r="E56" s="42"/>
      <c r="F56" s="42"/>
      <c r="I56" s="42" t="s">
        <v>260</v>
      </c>
      <c r="J56" s="42"/>
      <c r="K56" s="42"/>
      <c r="L56" s="42"/>
      <c r="M56" s="42"/>
      <c r="N56" s="42" t="s">
        <v>254</v>
      </c>
      <c r="O56" s="42"/>
    </row>
    <row r="57" spans="1:15">
      <c r="A57" s="41"/>
      <c r="B57" s="41"/>
      <c r="I57" s="42" t="s">
        <v>151</v>
      </c>
      <c r="J57" s="42"/>
      <c r="K57" s="42"/>
      <c r="L57" s="42"/>
      <c r="M57" s="42"/>
      <c r="N57" s="42">
        <v>0</v>
      </c>
      <c r="O57" s="42"/>
    </row>
    <row r="58" spans="1:15">
      <c r="I58" s="40" t="s">
        <v>258</v>
      </c>
      <c r="J58" s="40"/>
      <c r="K58" s="40"/>
      <c r="L58" s="40"/>
      <c r="M58" s="40"/>
      <c r="N58" s="40"/>
      <c r="O58" s="40"/>
    </row>
    <row r="59" spans="1:15">
      <c r="I59" s="42" t="s">
        <v>261</v>
      </c>
      <c r="J59" s="42"/>
      <c r="K59" s="42"/>
      <c r="L59" s="42"/>
      <c r="M59" s="42"/>
      <c r="N59" s="42" t="s">
        <v>254</v>
      </c>
      <c r="O59" s="42"/>
    </row>
    <row r="60" spans="1:15">
      <c r="I60" s="42" t="s">
        <v>262</v>
      </c>
      <c r="J60" s="42"/>
      <c r="K60" s="42"/>
      <c r="L60" s="42"/>
      <c r="M60" s="42"/>
      <c r="N60" s="42">
        <v>0</v>
      </c>
      <c r="O60" s="42"/>
    </row>
  </sheetData>
  <dataConsolidate/>
  <mergeCells count="169">
    <mergeCell ref="I55:O55"/>
    <mergeCell ref="I58:O58"/>
    <mergeCell ref="I56:M56"/>
    <mergeCell ref="I57:M57"/>
    <mergeCell ref="N56:O56"/>
    <mergeCell ref="N57:O57"/>
    <mergeCell ref="I59:M59"/>
    <mergeCell ref="I60:M60"/>
    <mergeCell ref="N59:O59"/>
    <mergeCell ref="N60:O60"/>
    <mergeCell ref="I52:O52"/>
    <mergeCell ref="Q1:R1"/>
    <mergeCell ref="Q13:S13"/>
    <mergeCell ref="Q24:R24"/>
    <mergeCell ref="N53:O53"/>
    <mergeCell ref="I53:M53"/>
    <mergeCell ref="I54:M54"/>
    <mergeCell ref="N54:O54"/>
    <mergeCell ref="R36:R37"/>
    <mergeCell ref="I10:M10"/>
    <mergeCell ref="I11:M11"/>
    <mergeCell ref="I12:M12"/>
    <mergeCell ref="N10:O10"/>
    <mergeCell ref="N11:O11"/>
    <mergeCell ref="N12:O12"/>
    <mergeCell ref="L2:M2"/>
    <mergeCell ref="L3:M3"/>
    <mergeCell ref="L4:M4"/>
    <mergeCell ref="L5:M5"/>
    <mergeCell ref="I8:O8"/>
    <mergeCell ref="I9:M9"/>
    <mergeCell ref="N9:O9"/>
    <mergeCell ref="N15:O15"/>
    <mergeCell ref="N16:O16"/>
    <mergeCell ref="C7:F7"/>
    <mergeCell ref="C9:F9"/>
    <mergeCell ref="C8:F8"/>
    <mergeCell ref="C12:F12"/>
    <mergeCell ref="A1:B1"/>
    <mergeCell ref="A7:B7"/>
    <mergeCell ref="A8:B8"/>
    <mergeCell ref="A9:B9"/>
    <mergeCell ref="A6:F6"/>
    <mergeCell ref="A16:F16"/>
    <mergeCell ref="A17:B17"/>
    <mergeCell ref="C17:F17"/>
    <mergeCell ref="A18:B18"/>
    <mergeCell ref="C18:F18"/>
    <mergeCell ref="A19:B19"/>
    <mergeCell ref="C19:F19"/>
    <mergeCell ref="A10:B10"/>
    <mergeCell ref="C10:F10"/>
    <mergeCell ref="C11:F11"/>
    <mergeCell ref="A13:B13"/>
    <mergeCell ref="C13:F13"/>
    <mergeCell ref="A12:B12"/>
    <mergeCell ref="A24:B24"/>
    <mergeCell ref="C24:F24"/>
    <mergeCell ref="A25:B25"/>
    <mergeCell ref="C25:F25"/>
    <mergeCell ref="A28:F28"/>
    <mergeCell ref="A29:B29"/>
    <mergeCell ref="C29:F29"/>
    <mergeCell ref="A20:B20"/>
    <mergeCell ref="C20:F20"/>
    <mergeCell ref="C21:F21"/>
    <mergeCell ref="A22:B22"/>
    <mergeCell ref="C22:F22"/>
    <mergeCell ref="A23:B23"/>
    <mergeCell ref="C23:F23"/>
    <mergeCell ref="C32:F32"/>
    <mergeCell ref="C33:F33"/>
    <mergeCell ref="A34:B34"/>
    <mergeCell ref="C34:F34"/>
    <mergeCell ref="A35:B35"/>
    <mergeCell ref="C35:F35"/>
    <mergeCell ref="A32:B32"/>
    <mergeCell ref="A30:B30"/>
    <mergeCell ref="C30:F30"/>
    <mergeCell ref="A31:B31"/>
    <mergeCell ref="C31:F31"/>
    <mergeCell ref="C47:F47"/>
    <mergeCell ref="C48:F48"/>
    <mergeCell ref="A43:B43"/>
    <mergeCell ref="A44:B44"/>
    <mergeCell ref="C42:F42"/>
    <mergeCell ref="C43:F43"/>
    <mergeCell ref="C44:F44"/>
    <mergeCell ref="A37:F37"/>
    <mergeCell ref="A38:B38"/>
    <mergeCell ref="A39:B39"/>
    <mergeCell ref="A40:B40"/>
    <mergeCell ref="A41:B41"/>
    <mergeCell ref="A42:B42"/>
    <mergeCell ref="C38:F38"/>
    <mergeCell ref="C39:F39"/>
    <mergeCell ref="C40:F40"/>
    <mergeCell ref="C41:F41"/>
    <mergeCell ref="C55:F55"/>
    <mergeCell ref="A55:B55"/>
    <mergeCell ref="A56:B56"/>
    <mergeCell ref="A57:B57"/>
    <mergeCell ref="C56:F56"/>
    <mergeCell ref="I1:M1"/>
    <mergeCell ref="I2:K2"/>
    <mergeCell ref="I3:K3"/>
    <mergeCell ref="I4:K4"/>
    <mergeCell ref="I5:K5"/>
    <mergeCell ref="A49:B49"/>
    <mergeCell ref="C49:F49"/>
    <mergeCell ref="A51:F51"/>
    <mergeCell ref="A52:B52"/>
    <mergeCell ref="A53:B53"/>
    <mergeCell ref="A54:B54"/>
    <mergeCell ref="C52:F52"/>
    <mergeCell ref="C53:F53"/>
    <mergeCell ref="C54:F54"/>
    <mergeCell ref="A46:B46"/>
    <mergeCell ref="A47:B47"/>
    <mergeCell ref="A48:B48"/>
    <mergeCell ref="C45:F45"/>
    <mergeCell ref="C46:F46"/>
    <mergeCell ref="N17:O17"/>
    <mergeCell ref="N18:O18"/>
    <mergeCell ref="N19:O19"/>
    <mergeCell ref="N20:O20"/>
    <mergeCell ref="N21:O21"/>
    <mergeCell ref="I14:O14"/>
    <mergeCell ref="I15:M15"/>
    <mergeCell ref="I16:M16"/>
    <mergeCell ref="I17:M17"/>
    <mergeCell ref="I18:M18"/>
    <mergeCell ref="I19:M19"/>
    <mergeCell ref="I23:O23"/>
    <mergeCell ref="I24:M24"/>
    <mergeCell ref="I25:M25"/>
    <mergeCell ref="I26:M26"/>
    <mergeCell ref="N24:O24"/>
    <mergeCell ref="N25:O25"/>
    <mergeCell ref="N26:O26"/>
    <mergeCell ref="I20:M20"/>
    <mergeCell ref="I21:M21"/>
    <mergeCell ref="I33:M33"/>
    <mergeCell ref="N33:O33"/>
    <mergeCell ref="I34:M34"/>
    <mergeCell ref="N34:O34"/>
    <mergeCell ref="I35:M35"/>
    <mergeCell ref="N35:O35"/>
    <mergeCell ref="I29:O29"/>
    <mergeCell ref="I30:M30"/>
    <mergeCell ref="N30:O30"/>
    <mergeCell ref="I31:M31"/>
    <mergeCell ref="N31:O31"/>
    <mergeCell ref="I32:M32"/>
    <mergeCell ref="N32:O32"/>
    <mergeCell ref="I46:O46"/>
    <mergeCell ref="I47:M47"/>
    <mergeCell ref="N47:O47"/>
    <mergeCell ref="I49:O49"/>
    <mergeCell ref="I50:M50"/>
    <mergeCell ref="N50:O50"/>
    <mergeCell ref="I36:M36"/>
    <mergeCell ref="N36:O36"/>
    <mergeCell ref="I39:O39"/>
    <mergeCell ref="I40:M40"/>
    <mergeCell ref="I43:O43"/>
    <mergeCell ref="I44:M44"/>
    <mergeCell ref="N44:O44"/>
    <mergeCell ref="N40:O4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 xr:uid="{00000000-0002-0000-0000-000000000000}">
          <x14:formula1>
            <xm:f>Ciudades!$A$2:$A$33</xm:f>
          </x14:formula1>
          <xm:sqref>B2</xm:sqref>
        </x14:dataValidation>
        <x14:dataValidation type="list" allowBlank="1" showInputMessage="1" showErrorMessage="1" xr:uid="{00000000-0002-0000-0000-000001000000}">
          <x14:formula1>
            <xm:f>'Estructura principal'!$A$11:$A$14</xm:f>
          </x14:formula1>
          <xm:sqref>C11 C21 C33 C45</xm:sqref>
        </x14:dataValidation>
        <x14:dataValidation type="list" allowBlank="1" showInputMessage="1" showErrorMessage="1" xr:uid="{00000000-0002-0000-0000-000002000000}">
          <x14:formula1>
            <xm:f>'Estructura principal'!$A$17:$A$19</xm:f>
          </x14:formula1>
          <xm:sqref>C23:F23 C47:F47</xm:sqref>
        </x14:dataValidation>
        <x14:dataValidation type="list" allowBlank="1" showInputMessage="1" showErrorMessage="1" xr:uid="{00000000-0002-0000-0000-000003000000}">
          <x14:formula1>
            <xm:f>'Estructura principal'!$A$21:$A$22</xm:f>
          </x14:formula1>
          <xm:sqref>C43:F43</xm:sqref>
        </x14:dataValidation>
        <x14:dataValidation type="list" allowBlank="1" showInputMessage="1" showErrorMessage="1" xr:uid="{00000000-0002-0000-0000-000004000000}">
          <x14:formula1>
            <xm:f>'Estructura principal'!$A$26:$A$29</xm:f>
          </x14:formula1>
          <xm:sqref>C53:F53</xm:sqref>
        </x14:dataValidation>
        <x14:dataValidation type="list" allowBlank="1" showInputMessage="1" showErrorMessage="1" xr:uid="{00000000-0002-0000-0000-000005000000}">
          <x14:formula1>
            <xm:f>PERDIDAS!$A$2:$A$5</xm:f>
          </x14:formula1>
          <xm:sqref>N9:O9 N24:O24</xm:sqref>
        </x14:dataValidation>
        <x14:dataValidation type="list" allowBlank="1" showInputMessage="1" showErrorMessage="1" xr:uid="{00000000-0002-0000-0000-000006000000}">
          <x14:formula1>
            <xm:f>PERDIDAS!$A$11:$A$17</xm:f>
          </x14:formula1>
          <xm:sqref>N19:O19 N34:O34</xm:sqref>
        </x14:dataValidation>
        <x14:dataValidation type="list" allowBlank="1" showInputMessage="1" showErrorMessage="1" xr:uid="{00000000-0002-0000-0000-000007000000}">
          <x14:formula1>
            <xm:f>PERDIDAS!$A$20:$A$24</xm:f>
          </x14:formula1>
          <xm:sqref>N17:O17 N32:O32</xm:sqref>
        </x14:dataValidation>
        <x14:dataValidation type="list" allowBlank="1" showInputMessage="1" showErrorMessage="1" xr:uid="{00000000-0002-0000-0000-000008000000}">
          <x14:formula1>
            <xm:f>PERDIDAS!$A$29:$A$31</xm:f>
          </x14:formula1>
          <xm:sqref>N15:O15 N30:O30</xm:sqref>
        </x14:dataValidation>
        <x14:dataValidation type="list" allowBlank="1" showInputMessage="1" showErrorMessage="1" xr:uid="{00000000-0002-0000-0000-000009000000}">
          <x14:formula1>
            <xm:f>'probabilidad de daño'!$A$4:$A$7</xm:f>
          </x14:formula1>
          <xm:sqref>R15</xm:sqref>
        </x14:dataValidation>
        <x14:dataValidation type="list" allowBlank="1" showInputMessage="1" showErrorMessage="1" xr:uid="{00000000-0002-0000-0000-00000A000000}">
          <x14:formula1>
            <xm:f>'probabilidad de daño'!$A$13:$A$19</xm:f>
          </x14:formula1>
          <xm:sqref>R16</xm:sqref>
        </x14:dataValidation>
        <x14:dataValidation type="list" allowBlank="1" showInputMessage="1" showErrorMessage="1" xr:uid="{00000000-0002-0000-0000-00000B000000}">
          <x14:formula1>
            <xm:f>'probabilidad de daño'!$A$24:$A$28</xm:f>
          </x14:formula1>
          <xm:sqref>R17</xm:sqref>
        </x14:dataValidation>
        <x14:dataValidation type="list" allowBlank="1" showInputMessage="1" showErrorMessage="1" xr:uid="{00000000-0002-0000-0000-00000C000000}">
          <x14:formula1>
            <xm:f>'probabilidad de daño'!$A$33:$A$41</xm:f>
          </x14:formula1>
          <xm:sqref>R18</xm:sqref>
        </x14:dataValidation>
        <x14:dataValidation type="list" allowBlank="1" showInputMessage="1" showErrorMessage="1" xr:uid="{00000000-0002-0000-0000-00000D000000}">
          <x14:formula1>
            <xm:f>'probabilidad de daño'!$A$46:$A$50</xm:f>
          </x14:formula1>
          <xm:sqref>R19:R22</xm:sqref>
        </x14:dataValidation>
        <x14:dataValidation type="list" allowBlank="1" showInputMessage="1" showErrorMessage="1" xr:uid="{00000000-0002-0000-0000-00000E000000}">
          <x14:formula1>
            <xm:f>PERDIDAS!$A$41:$A$43</xm:f>
          </x14:formula1>
          <xm:sqref>N53:O53</xm:sqref>
        </x14:dataValidation>
        <x14:dataValidation type="list" allowBlank="1" showInputMessage="1" showErrorMessage="1" xr:uid="{00000000-0002-0000-0000-00000F000000}">
          <x14:formula1>
            <xm:f>PERDIDAS!$I$39:$I$41</xm:f>
          </x14:formula1>
          <xm:sqref>R26</xm:sqref>
        </x14:dataValidation>
        <x14:dataValidation type="list" allowBlank="1" showInputMessage="1" showErrorMessage="1" xr:uid="{00000000-0002-0000-0000-000010000000}">
          <x14:formula1>
            <xm:f>PERDIDAS!$K$39:$K$41</xm:f>
          </x14:formula1>
          <xm:sqref>R27</xm:sqref>
        </x14:dataValidation>
        <x14:dataValidation type="list" allowBlank="1" showInputMessage="1" showErrorMessage="1" xr:uid="{00000000-0002-0000-0000-000011000000}">
          <x14:formula1>
            <xm:f>PERDIDAS!$M$41</xm:f>
          </x14:formula1>
          <xm:sqref>R28</xm:sqref>
        </x14:dataValidation>
        <x14:dataValidation type="list" allowBlank="1" showInputMessage="1" showErrorMessage="1" xr:uid="{00000000-0002-0000-0000-000012000000}">
          <x14:formula1>
            <xm:f>PERDIDAS!$O$39:$O$41</xm:f>
          </x14:formula1>
          <xm:sqref>R29</xm:sqref>
        </x14:dataValidation>
        <x14:dataValidation type="list" allowBlank="1" showInputMessage="1" showErrorMessage="1" xr:uid="{00000000-0002-0000-0000-000013000000}">
          <x14:formula1>
            <xm:f>PERDIDAS!$R$38:$R$40</xm:f>
          </x14:formula1>
          <xm:sqref>R31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1"/>
  <sheetViews>
    <sheetView topLeftCell="A55" workbookViewId="0">
      <selection activeCell="D42" sqref="D42"/>
    </sheetView>
  </sheetViews>
  <sheetFormatPr baseColWidth="10" defaultRowHeight="15"/>
  <cols>
    <col min="1" max="2" width="34.140625" customWidth="1"/>
  </cols>
  <sheetData>
    <row r="1" spans="1:5">
      <c r="A1" t="s">
        <v>219</v>
      </c>
    </row>
    <row r="3" spans="1:5">
      <c r="A3" s="30" t="s">
        <v>165</v>
      </c>
      <c r="B3" s="30" t="s">
        <v>166</v>
      </c>
    </row>
    <row r="4" spans="1:5">
      <c r="A4" s="27" t="s">
        <v>167</v>
      </c>
      <c r="B4" s="31">
        <v>1</v>
      </c>
    </row>
    <row r="5" spans="1:5" ht="36">
      <c r="A5" s="27" t="s">
        <v>168</v>
      </c>
      <c r="B5" s="31">
        <v>0.01</v>
      </c>
      <c r="E5" s="28"/>
    </row>
    <row r="6" spans="1:5">
      <c r="A6" s="27" t="s">
        <v>169</v>
      </c>
      <c r="B6" s="31">
        <v>0.01</v>
      </c>
    </row>
    <row r="7" spans="1:5">
      <c r="A7" s="27" t="s">
        <v>170</v>
      </c>
      <c r="B7" s="31">
        <v>0.1</v>
      </c>
    </row>
    <row r="8" spans="1:5" ht="48" customHeight="1">
      <c r="A8" s="51" t="s">
        <v>171</v>
      </c>
      <c r="B8" s="51"/>
    </row>
    <row r="11" spans="1:5">
      <c r="A11" s="32" t="s">
        <v>220</v>
      </c>
    </row>
    <row r="12" spans="1:5">
      <c r="A12" s="30" t="s">
        <v>172</v>
      </c>
      <c r="B12" s="30" t="s">
        <v>173</v>
      </c>
      <c r="C12" s="30" t="s">
        <v>174</v>
      </c>
    </row>
    <row r="13" spans="1:5">
      <c r="A13" s="27" t="s">
        <v>175</v>
      </c>
      <c r="B13" s="27" t="s">
        <v>176</v>
      </c>
      <c r="C13" s="27">
        <v>1</v>
      </c>
    </row>
    <row r="14" spans="1:5">
      <c r="A14" s="26" t="s">
        <v>235</v>
      </c>
      <c r="B14" s="27" t="s">
        <v>177</v>
      </c>
      <c r="C14" s="27">
        <v>0.2</v>
      </c>
    </row>
    <row r="15" spans="1:5">
      <c r="A15" s="26" t="s">
        <v>236</v>
      </c>
      <c r="B15" s="27" t="s">
        <v>178</v>
      </c>
      <c r="C15" s="27">
        <v>0.1</v>
      </c>
    </row>
    <row r="16" spans="1:5">
      <c r="A16" s="26" t="s">
        <v>234</v>
      </c>
      <c r="B16" s="27" t="s">
        <v>179</v>
      </c>
      <c r="C16" s="27">
        <v>0.05</v>
      </c>
    </row>
    <row r="17" spans="1:3">
      <c r="A17" s="26" t="s">
        <v>233</v>
      </c>
      <c r="B17" s="27" t="s">
        <v>180</v>
      </c>
      <c r="C17" s="27">
        <v>0.02</v>
      </c>
    </row>
    <row r="18" spans="1:3" ht="60">
      <c r="A18" s="27" t="s">
        <v>181</v>
      </c>
      <c r="B18" s="29"/>
      <c r="C18" s="27">
        <v>0.01</v>
      </c>
    </row>
    <row r="19" spans="1:3" ht="96">
      <c r="A19" s="27" t="s">
        <v>182</v>
      </c>
      <c r="B19" s="29"/>
      <c r="C19" s="27">
        <v>1E-3</v>
      </c>
    </row>
    <row r="20" spans="1:3" ht="40.5" customHeight="1">
      <c r="A20" s="52" t="s">
        <v>183</v>
      </c>
      <c r="B20" s="53"/>
      <c r="C20" s="54"/>
    </row>
    <row r="22" spans="1:3">
      <c r="A22" s="32" t="s">
        <v>221</v>
      </c>
    </row>
    <row r="23" spans="1:3">
      <c r="A23" s="25" t="s">
        <v>173</v>
      </c>
      <c r="B23" s="33" t="s">
        <v>189</v>
      </c>
    </row>
    <row r="24" spans="1:3">
      <c r="A24" s="26" t="s">
        <v>184</v>
      </c>
      <c r="B24" s="26">
        <v>1</v>
      </c>
    </row>
    <row r="25" spans="1:3">
      <c r="A25" s="26" t="s">
        <v>185</v>
      </c>
      <c r="B25" s="26">
        <v>0.03</v>
      </c>
    </row>
    <row r="26" spans="1:3">
      <c r="A26" s="26" t="s">
        <v>179</v>
      </c>
      <c r="B26" s="26">
        <v>0.02</v>
      </c>
    </row>
    <row r="27" spans="1:3">
      <c r="A27" s="26" t="s">
        <v>180</v>
      </c>
      <c r="B27" s="26">
        <v>0.01</v>
      </c>
    </row>
    <row r="28" spans="1:3" ht="120">
      <c r="A28" s="26" t="s">
        <v>186</v>
      </c>
      <c r="B28" s="35" t="s">
        <v>187</v>
      </c>
    </row>
    <row r="29" spans="1:3" ht="69" customHeight="1">
      <c r="A29" s="51" t="s">
        <v>188</v>
      </c>
      <c r="B29" s="51"/>
    </row>
    <row r="31" spans="1:3">
      <c r="A31" s="37" t="s">
        <v>218</v>
      </c>
    </row>
    <row r="32" spans="1:3">
      <c r="A32" s="25" t="s">
        <v>190</v>
      </c>
      <c r="B32" s="25" t="s">
        <v>191</v>
      </c>
    </row>
    <row r="33" spans="1:10">
      <c r="A33" s="34" t="s">
        <v>192</v>
      </c>
      <c r="B33" s="26">
        <v>1</v>
      </c>
    </row>
    <row r="34" spans="1:10">
      <c r="A34" s="26" t="s">
        <v>193</v>
      </c>
      <c r="B34" s="26">
        <v>0.9</v>
      </c>
    </row>
    <row r="35" spans="1:10">
      <c r="A35" s="26" t="s">
        <v>194</v>
      </c>
      <c r="B35" s="26">
        <v>0.5</v>
      </c>
    </row>
    <row r="36" spans="1:10">
      <c r="A36" s="26" t="s">
        <v>195</v>
      </c>
      <c r="B36" s="26">
        <v>0.1</v>
      </c>
    </row>
    <row r="37" spans="1:10">
      <c r="A37" s="26" t="s">
        <v>196</v>
      </c>
      <c r="B37" s="26">
        <v>0.01</v>
      </c>
    </row>
    <row r="38" spans="1:10">
      <c r="A38" s="26" t="s">
        <v>197</v>
      </c>
      <c r="B38" s="26">
        <v>5.0000000000000001E-3</v>
      </c>
    </row>
    <row r="39" spans="1:10">
      <c r="A39" s="26" t="s">
        <v>198</v>
      </c>
      <c r="B39" s="26">
        <v>3.0000000000000001E-3</v>
      </c>
    </row>
    <row r="40" spans="1:10">
      <c r="A40" s="26" t="s">
        <v>199</v>
      </c>
      <c r="B40" s="26">
        <v>1E-3</v>
      </c>
    </row>
    <row r="41" spans="1:10">
      <c r="A41" s="34" t="s">
        <v>200</v>
      </c>
      <c r="B41" s="26">
        <v>1E-4</v>
      </c>
    </row>
    <row r="42" spans="1:10" ht="35.25" customHeight="1">
      <c r="A42" s="51" t="s">
        <v>201</v>
      </c>
      <c r="B42" s="51"/>
    </row>
    <row r="44" spans="1:10" ht="33.75" customHeight="1">
      <c r="A44" s="58" t="s">
        <v>209</v>
      </c>
      <c r="B44" s="58"/>
      <c r="C44" s="58"/>
      <c r="D44" s="58"/>
      <c r="E44" s="58"/>
    </row>
    <row r="45" spans="1:10" ht="24">
      <c r="A45" s="25" t="s">
        <v>202</v>
      </c>
      <c r="B45" s="25" t="s">
        <v>203</v>
      </c>
      <c r="C45" s="25" t="s">
        <v>204</v>
      </c>
      <c r="D45" s="25" t="s">
        <v>205</v>
      </c>
      <c r="E45" s="25" t="s">
        <v>206</v>
      </c>
    </row>
    <row r="46" spans="1:10">
      <c r="A46" s="26" t="s">
        <v>241</v>
      </c>
      <c r="B46" s="3">
        <v>1.5</v>
      </c>
      <c r="C46" s="3">
        <v>1</v>
      </c>
      <c r="D46" s="3">
        <v>0.8</v>
      </c>
      <c r="E46" s="3">
        <v>0.4</v>
      </c>
      <c r="G46" s="26"/>
      <c r="H46" s="26"/>
      <c r="I46" s="26"/>
      <c r="J46" s="26"/>
    </row>
    <row r="47" spans="1:10">
      <c r="A47" s="26" t="s">
        <v>240</v>
      </c>
      <c r="B47" s="3">
        <v>2.5</v>
      </c>
      <c r="C47" s="3">
        <v>0.95</v>
      </c>
      <c r="D47" s="3">
        <v>0.6</v>
      </c>
      <c r="E47" s="3">
        <v>0.2</v>
      </c>
    </row>
    <row r="48" spans="1:10">
      <c r="A48" s="26" t="s">
        <v>239</v>
      </c>
      <c r="B48" s="3">
        <v>4</v>
      </c>
      <c r="C48" s="3">
        <v>0.9</v>
      </c>
      <c r="D48" s="3">
        <v>0.3</v>
      </c>
      <c r="E48" s="3">
        <v>0.04</v>
      </c>
    </row>
    <row r="49" spans="1:9">
      <c r="A49" s="26" t="s">
        <v>238</v>
      </c>
      <c r="B49" s="3">
        <v>6</v>
      </c>
      <c r="C49" s="3">
        <v>0.8</v>
      </c>
      <c r="D49" s="3">
        <v>0.1</v>
      </c>
      <c r="E49" s="3">
        <v>0</v>
      </c>
    </row>
    <row r="50" spans="1:9">
      <c r="A50" s="26" t="s">
        <v>207</v>
      </c>
      <c r="B50" s="26">
        <v>1</v>
      </c>
      <c r="C50" s="26">
        <v>1</v>
      </c>
      <c r="D50" s="26">
        <v>1</v>
      </c>
      <c r="E50" s="26">
        <v>1</v>
      </c>
      <c r="I50" s="32"/>
    </row>
    <row r="51" spans="1:9" ht="24" customHeight="1">
      <c r="A51" s="51" t="s">
        <v>208</v>
      </c>
      <c r="B51" s="51"/>
      <c r="C51" s="51"/>
      <c r="D51" s="51"/>
      <c r="E51" s="51"/>
      <c r="I51" s="32"/>
    </row>
    <row r="53" spans="1:9">
      <c r="A53" s="32" t="s">
        <v>217</v>
      </c>
    </row>
    <row r="54" spans="1:9">
      <c r="A54" s="32" t="s">
        <v>216</v>
      </c>
      <c r="B54" s="36"/>
      <c r="C54" s="36"/>
      <c r="D54" s="36"/>
      <c r="E54" s="36"/>
      <c r="F54" s="36"/>
    </row>
    <row r="55" spans="1:9" ht="75" customHeight="1">
      <c r="A55" s="55" t="s">
        <v>213</v>
      </c>
      <c r="B55" s="38" t="s">
        <v>211</v>
      </c>
      <c r="C55" s="57" t="s">
        <v>214</v>
      </c>
      <c r="D55" s="57" t="s">
        <v>210</v>
      </c>
      <c r="E55" s="57"/>
      <c r="F55" s="57"/>
    </row>
    <row r="56" spans="1:9" ht="24">
      <c r="A56" s="56"/>
      <c r="B56" s="38" t="s">
        <v>211</v>
      </c>
      <c r="C56" s="57"/>
      <c r="D56" s="25" t="s">
        <v>212</v>
      </c>
      <c r="E56" s="25" t="s">
        <v>205</v>
      </c>
      <c r="F56" s="25" t="s">
        <v>206</v>
      </c>
    </row>
    <row r="57" spans="1:9">
      <c r="A57" s="26" t="s">
        <v>240</v>
      </c>
      <c r="B57" s="3">
        <v>1</v>
      </c>
      <c r="C57" s="3">
        <v>0.5</v>
      </c>
      <c r="D57" s="3">
        <v>0.15</v>
      </c>
      <c r="E57" s="3">
        <v>0.04</v>
      </c>
      <c r="F57" s="3">
        <v>0.02</v>
      </c>
    </row>
    <row r="58" spans="1:9">
      <c r="A58" s="26" t="s">
        <v>239</v>
      </c>
      <c r="B58" s="3">
        <v>0.4</v>
      </c>
      <c r="C58" s="3">
        <v>0.2</v>
      </c>
      <c r="D58" s="3">
        <v>0.06</v>
      </c>
      <c r="E58" s="3">
        <v>0.02</v>
      </c>
      <c r="F58" s="3">
        <v>8.0000000000000002E-3</v>
      </c>
    </row>
    <row r="59" spans="1:9">
      <c r="A59" s="26" t="s">
        <v>238</v>
      </c>
      <c r="B59" s="3">
        <v>0.2</v>
      </c>
      <c r="C59" s="3">
        <v>0.1</v>
      </c>
      <c r="D59" s="3">
        <v>0.03</v>
      </c>
      <c r="E59" s="3">
        <v>8.0000000000000002E-3</v>
      </c>
      <c r="F59" s="3">
        <v>4.0000000000000001E-3</v>
      </c>
    </row>
    <row r="60" spans="1:9">
      <c r="A60" s="26" t="s">
        <v>207</v>
      </c>
      <c r="B60" s="3">
        <v>1</v>
      </c>
      <c r="C60" s="3">
        <v>0.05</v>
      </c>
      <c r="D60" s="3">
        <v>0.2</v>
      </c>
      <c r="E60" s="3">
        <v>4.0000000000000001E-3</v>
      </c>
      <c r="F60" s="3">
        <v>2E-3</v>
      </c>
    </row>
    <row r="61" spans="1:9" ht="24" customHeight="1">
      <c r="B61" s="51" t="s">
        <v>215</v>
      </c>
      <c r="C61" s="51"/>
      <c r="D61" s="51"/>
      <c r="E61" s="51"/>
      <c r="F61" s="51"/>
    </row>
  </sheetData>
  <mergeCells count="10">
    <mergeCell ref="B61:F61"/>
    <mergeCell ref="A29:B29"/>
    <mergeCell ref="A42:B42"/>
    <mergeCell ref="A51:E51"/>
    <mergeCell ref="A44:E44"/>
    <mergeCell ref="A8:B8"/>
    <mergeCell ref="A20:C20"/>
    <mergeCell ref="A55:A56"/>
    <mergeCell ref="C55:C56"/>
    <mergeCell ref="D55:F5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6"/>
  <sheetViews>
    <sheetView workbookViewId="0">
      <selection activeCell="R31" sqref="R31"/>
    </sheetView>
  </sheetViews>
  <sheetFormatPr baseColWidth="10" defaultRowHeight="15"/>
  <cols>
    <col min="1" max="1" width="22.85546875" customWidth="1"/>
    <col min="2" max="9" width="12" customWidth="1"/>
    <col min="17" max="18" width="22.5703125" customWidth="1"/>
  </cols>
  <sheetData>
    <row r="1" spans="1:9" ht="40.5" customHeight="1">
      <c r="A1" s="8" t="s">
        <v>94</v>
      </c>
      <c r="B1" s="1"/>
      <c r="C1" s="59" t="s">
        <v>96</v>
      </c>
      <c r="D1" s="59"/>
      <c r="E1" s="1" t="s">
        <v>95</v>
      </c>
    </row>
    <row r="2" spans="1:9">
      <c r="A2" s="11" t="s">
        <v>97</v>
      </c>
      <c r="B2" s="11"/>
      <c r="C2" s="42" t="s">
        <v>98</v>
      </c>
      <c r="D2" s="42"/>
      <c r="E2">
        <v>0.01</v>
      </c>
    </row>
    <row r="3" spans="1:9">
      <c r="A3" s="11" t="s">
        <v>99</v>
      </c>
      <c r="B3" s="11"/>
      <c r="C3" s="60" t="s">
        <v>101</v>
      </c>
      <c r="D3" s="60"/>
      <c r="E3">
        <v>1E-3</v>
      </c>
    </row>
    <row r="4" spans="1:9">
      <c r="A4" s="14" t="s">
        <v>100</v>
      </c>
      <c r="B4" s="14"/>
      <c r="C4" s="61" t="s">
        <v>102</v>
      </c>
      <c r="D4" s="61"/>
      <c r="E4">
        <v>1E-4</v>
      </c>
    </row>
    <row r="5" spans="1:9">
      <c r="A5" s="11" t="s">
        <v>104</v>
      </c>
      <c r="B5" s="11"/>
      <c r="C5" s="42" t="s">
        <v>103</v>
      </c>
      <c r="D5" s="42"/>
      <c r="E5">
        <v>1.0000000000000001E-5</v>
      </c>
    </row>
    <row r="6" spans="1:9">
      <c r="A6" t="s">
        <v>105</v>
      </c>
    </row>
    <row r="9" spans="1:9">
      <c r="A9" s="63" t="s">
        <v>123</v>
      </c>
      <c r="B9" s="64"/>
      <c r="C9" s="64"/>
      <c r="D9" s="64"/>
      <c r="E9" s="64"/>
      <c r="F9" s="64"/>
      <c r="G9" s="64"/>
      <c r="H9" s="64"/>
      <c r="I9" s="19" t="s">
        <v>124</v>
      </c>
    </row>
    <row r="10" spans="1:9">
      <c r="A10" s="5"/>
      <c r="B10" s="17"/>
      <c r="C10" s="17"/>
      <c r="D10" s="17"/>
      <c r="E10" s="17"/>
      <c r="F10" s="17"/>
      <c r="G10" s="17"/>
      <c r="H10" s="17"/>
      <c r="I10" s="19"/>
    </row>
    <row r="11" spans="1:9">
      <c r="A11" s="5" t="s">
        <v>116</v>
      </c>
      <c r="B11" s="17"/>
      <c r="C11" s="17"/>
      <c r="D11" s="17"/>
      <c r="E11" s="17"/>
      <c r="F11" s="17"/>
      <c r="G11" s="17"/>
      <c r="H11" s="17"/>
      <c r="I11" s="19">
        <v>1</v>
      </c>
    </row>
    <row r="12" spans="1:9">
      <c r="A12" s="5" t="s">
        <v>117</v>
      </c>
      <c r="B12" s="17"/>
      <c r="C12" s="17"/>
      <c r="D12" s="17"/>
      <c r="E12" s="17"/>
      <c r="F12" s="17"/>
      <c r="G12" s="17"/>
      <c r="H12" s="17"/>
      <c r="I12" s="19">
        <v>2</v>
      </c>
    </row>
    <row r="13" spans="1:9">
      <c r="A13" s="5" t="s">
        <v>118</v>
      </c>
      <c r="B13" s="17"/>
      <c r="C13" s="17"/>
      <c r="D13" s="17"/>
      <c r="E13" s="17"/>
      <c r="F13" s="17"/>
      <c r="G13" s="17"/>
      <c r="H13" s="17"/>
      <c r="I13" s="19">
        <v>5</v>
      </c>
    </row>
    <row r="14" spans="1:9">
      <c r="A14" s="5" t="s">
        <v>119</v>
      </c>
      <c r="B14" s="17"/>
      <c r="C14" s="17"/>
      <c r="D14" s="17"/>
      <c r="E14" s="17"/>
      <c r="F14" s="17"/>
      <c r="G14" s="17"/>
      <c r="H14" s="17"/>
      <c r="I14" s="19">
        <v>5</v>
      </c>
    </row>
    <row r="15" spans="1:9">
      <c r="A15" s="5" t="s">
        <v>120</v>
      </c>
      <c r="B15" s="17"/>
      <c r="C15" s="17"/>
      <c r="D15" s="17"/>
      <c r="E15" s="17"/>
      <c r="F15" s="17"/>
      <c r="G15" s="17"/>
      <c r="H15" s="17"/>
      <c r="I15" s="19">
        <v>10</v>
      </c>
    </row>
    <row r="16" spans="1:9">
      <c r="A16" s="5" t="s">
        <v>121</v>
      </c>
      <c r="B16" s="17"/>
      <c r="C16" s="17"/>
      <c r="D16" s="17"/>
      <c r="E16" s="17"/>
      <c r="F16" s="17"/>
      <c r="G16" s="17"/>
      <c r="H16" s="17"/>
      <c r="I16" s="19">
        <v>20</v>
      </c>
    </row>
    <row r="17" spans="1:18">
      <c r="A17" s="6" t="s">
        <v>122</v>
      </c>
      <c r="B17" s="18"/>
      <c r="C17" s="18"/>
      <c r="D17" s="18"/>
      <c r="E17" s="18"/>
      <c r="F17" s="18"/>
      <c r="G17" s="18"/>
      <c r="H17" s="18"/>
      <c r="I17" s="20">
        <v>50</v>
      </c>
    </row>
    <row r="19" spans="1:18">
      <c r="A19" t="s">
        <v>131</v>
      </c>
      <c r="B19" t="s">
        <v>125</v>
      </c>
    </row>
    <row r="20" spans="1:18">
      <c r="A20" t="s">
        <v>126</v>
      </c>
      <c r="B20">
        <v>1</v>
      </c>
    </row>
    <row r="21" spans="1:18">
      <c r="A21" t="s">
        <v>127</v>
      </c>
      <c r="B21">
        <v>0.1</v>
      </c>
    </row>
    <row r="22" spans="1:18">
      <c r="A22" t="s">
        <v>128</v>
      </c>
      <c r="B22">
        <v>0.01</v>
      </c>
    </row>
    <row r="23" spans="1:18">
      <c r="A23" t="s">
        <v>129</v>
      </c>
      <c r="B23">
        <v>1E-3</v>
      </c>
    </row>
    <row r="24" spans="1:18">
      <c r="A24" t="s">
        <v>130</v>
      </c>
      <c r="B24">
        <v>0</v>
      </c>
    </row>
    <row r="28" spans="1:18">
      <c r="A28" s="21" t="s">
        <v>132</v>
      </c>
      <c r="B28" s="21"/>
      <c r="C28" s="21"/>
      <c r="D28" s="21"/>
      <c r="E28" s="21"/>
      <c r="F28" s="21"/>
      <c r="G28" s="21"/>
      <c r="H28" s="22" t="s">
        <v>133</v>
      </c>
    </row>
    <row r="29" spans="1:18">
      <c r="A29" s="5" t="s">
        <v>134</v>
      </c>
      <c r="B29" s="5"/>
      <c r="C29" s="5"/>
      <c r="D29" s="5"/>
      <c r="E29" s="5"/>
      <c r="F29" s="5"/>
      <c r="G29" s="5"/>
      <c r="H29" s="23">
        <v>1</v>
      </c>
    </row>
    <row r="30" spans="1:18">
      <c r="A30" s="21" t="s">
        <v>135</v>
      </c>
      <c r="B30" s="21"/>
      <c r="C30" s="21"/>
      <c r="D30" s="21"/>
      <c r="E30" s="21"/>
      <c r="F30" s="21"/>
      <c r="G30" s="21"/>
      <c r="H30" s="22">
        <v>0.5</v>
      </c>
      <c r="Q30">
        <v>1</v>
      </c>
      <c r="R30" t="s">
        <v>282</v>
      </c>
    </row>
    <row r="31" spans="1:18">
      <c r="A31" s="6" t="s">
        <v>136</v>
      </c>
      <c r="B31" s="6"/>
      <c r="C31" s="6"/>
      <c r="D31" s="6"/>
      <c r="E31" s="6"/>
      <c r="F31" s="6"/>
      <c r="G31" s="6"/>
      <c r="H31" s="7">
        <v>0.2</v>
      </c>
      <c r="Q31">
        <v>2</v>
      </c>
      <c r="R31" t="s">
        <v>283</v>
      </c>
    </row>
    <row r="33" spans="1:18">
      <c r="A33" s="41" t="s">
        <v>138</v>
      </c>
      <c r="B33" s="41"/>
      <c r="C33" s="41"/>
      <c r="D33" s="41"/>
      <c r="E33" s="41"/>
      <c r="F33" s="41"/>
      <c r="G33" s="41"/>
      <c r="H33" s="41"/>
      <c r="I33" s="41"/>
    </row>
    <row r="34" spans="1:18" ht="29.25" customHeight="1">
      <c r="A34" s="65" t="s">
        <v>137</v>
      </c>
      <c r="B34" s="65"/>
      <c r="C34" s="65"/>
      <c r="D34" s="65"/>
      <c r="E34" s="65"/>
      <c r="F34" s="65"/>
      <c r="G34" s="65"/>
      <c r="H34" s="65"/>
      <c r="I34" s="65"/>
    </row>
    <row r="37" spans="1:18">
      <c r="Q37" s="25" t="s">
        <v>277</v>
      </c>
      <c r="R37" s="25" t="s">
        <v>278</v>
      </c>
    </row>
    <row r="38" spans="1:18" ht="24">
      <c r="I38" t="s">
        <v>243</v>
      </c>
      <c r="K38" t="s">
        <v>244</v>
      </c>
      <c r="M38" t="s">
        <v>245</v>
      </c>
      <c r="O38" t="s">
        <v>246</v>
      </c>
      <c r="Q38" s="26" t="s">
        <v>279</v>
      </c>
      <c r="R38" s="28">
        <v>1.0000000000000001E-5</v>
      </c>
    </row>
    <row r="39" spans="1:18">
      <c r="I39">
        <f>Parametros!R3+Parametros!R7</f>
        <v>2.5055659087681079E-6</v>
      </c>
      <c r="O39">
        <f>Parametros!R3+Parametros!R7</f>
        <v>2.5055659087681079E-6</v>
      </c>
      <c r="Q39" s="26" t="s">
        <v>280</v>
      </c>
      <c r="R39" s="28">
        <v>1E-3</v>
      </c>
    </row>
    <row r="40" spans="1:18" ht="24">
      <c r="A40" t="s">
        <v>150</v>
      </c>
      <c r="B40" t="s">
        <v>151</v>
      </c>
      <c r="C40" t="s">
        <v>152</v>
      </c>
      <c r="F40" t="s">
        <v>259</v>
      </c>
      <c r="I40">
        <f>Parametros!R4+Parametros!R8</f>
        <v>2.6842004112384946E-7</v>
      </c>
      <c r="K40">
        <f>Parametros!R4+Parametros!R8</f>
        <v>2.6842004112384946E-7</v>
      </c>
      <c r="O40">
        <f>Parametros!R4+Parametros!R8</f>
        <v>2.6842004112384946E-7</v>
      </c>
      <c r="Q40" s="26" t="s">
        <v>281</v>
      </c>
      <c r="R40" s="28">
        <v>1E-3</v>
      </c>
    </row>
    <row r="41" spans="1:18">
      <c r="A41" t="s">
        <v>153</v>
      </c>
      <c r="B41">
        <v>0.1</v>
      </c>
      <c r="C41">
        <v>0.01</v>
      </c>
      <c r="F41" t="s">
        <v>254</v>
      </c>
      <c r="I41">
        <f>Parametros!R5+Parametros!R6+Parametros!R9</f>
        <v>7.5651494471893168E-4</v>
      </c>
      <c r="K41">
        <f>Parametros!R5+Parametros!R6+Parametros!R9+Parametros!R10</f>
        <v>7.5651494471893168E-4</v>
      </c>
      <c r="M41">
        <f>Parametros!R5+Parametros!R6+Parametros!R9+Parametros!R10</f>
        <v>7.5651494471893168E-4</v>
      </c>
      <c r="O41">
        <f>Parametros!R5+Parametros!R6+Parametros!R9+Parametros!R10</f>
        <v>7.5651494471893168E-4</v>
      </c>
    </row>
    <row r="42" spans="1:18" ht="30">
      <c r="A42" s="24" t="s">
        <v>154</v>
      </c>
      <c r="B42">
        <v>0.01</v>
      </c>
      <c r="C42">
        <v>1E-3</v>
      </c>
    </row>
    <row r="43" spans="1:18" ht="48">
      <c r="A43" s="24" t="s">
        <v>254</v>
      </c>
      <c r="B43">
        <v>0</v>
      </c>
      <c r="I43" s="25" t="s">
        <v>263</v>
      </c>
      <c r="J43" s="25" t="s">
        <v>264</v>
      </c>
      <c r="K43" s="25" t="s">
        <v>265</v>
      </c>
      <c r="L43" s="25" t="s">
        <v>266</v>
      </c>
    </row>
    <row r="44" spans="1:18" ht="24">
      <c r="A44" t="s">
        <v>155</v>
      </c>
      <c r="I44" s="25" t="s">
        <v>267</v>
      </c>
      <c r="J44" s="25" t="s">
        <v>268</v>
      </c>
      <c r="K44" s="25" t="s">
        <v>269</v>
      </c>
      <c r="L44" s="25" t="s">
        <v>270</v>
      </c>
    </row>
    <row r="45" spans="1:18" ht="84">
      <c r="H45" s="26" t="s">
        <v>275</v>
      </c>
      <c r="I45" s="26" t="s">
        <v>271</v>
      </c>
      <c r="J45" s="26" t="s">
        <v>272</v>
      </c>
      <c r="K45" s="26" t="s">
        <v>273</v>
      </c>
      <c r="L45" s="26" t="s">
        <v>274</v>
      </c>
    </row>
    <row r="46" spans="1:18">
      <c r="H46" s="62" t="s">
        <v>276</v>
      </c>
      <c r="I46" s="62"/>
      <c r="J46" s="62"/>
      <c r="K46" s="62"/>
      <c r="L46" s="62"/>
    </row>
  </sheetData>
  <mergeCells count="9">
    <mergeCell ref="C1:D1"/>
    <mergeCell ref="C2:D2"/>
    <mergeCell ref="C3:D3"/>
    <mergeCell ref="C4:D4"/>
    <mergeCell ref="H46:L46"/>
    <mergeCell ref="C5:D5"/>
    <mergeCell ref="A9:H9"/>
    <mergeCell ref="A34:I34"/>
    <mergeCell ref="A33:I33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0:C29"/>
  <sheetViews>
    <sheetView topLeftCell="A7" workbookViewId="0">
      <selection activeCell="B22" sqref="B22"/>
    </sheetView>
  </sheetViews>
  <sheetFormatPr baseColWidth="10" defaultRowHeight="15"/>
  <cols>
    <col min="1" max="1" width="76.42578125" customWidth="1"/>
  </cols>
  <sheetData>
    <row r="10" spans="1:2">
      <c r="A10" s="8" t="s">
        <v>46</v>
      </c>
      <c r="B10" s="8" t="s">
        <v>47</v>
      </c>
    </row>
    <row r="11" spans="1:2">
      <c r="A11" s="8" t="s">
        <v>42</v>
      </c>
      <c r="B11" s="1">
        <v>0.25</v>
      </c>
    </row>
    <row r="12" spans="1:2">
      <c r="A12" s="8" t="s">
        <v>43</v>
      </c>
      <c r="B12" s="1">
        <v>0.5</v>
      </c>
    </row>
    <row r="13" spans="1:2">
      <c r="A13" s="8" t="s">
        <v>44</v>
      </c>
      <c r="B13" s="1">
        <v>1</v>
      </c>
    </row>
    <row r="14" spans="1:2">
      <c r="A14" s="8" t="s">
        <v>45</v>
      </c>
      <c r="B14" s="1">
        <v>2</v>
      </c>
    </row>
    <row r="16" spans="1:2">
      <c r="A16" s="9" t="s">
        <v>54</v>
      </c>
      <c r="B16" s="10" t="s">
        <v>55</v>
      </c>
    </row>
    <row r="17" spans="1:3">
      <c r="A17" t="s">
        <v>56</v>
      </c>
      <c r="B17" s="4">
        <v>0.2</v>
      </c>
    </row>
    <row r="18" spans="1:3">
      <c r="A18" t="s">
        <v>57</v>
      </c>
      <c r="B18" s="4">
        <v>1</v>
      </c>
    </row>
    <row r="19" spans="1:3">
      <c r="A19" t="s">
        <v>58</v>
      </c>
      <c r="B19" s="4">
        <v>1</v>
      </c>
    </row>
    <row r="20" spans="1:3">
      <c r="A20" s="66" t="s">
        <v>79</v>
      </c>
      <c r="B20" s="66"/>
      <c r="C20" s="66"/>
    </row>
    <row r="21" spans="1:3">
      <c r="A21" t="s">
        <v>74</v>
      </c>
      <c r="B21">
        <f>(Parametros!C38-(3*(Parametros!C41+Parametros!C40)))*6*(Parametros!C41)</f>
        <v>0</v>
      </c>
      <c r="C21">
        <f>1000*Parametros!C38</f>
        <v>25000</v>
      </c>
    </row>
    <row r="22" spans="1:3">
      <c r="A22" t="s">
        <v>73</v>
      </c>
      <c r="B22">
        <f>((Parametros!C38-(3*(Parametros!C39+Parametros!C40)))*(SQRT(Parametros!C42)))</f>
        <v>-88.68483523128404</v>
      </c>
      <c r="C22">
        <f>25*Parametros!C38*SQRT(Parametros!C42)</f>
        <v>5038.9110926865933</v>
      </c>
    </row>
    <row r="25" spans="1:3">
      <c r="A25" s="13" t="s">
        <v>80</v>
      </c>
      <c r="B25" s="13" t="s">
        <v>81</v>
      </c>
    </row>
    <row r="26" spans="1:3">
      <c r="A26" t="s">
        <v>84</v>
      </c>
      <c r="B26" s="4">
        <v>0</v>
      </c>
    </row>
    <row r="27" spans="1:3">
      <c r="A27" t="s">
        <v>85</v>
      </c>
      <c r="B27" s="4">
        <v>0.1</v>
      </c>
    </row>
    <row r="28" spans="1:3">
      <c r="A28" t="s">
        <v>83</v>
      </c>
      <c r="B28" s="4">
        <v>0.5</v>
      </c>
    </row>
    <row r="29" spans="1:3">
      <c r="A29" t="s">
        <v>82</v>
      </c>
      <c r="B29" s="4">
        <v>1</v>
      </c>
    </row>
  </sheetData>
  <mergeCells count="1">
    <mergeCell ref="A20:C20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"/>
  <sheetViews>
    <sheetView workbookViewId="0">
      <selection activeCell="G3" sqref="G3"/>
    </sheetView>
  </sheetViews>
  <sheetFormatPr baseColWidth="10" defaultRowHeight="15"/>
  <cols>
    <col min="4" max="4" width="14.140625" customWidth="1"/>
  </cols>
  <sheetData>
    <row r="1" spans="1:8" ht="37.5" customHeight="1">
      <c r="A1" s="1" t="s">
        <v>0</v>
      </c>
      <c r="B1" s="1" t="s">
        <v>1</v>
      </c>
      <c r="C1" s="1" t="s">
        <v>2</v>
      </c>
      <c r="D1" s="2" t="s">
        <v>34</v>
      </c>
      <c r="E1" s="1" t="s">
        <v>35</v>
      </c>
    </row>
    <row r="2" spans="1:8">
      <c r="A2" s="1" t="s">
        <v>285</v>
      </c>
      <c r="B2" s="1">
        <v>10.9</v>
      </c>
      <c r="C2" s="1">
        <v>-74.8</v>
      </c>
      <c r="D2" s="1">
        <v>1</v>
      </c>
      <c r="E2">
        <v>60</v>
      </c>
    </row>
    <row r="3" spans="1:8">
      <c r="A3" s="1" t="s">
        <v>3</v>
      </c>
      <c r="B3" s="1">
        <v>10.5</v>
      </c>
      <c r="C3" s="1">
        <v>-75.5</v>
      </c>
      <c r="D3" s="1">
        <v>2</v>
      </c>
      <c r="E3">
        <f t="shared" ref="E3:E33" si="0">((D3/0.0017)^(1/1.56))</f>
        <v>92.96536986067423</v>
      </c>
    </row>
    <row r="4" spans="1:8">
      <c r="A4" s="1" t="s">
        <v>4</v>
      </c>
      <c r="B4" s="1">
        <v>9.3000000000000007</v>
      </c>
      <c r="C4" s="1">
        <v>-75.3</v>
      </c>
      <c r="D4" s="1">
        <v>3</v>
      </c>
      <c r="E4">
        <f t="shared" si="0"/>
        <v>120.55916009012545</v>
      </c>
      <c r="H4" t="s">
        <v>284</v>
      </c>
    </row>
    <row r="5" spans="1:8">
      <c r="A5" s="1" t="s">
        <v>32</v>
      </c>
      <c r="B5" s="1">
        <v>9.1</v>
      </c>
      <c r="C5" s="1">
        <v>-74</v>
      </c>
      <c r="D5" s="1">
        <v>10</v>
      </c>
      <c r="E5">
        <f t="shared" si="0"/>
        <v>260.84282587811839</v>
      </c>
    </row>
    <row r="6" spans="1:8">
      <c r="A6" s="1" t="s">
        <v>5</v>
      </c>
      <c r="B6" s="1">
        <v>9.3000000000000007</v>
      </c>
      <c r="C6" s="1">
        <v>-74.8</v>
      </c>
      <c r="D6" s="1">
        <v>5</v>
      </c>
      <c r="E6">
        <f t="shared" si="0"/>
        <v>167.26726301005513</v>
      </c>
    </row>
    <row r="7" spans="1:8">
      <c r="A7" s="1" t="s">
        <v>6</v>
      </c>
      <c r="B7" s="1">
        <v>8.8000000000000007</v>
      </c>
      <c r="C7" s="1">
        <v>-75.900000000000006</v>
      </c>
      <c r="D7" s="1">
        <v>2</v>
      </c>
      <c r="E7">
        <f t="shared" si="0"/>
        <v>92.96536986067423</v>
      </c>
    </row>
    <row r="8" spans="1:8">
      <c r="A8" s="1" t="s">
        <v>7</v>
      </c>
      <c r="B8" s="1">
        <v>5.7</v>
      </c>
      <c r="C8" s="1">
        <v>-76.599999999999994</v>
      </c>
      <c r="D8" s="1">
        <v>9</v>
      </c>
      <c r="E8">
        <f t="shared" si="0"/>
        <v>243.80756208416196</v>
      </c>
    </row>
    <row r="9" spans="1:8">
      <c r="A9" s="1" t="s">
        <v>33</v>
      </c>
      <c r="B9" s="1">
        <v>11.1</v>
      </c>
      <c r="C9" s="1">
        <v>-74.2</v>
      </c>
      <c r="D9" s="1">
        <v>2</v>
      </c>
      <c r="E9">
        <f t="shared" si="0"/>
        <v>92.96536986067423</v>
      </c>
    </row>
    <row r="10" spans="1:8">
      <c r="A10" s="1" t="s">
        <v>8</v>
      </c>
      <c r="B10" s="1">
        <v>1.8</v>
      </c>
      <c r="C10" s="1">
        <v>-78.8</v>
      </c>
      <c r="D10" s="1">
        <v>1</v>
      </c>
      <c r="E10">
        <f t="shared" si="0"/>
        <v>59.614685276329517</v>
      </c>
    </row>
    <row r="11" spans="1:8">
      <c r="A11" s="1" t="s">
        <v>9</v>
      </c>
      <c r="B11" s="1">
        <v>8.1</v>
      </c>
      <c r="C11" s="1">
        <v>-76.7</v>
      </c>
      <c r="D11" s="1">
        <v>5</v>
      </c>
      <c r="E11">
        <f t="shared" si="0"/>
        <v>167.26726301005513</v>
      </c>
    </row>
    <row r="12" spans="1:8">
      <c r="A12" s="1" t="s">
        <v>10</v>
      </c>
      <c r="B12" s="1">
        <v>10.4</v>
      </c>
      <c r="C12" s="1">
        <v>-73.3</v>
      </c>
      <c r="D12" s="1">
        <v>2</v>
      </c>
      <c r="E12">
        <f t="shared" si="0"/>
        <v>92.96536986067423</v>
      </c>
    </row>
    <row r="13" spans="1:8">
      <c r="A13" s="1" t="s">
        <v>11</v>
      </c>
      <c r="B13" s="1">
        <v>11.5</v>
      </c>
      <c r="C13" s="1">
        <v>-72.900000000000006</v>
      </c>
      <c r="D13" s="1">
        <v>2</v>
      </c>
      <c r="E13">
        <f t="shared" si="0"/>
        <v>92.96536986067423</v>
      </c>
    </row>
    <row r="14" spans="1:8">
      <c r="A14" s="1" t="s">
        <v>12</v>
      </c>
      <c r="B14" s="1">
        <v>4.5</v>
      </c>
      <c r="C14" s="1">
        <v>-75.8</v>
      </c>
      <c r="D14" s="1">
        <v>2</v>
      </c>
      <c r="E14">
        <f t="shared" si="0"/>
        <v>92.96536986067423</v>
      </c>
    </row>
    <row r="15" spans="1:8">
      <c r="A15" s="1" t="s">
        <v>13</v>
      </c>
      <c r="B15" s="1">
        <v>7</v>
      </c>
      <c r="C15" s="1">
        <v>-73.8</v>
      </c>
      <c r="D15" s="1">
        <v>7</v>
      </c>
      <c r="E15">
        <f t="shared" si="0"/>
        <v>207.53089946130234</v>
      </c>
    </row>
    <row r="16" spans="1:8">
      <c r="A16" s="1" t="s">
        <v>14</v>
      </c>
      <c r="B16" s="1">
        <v>4.7</v>
      </c>
      <c r="C16" s="1">
        <v>-74.2</v>
      </c>
      <c r="D16" s="1">
        <v>1</v>
      </c>
      <c r="E16">
        <f t="shared" si="0"/>
        <v>59.614685276329517</v>
      </c>
    </row>
    <row r="17" spans="1:5">
      <c r="A17" s="1" t="s">
        <v>15</v>
      </c>
      <c r="B17" s="1">
        <v>7.1</v>
      </c>
      <c r="C17" s="1">
        <v>-73.099999999999994</v>
      </c>
      <c r="D17" s="1">
        <v>1</v>
      </c>
      <c r="E17">
        <f t="shared" si="0"/>
        <v>59.614685276329517</v>
      </c>
    </row>
    <row r="18" spans="1:5">
      <c r="A18" s="1" t="s">
        <v>16</v>
      </c>
      <c r="B18" s="1">
        <v>3.6</v>
      </c>
      <c r="C18" s="1">
        <v>-76.400000000000006</v>
      </c>
      <c r="D18" s="1">
        <v>1</v>
      </c>
      <c r="E18">
        <f t="shared" si="0"/>
        <v>59.614685276329517</v>
      </c>
    </row>
    <row r="19" spans="1:5">
      <c r="A19" s="1" t="s">
        <v>17</v>
      </c>
      <c r="B19" s="1">
        <v>7.9</v>
      </c>
      <c r="C19" s="1">
        <v>-72.5</v>
      </c>
      <c r="D19" s="1">
        <v>1</v>
      </c>
      <c r="E19">
        <f t="shared" si="0"/>
        <v>59.614685276329517</v>
      </c>
    </row>
    <row r="20" spans="1:5">
      <c r="A20" s="1" t="s">
        <v>18</v>
      </c>
      <c r="B20" s="1">
        <v>4.3</v>
      </c>
      <c r="C20" s="1">
        <v>-74.8</v>
      </c>
      <c r="D20" s="1">
        <v>5</v>
      </c>
      <c r="E20">
        <f t="shared" si="0"/>
        <v>167.26726301005513</v>
      </c>
    </row>
    <row r="21" spans="1:5">
      <c r="A21" s="1" t="s">
        <v>19</v>
      </c>
      <c r="B21" s="1">
        <v>4.4000000000000004</v>
      </c>
      <c r="C21" s="1">
        <v>-75.2</v>
      </c>
      <c r="D21" s="1">
        <v>2</v>
      </c>
      <c r="E21">
        <f t="shared" si="0"/>
        <v>92.96536986067423</v>
      </c>
    </row>
    <row r="22" spans="1:5">
      <c r="A22" s="1" t="s">
        <v>20</v>
      </c>
      <c r="B22" s="1">
        <v>0.8</v>
      </c>
      <c r="C22" s="1">
        <v>-77.599999999999994</v>
      </c>
      <c r="D22" s="1">
        <v>1</v>
      </c>
      <c r="E22">
        <f t="shared" si="0"/>
        <v>59.614685276329517</v>
      </c>
    </row>
    <row r="23" spans="1:5">
      <c r="A23" s="1" t="s">
        <v>21</v>
      </c>
      <c r="B23" s="1">
        <v>5</v>
      </c>
      <c r="C23" s="1">
        <v>-75.5</v>
      </c>
      <c r="D23" s="1">
        <v>2</v>
      </c>
      <c r="E23">
        <f t="shared" si="0"/>
        <v>92.96536986067423</v>
      </c>
    </row>
    <row r="24" spans="1:5">
      <c r="A24" s="1" t="s">
        <v>22</v>
      </c>
      <c r="B24" s="1">
        <v>6.1</v>
      </c>
      <c r="C24" s="1">
        <v>-75.400000000000006</v>
      </c>
      <c r="D24" s="1">
        <v>1</v>
      </c>
      <c r="E24">
        <f t="shared" si="0"/>
        <v>59.614685276329517</v>
      </c>
    </row>
    <row r="25" spans="1:5">
      <c r="A25" s="1" t="s">
        <v>23</v>
      </c>
      <c r="B25" s="1">
        <v>3</v>
      </c>
      <c r="C25" s="1">
        <v>-75.3</v>
      </c>
      <c r="D25" s="1">
        <v>1</v>
      </c>
      <c r="E25">
        <f t="shared" si="0"/>
        <v>59.614685276329517</v>
      </c>
    </row>
    <row r="26" spans="1:5">
      <c r="A26" s="1" t="s">
        <v>24</v>
      </c>
      <c r="B26" s="1">
        <v>8.3000000000000007</v>
      </c>
      <c r="C26" s="1">
        <v>-73.400000000000006</v>
      </c>
      <c r="D26" s="1">
        <v>2</v>
      </c>
      <c r="E26">
        <f t="shared" si="0"/>
        <v>92.96536986067423</v>
      </c>
    </row>
    <row r="27" spans="1:5">
      <c r="A27" s="1" t="s">
        <v>25</v>
      </c>
      <c r="B27" s="1">
        <v>1.4</v>
      </c>
      <c r="C27" s="1">
        <v>-77.3</v>
      </c>
      <c r="D27" s="1">
        <v>1</v>
      </c>
      <c r="E27">
        <f t="shared" si="0"/>
        <v>59.614685276329517</v>
      </c>
    </row>
    <row r="28" spans="1:5">
      <c r="A28" s="1" t="s">
        <v>26</v>
      </c>
      <c r="B28" s="1">
        <v>4.8</v>
      </c>
      <c r="C28" s="1">
        <v>-75.7</v>
      </c>
      <c r="D28" s="1">
        <v>4</v>
      </c>
      <c r="E28">
        <f t="shared" si="0"/>
        <v>144.97367474593648</v>
      </c>
    </row>
    <row r="29" spans="1:5">
      <c r="A29" s="1" t="s">
        <v>27</v>
      </c>
      <c r="B29" s="1">
        <v>2.4</v>
      </c>
      <c r="C29" s="1">
        <v>-76.599999999999994</v>
      </c>
      <c r="D29" s="1">
        <v>1</v>
      </c>
      <c r="E29">
        <f t="shared" si="0"/>
        <v>59.614685276329517</v>
      </c>
    </row>
    <row r="30" spans="1:5">
      <c r="A30" s="1" t="s">
        <v>28</v>
      </c>
      <c r="B30" s="1">
        <v>7</v>
      </c>
      <c r="C30" s="1">
        <v>-74.7</v>
      </c>
      <c r="D30" s="1">
        <v>12</v>
      </c>
      <c r="E30">
        <f t="shared" si="0"/>
        <v>293.18119153920713</v>
      </c>
    </row>
    <row r="31" spans="1:5">
      <c r="A31" s="1" t="s">
        <v>29</v>
      </c>
      <c r="B31" s="1">
        <v>4.2</v>
      </c>
      <c r="C31" s="1">
        <v>-73.5</v>
      </c>
      <c r="D31" s="1">
        <v>1</v>
      </c>
      <c r="E31">
        <f t="shared" si="0"/>
        <v>59.614685276329517</v>
      </c>
    </row>
    <row r="32" spans="1:5">
      <c r="A32" s="1" t="s">
        <v>30</v>
      </c>
      <c r="B32" s="1">
        <v>7.8</v>
      </c>
      <c r="C32" s="1">
        <v>-75.2</v>
      </c>
      <c r="D32" s="1">
        <v>12</v>
      </c>
      <c r="E32">
        <f t="shared" si="0"/>
        <v>293.18119153920713</v>
      </c>
    </row>
    <row r="33" spans="1:5">
      <c r="A33" s="1" t="s">
        <v>31</v>
      </c>
      <c r="B33" s="1">
        <v>5.4</v>
      </c>
      <c r="C33" s="1">
        <v>-74.8</v>
      </c>
      <c r="D33" s="1">
        <v>9</v>
      </c>
      <c r="E33">
        <f t="shared" si="0"/>
        <v>243.80756208416196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Parametros</vt:lpstr>
      <vt:lpstr>probabilidad de daño</vt:lpstr>
      <vt:lpstr>PERDIDAS</vt:lpstr>
      <vt:lpstr>Estructura principal</vt:lpstr>
      <vt:lpstr>Ciudades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Miguel Angel Monroy Pelicier</cp:lastModifiedBy>
  <dcterms:created xsi:type="dcterms:W3CDTF">2019-06-08T22:05:05Z</dcterms:created>
  <dcterms:modified xsi:type="dcterms:W3CDTF">2024-07-21T00:01:43Z</dcterms:modified>
</cp:coreProperties>
</file>