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tmp" ContentType="image/p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2328E718-051F-4355-9447-7F0B967B588B}" xr6:coauthVersionLast="46" xr6:coauthVersionMax="46" xr10:uidLastSave="{00000000-0000-0000-0000-000000000000}"/>
  <bookViews>
    <workbookView xWindow="-120" yWindow="-120" windowWidth="20730" windowHeight="11160" activeTab="2" xr2:uid="{48003C5C-CC7A-4D9A-BDC6-5DE7EE07057F}"/>
  </bookViews>
  <sheets>
    <sheet name="Especificaciones De Diseño" sheetId="2" r:id="rId1"/>
    <sheet name="Relacion de (Vel.), par T. y E " sheetId="1" r:id="rId2"/>
    <sheet name="Analisis de Fuerzas" sheetId="3" r:id="rId3"/>
    <sheet name="Seleccion de Cojinetes" sheetId="4" r:id="rId4"/>
    <sheet name="Cuña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10" i="3" l="1"/>
  <c r="G310" i="3"/>
  <c r="H13" i="5"/>
  <c r="H12" i="5"/>
  <c r="H10" i="5"/>
  <c r="H7" i="5"/>
  <c r="D9" i="3"/>
  <c r="G317" i="3"/>
  <c r="D10" i="3"/>
  <c r="D12" i="3"/>
  <c r="D11" i="3"/>
  <c r="G314" i="3"/>
  <c r="G305" i="3"/>
  <c r="G302" i="3"/>
  <c r="G301" i="3"/>
  <c r="G294" i="3"/>
  <c r="G283" i="3"/>
  <c r="G290" i="3"/>
  <c r="G289" i="3"/>
  <c r="G286" i="3"/>
  <c r="G292" i="3" s="1"/>
  <c r="G282" i="3"/>
  <c r="G279" i="3"/>
  <c r="G280" i="3" s="1"/>
  <c r="G267" i="3"/>
  <c r="G273" i="3" s="1"/>
  <c r="G263" i="3"/>
  <c r="G262" i="3"/>
  <c r="G252" i="3"/>
  <c r="G251" i="3"/>
  <c r="G248" i="3"/>
  <c r="G245" i="3"/>
  <c r="G244" i="3"/>
  <c r="G241" i="3"/>
  <c r="G242" i="3" s="1"/>
  <c r="G229" i="3"/>
  <c r="G235" i="3" s="1"/>
  <c r="G225" i="3"/>
  <c r="G224" i="3"/>
  <c r="I170" i="3"/>
  <c r="F179" i="3" s="1"/>
  <c r="F170" i="3"/>
  <c r="C179" i="3" s="1"/>
  <c r="C170" i="3"/>
  <c r="I167" i="3"/>
  <c r="C167" i="3"/>
  <c r="I158" i="3"/>
  <c r="F167" i="3" s="1"/>
  <c r="F158" i="3"/>
  <c r="C158" i="3"/>
  <c r="C83" i="3"/>
  <c r="C84" i="3" s="1"/>
  <c r="C85" i="3" s="1"/>
  <c r="C86" i="3" s="1"/>
  <c r="C87" i="3" s="1"/>
  <c r="C88" i="3" s="1"/>
  <c r="C89" i="3" s="1"/>
  <c r="F83" i="3"/>
  <c r="C92" i="3" s="1"/>
  <c r="C95" i="3"/>
  <c r="C96" i="3" s="1"/>
  <c r="I95" i="3"/>
  <c r="F104" i="3" s="1"/>
  <c r="F95" i="3"/>
  <c r="C104" i="3" s="1"/>
  <c r="I83" i="3"/>
  <c r="F92" i="3" s="1"/>
  <c r="F84" i="3"/>
  <c r="G51" i="3"/>
  <c r="E54" i="3" s="1" a="1"/>
  <c r="E54" i="3" s="1"/>
  <c r="F23" i="3"/>
  <c r="BD55" i="1"/>
  <c r="BD151" i="1"/>
  <c r="BD119" i="1"/>
  <c r="BD88" i="1"/>
  <c r="BL150" i="1"/>
  <c r="BD147" i="1"/>
  <c r="BD148" i="1" s="1"/>
  <c r="BD132" i="1"/>
  <c r="BL118" i="1"/>
  <c r="BD116" i="1"/>
  <c r="BD115" i="1"/>
  <c r="BL87" i="1"/>
  <c r="BD86" i="1"/>
  <c r="BD85" i="1"/>
  <c r="BD84" i="1"/>
  <c r="BL54" i="1"/>
  <c r="BD51" i="1"/>
  <c r="BD52" i="1" s="1"/>
  <c r="BD25" i="1"/>
  <c r="BK21" i="1"/>
  <c r="BD21" i="1"/>
  <c r="BD22" i="1" s="1"/>
  <c r="BD24" i="1" s="1"/>
  <c r="AV150" i="1"/>
  <c r="AN147" i="1"/>
  <c r="AN148" i="1" s="1"/>
  <c r="AN132" i="1"/>
  <c r="AV118" i="1"/>
  <c r="AN116" i="1"/>
  <c r="AN115" i="1"/>
  <c r="AV87" i="1"/>
  <c r="AN86" i="1"/>
  <c r="AN85" i="1"/>
  <c r="AN84" i="1"/>
  <c r="AV54" i="1"/>
  <c r="AN53" i="1"/>
  <c r="AN52" i="1"/>
  <c r="AN51" i="1"/>
  <c r="AN25" i="1"/>
  <c r="AU21" i="1"/>
  <c r="AN21" i="1"/>
  <c r="AN22" i="1" s="1"/>
  <c r="AN24" i="1" s="1"/>
  <c r="AF150" i="1"/>
  <c r="X147" i="1"/>
  <c r="X148" i="1" s="1"/>
  <c r="X132" i="1"/>
  <c r="AF118" i="1"/>
  <c r="X116" i="1"/>
  <c r="X115" i="1"/>
  <c r="AF87" i="1"/>
  <c r="X86" i="1"/>
  <c r="X85" i="1"/>
  <c r="X84" i="1"/>
  <c r="AF54" i="1"/>
  <c r="X51" i="1"/>
  <c r="X52" i="1" s="1"/>
  <c r="X25" i="1"/>
  <c r="X22" i="1"/>
  <c r="X24" i="1" s="1"/>
  <c r="AE21" i="1"/>
  <c r="F132" i="1"/>
  <c r="N150" i="1"/>
  <c r="F147" i="1"/>
  <c r="F148" i="1" s="1"/>
  <c r="N118" i="1"/>
  <c r="F115" i="1"/>
  <c r="F116" i="1" s="1"/>
  <c r="N87" i="1"/>
  <c r="F85" i="1"/>
  <c r="F84" i="1"/>
  <c r="N54" i="1"/>
  <c r="F51" i="1"/>
  <c r="F52" i="1" s="1"/>
  <c r="F53" i="1" s="1"/>
  <c r="M21" i="1"/>
  <c r="F25" i="1"/>
  <c r="F22" i="1"/>
  <c r="F24" i="1" s="1"/>
  <c r="G253" i="3" l="1"/>
  <c r="G291" i="3"/>
  <c r="I96" i="3"/>
  <c r="I97" i="3" s="1"/>
  <c r="I98" i="3" s="1"/>
  <c r="I99" i="3" s="1"/>
  <c r="I100" i="3" s="1"/>
  <c r="I101" i="3" s="1"/>
  <c r="I102" i="3" s="1"/>
  <c r="I103" i="3" s="1"/>
  <c r="F171" i="3"/>
  <c r="F172" i="3" s="1"/>
  <c r="I84" i="3"/>
  <c r="I85" i="3" s="1"/>
  <c r="I86" i="3" s="1"/>
  <c r="I87" i="3" s="1"/>
  <c r="I88" i="3" s="1"/>
  <c r="I89" i="3" s="1"/>
  <c r="I90" i="3" s="1"/>
  <c r="I91" i="3" s="1"/>
  <c r="F96" i="3"/>
  <c r="F97" i="3" s="1"/>
  <c r="F98" i="3" s="1"/>
  <c r="F99" i="3" s="1"/>
  <c r="F100" i="3" s="1"/>
  <c r="F101" i="3" s="1"/>
  <c r="F102" i="3" s="1"/>
  <c r="F103" i="3" s="1"/>
  <c r="I92" i="3"/>
  <c r="I159" i="3"/>
  <c r="I160" i="3" s="1"/>
  <c r="F173" i="3"/>
  <c r="I171" i="3"/>
  <c r="C171" i="3"/>
  <c r="F159" i="3"/>
  <c r="C159" i="3"/>
  <c r="F85" i="3"/>
  <c r="C97" i="3"/>
  <c r="C98" i="3" s="1"/>
  <c r="C99" i="3" s="1"/>
  <c r="C100" i="3" s="1"/>
  <c r="C101" i="3" s="1"/>
  <c r="C102" i="3" s="1"/>
  <c r="C103" i="3" s="1"/>
  <c r="C90" i="3"/>
  <c r="H57" i="3"/>
  <c r="G57" i="3"/>
  <c r="F55" i="3"/>
  <c r="E57" i="3"/>
  <c r="H56" i="3"/>
  <c r="G54" i="3"/>
  <c r="F56" i="3"/>
  <c r="F54" i="3"/>
  <c r="H55" i="3"/>
  <c r="G55" i="3"/>
  <c r="F57" i="3"/>
  <c r="E55" i="3"/>
  <c r="H54" i="3"/>
  <c r="G56" i="3"/>
  <c r="E56" i="3"/>
  <c r="BD28" i="1"/>
  <c r="BD27" i="1"/>
  <c r="BD26" i="1"/>
  <c r="BK22" i="1"/>
  <c r="BD53" i="1"/>
  <c r="BD149" i="1"/>
  <c r="BD117" i="1"/>
  <c r="AN149" i="1"/>
  <c r="AN35" i="1"/>
  <c r="AN28" i="1"/>
  <c r="AN26" i="1"/>
  <c r="AN27" i="1"/>
  <c r="AN101" i="1" s="1"/>
  <c r="AN117" i="1"/>
  <c r="AU22" i="1"/>
  <c r="X53" i="1"/>
  <c r="X149" i="1"/>
  <c r="X35" i="1"/>
  <c r="X26" i="1"/>
  <c r="X117" i="1"/>
  <c r="X27" i="1"/>
  <c r="X101" i="1" s="1"/>
  <c r="X28" i="1"/>
  <c r="F149" i="1"/>
  <c r="F117" i="1"/>
  <c r="F86" i="1"/>
  <c r="F28" i="1"/>
  <c r="F26" i="1"/>
  <c r="M22" i="1" l="1"/>
  <c r="G21" i="4"/>
  <c r="G24" i="4" s="1"/>
  <c r="I161" i="3"/>
  <c r="C172" i="3"/>
  <c r="C160" i="3"/>
  <c r="F160" i="3"/>
  <c r="I172" i="3"/>
  <c r="F174" i="3"/>
  <c r="C91" i="3"/>
  <c r="F86" i="3"/>
  <c r="F145" i="1"/>
  <c r="F49" i="1"/>
  <c r="F82" i="1"/>
  <c r="F113" i="1"/>
  <c r="F164" i="1"/>
  <c r="F68" i="1"/>
  <c r="BD145" i="1"/>
  <c r="BD113" i="1"/>
  <c r="BD82" i="1"/>
  <c r="BD49" i="1"/>
  <c r="BK23" i="1"/>
  <c r="BD101" i="1"/>
  <c r="BD68" i="1"/>
  <c r="BD164" i="1"/>
  <c r="BD35" i="1"/>
  <c r="AN36" i="1"/>
  <c r="AN41" i="1" s="1"/>
  <c r="AN57" i="1"/>
  <c r="AN61" i="1" s="1"/>
  <c r="AN145" i="1"/>
  <c r="AN37" i="1"/>
  <c r="AN42" i="1" s="1"/>
  <c r="AN113" i="1"/>
  <c r="AN82" i="1"/>
  <c r="AN49" i="1"/>
  <c r="AN164" i="1"/>
  <c r="AN68" i="1"/>
  <c r="AU23" i="1"/>
  <c r="X164" i="1"/>
  <c r="X68" i="1"/>
  <c r="X151" i="1"/>
  <c r="X153" i="1" s="1"/>
  <c r="X157" i="1" s="1"/>
  <c r="X36" i="1"/>
  <c r="X41" i="1" s="1"/>
  <c r="X119" i="1"/>
  <c r="X88" i="1"/>
  <c r="X55" i="1"/>
  <c r="X145" i="1"/>
  <c r="X37" i="1"/>
  <c r="X42" i="1" s="1"/>
  <c r="X113" i="1"/>
  <c r="X82" i="1"/>
  <c r="X49" i="1"/>
  <c r="AE22" i="1"/>
  <c r="AE23" i="1"/>
  <c r="F27" i="1"/>
  <c r="F35" i="1"/>
  <c r="F161" i="3" l="1"/>
  <c r="F175" i="3"/>
  <c r="C173" i="3"/>
  <c r="I173" i="3"/>
  <c r="I162" i="3"/>
  <c r="C161" i="3"/>
  <c r="F87" i="3"/>
  <c r="X57" i="1"/>
  <c r="X61" i="1" s="1"/>
  <c r="X90" i="1"/>
  <c r="X94" i="1" s="1"/>
  <c r="X121" i="1"/>
  <c r="X125" i="1" s="1"/>
  <c r="F55" i="1"/>
  <c r="F88" i="1"/>
  <c r="M23" i="1"/>
  <c r="F101" i="1"/>
  <c r="BD36" i="1"/>
  <c r="BD41" i="1" s="1"/>
  <c r="BD121" i="1"/>
  <c r="BD125" i="1" s="1"/>
  <c r="BD57" i="1"/>
  <c r="BD61" i="1" s="1"/>
  <c r="BD37" i="1"/>
  <c r="BD42" i="1" s="1"/>
  <c r="AN44" i="1"/>
  <c r="AN87" i="1"/>
  <c r="AN54" i="1"/>
  <c r="AN90" i="1"/>
  <c r="AN94" i="1" s="1"/>
  <c r="AN121" i="1"/>
  <c r="AN125" i="1" s="1"/>
  <c r="AN43" i="1"/>
  <c r="AN118" i="1"/>
  <c r="AN150" i="1"/>
  <c r="AN153" i="1"/>
  <c r="AN157" i="1" s="1"/>
  <c r="X43" i="1"/>
  <c r="X118" i="1"/>
  <c r="X150" i="1"/>
  <c r="X44" i="1"/>
  <c r="X54" i="1"/>
  <c r="X87" i="1"/>
  <c r="F36" i="1"/>
  <c r="K27" i="3" s="1"/>
  <c r="F37" i="1"/>
  <c r="K26" i="3" l="1"/>
  <c r="F42" i="1"/>
  <c r="I174" i="3"/>
  <c r="C162" i="3"/>
  <c r="F176" i="3"/>
  <c r="C174" i="3"/>
  <c r="I163" i="3"/>
  <c r="F162" i="3"/>
  <c r="F88" i="3"/>
  <c r="F153" i="1"/>
  <c r="F157" i="1" s="1"/>
  <c r="F90" i="1"/>
  <c r="F94" i="1" s="1"/>
  <c r="F121" i="1"/>
  <c r="F125" i="1" s="1"/>
  <c r="F57" i="1"/>
  <c r="F61" i="1" s="1"/>
  <c r="BD90" i="1"/>
  <c r="BD94" i="1" s="1"/>
  <c r="BD43" i="1"/>
  <c r="BD150" i="1"/>
  <c r="BD118" i="1"/>
  <c r="BD44" i="1"/>
  <c r="BD87" i="1"/>
  <c r="BD54" i="1"/>
  <c r="BD153" i="1"/>
  <c r="BD157" i="1" s="1"/>
  <c r="AV148" i="1"/>
  <c r="AV151" i="1" s="1"/>
  <c r="AW151" i="1" s="1"/>
  <c r="AN130" i="1"/>
  <c r="AN162" i="1"/>
  <c r="AV116" i="1"/>
  <c r="AV119" i="1" s="1"/>
  <c r="AW119" i="1" s="1"/>
  <c r="AV52" i="1"/>
  <c r="AV55" i="1" s="1"/>
  <c r="AW55" i="1" s="1"/>
  <c r="AN66" i="1"/>
  <c r="AN99" i="1"/>
  <c r="AV85" i="1"/>
  <c r="AV88" i="1" s="1"/>
  <c r="AW88" i="1" s="1"/>
  <c r="AF52" i="1"/>
  <c r="AF55" i="1" s="1"/>
  <c r="AG55" i="1" s="1"/>
  <c r="X66" i="1"/>
  <c r="X99" i="1"/>
  <c r="AF85" i="1"/>
  <c r="AF88" i="1" s="1"/>
  <c r="AG88" i="1" s="1"/>
  <c r="X162" i="1"/>
  <c r="AF148" i="1"/>
  <c r="AF151" i="1" s="1"/>
  <c r="AG151" i="1" s="1"/>
  <c r="X130" i="1"/>
  <c r="AF116" i="1"/>
  <c r="AF119" i="1" s="1"/>
  <c r="AG119" i="1" s="1"/>
  <c r="F44" i="1"/>
  <c r="F21" i="3" s="1"/>
  <c r="F41" i="1"/>
  <c r="F43" i="1" s="1"/>
  <c r="I145" i="3" l="1"/>
  <c r="F25" i="3"/>
  <c r="I175" i="3"/>
  <c r="C175" i="3"/>
  <c r="I164" i="3"/>
  <c r="C163" i="3"/>
  <c r="F177" i="3"/>
  <c r="F163" i="3"/>
  <c r="F89" i="3"/>
  <c r="F20" i="3"/>
  <c r="F118" i="1"/>
  <c r="F150" i="1"/>
  <c r="F54" i="1"/>
  <c r="N52" i="1" s="1"/>
  <c r="N55" i="1" s="1"/>
  <c r="O55" i="1" s="1"/>
  <c r="F87" i="1"/>
  <c r="F99" i="1" s="1"/>
  <c r="BL52" i="1"/>
  <c r="BL55" i="1" s="1"/>
  <c r="BM55" i="1" s="1"/>
  <c r="BD99" i="1"/>
  <c r="BL85" i="1"/>
  <c r="BL88" i="1" s="1"/>
  <c r="BM88" i="1" s="1"/>
  <c r="BD66" i="1"/>
  <c r="BL116" i="1"/>
  <c r="BL119" i="1" s="1"/>
  <c r="BM119" i="1" s="1"/>
  <c r="BD162" i="1"/>
  <c r="BL148" i="1"/>
  <c r="BL151" i="1" s="1"/>
  <c r="BM151" i="1" s="1"/>
  <c r="BD130" i="1"/>
  <c r="AN109" i="1"/>
  <c r="AO109" i="1" s="1"/>
  <c r="AN107" i="1"/>
  <c r="AN74" i="1"/>
  <c r="AN76" i="1"/>
  <c r="AO76" i="1" s="1"/>
  <c r="AN172" i="1"/>
  <c r="AO172" i="1" s="1"/>
  <c r="AN170" i="1"/>
  <c r="AN140" i="1"/>
  <c r="AO140" i="1" s="1"/>
  <c r="AN138" i="1"/>
  <c r="X140" i="1"/>
  <c r="Y140" i="1" s="1"/>
  <c r="X138" i="1"/>
  <c r="X172" i="1"/>
  <c r="Y172" i="1" s="1"/>
  <c r="X170" i="1"/>
  <c r="X109" i="1"/>
  <c r="Y109" i="1" s="1"/>
  <c r="X107" i="1"/>
  <c r="X76" i="1"/>
  <c r="Y76" i="1" s="1"/>
  <c r="X74" i="1"/>
  <c r="I52" i="3" l="1"/>
  <c r="H214" i="3"/>
  <c r="I70" i="3"/>
  <c r="I50" i="3"/>
  <c r="F24" i="3"/>
  <c r="G68" i="3" s="1"/>
  <c r="G69" i="3" s="1"/>
  <c r="G70" i="3" s="1"/>
  <c r="G71" i="3" s="1"/>
  <c r="G72" i="3" s="1"/>
  <c r="G143" i="3"/>
  <c r="G144" i="3" s="1"/>
  <c r="G145" i="3" s="1"/>
  <c r="G146" i="3" s="1"/>
  <c r="G147" i="3" s="1"/>
  <c r="I147" i="3"/>
  <c r="I146" i="3"/>
  <c r="C164" i="3"/>
  <c r="C176" i="3"/>
  <c r="F178" i="3"/>
  <c r="I176" i="3"/>
  <c r="I165" i="3"/>
  <c r="F164" i="3"/>
  <c r="F90" i="3"/>
  <c r="N85" i="1"/>
  <c r="N88" i="1" s="1"/>
  <c r="O88" i="1" s="1"/>
  <c r="F109" i="1"/>
  <c r="G109" i="1" s="1"/>
  <c r="F107" i="1"/>
  <c r="F66" i="1"/>
  <c r="F130" i="1"/>
  <c r="N116" i="1"/>
  <c r="N119" i="1" s="1"/>
  <c r="O119" i="1" s="1"/>
  <c r="N148" i="1"/>
  <c r="N151" i="1" s="1"/>
  <c r="O151" i="1" s="1"/>
  <c r="F162" i="1"/>
  <c r="BD76" i="1"/>
  <c r="BE76" i="1" s="1"/>
  <c r="BD74" i="1"/>
  <c r="BD172" i="1"/>
  <c r="BE172" i="1" s="1"/>
  <c r="BD170" i="1"/>
  <c r="BD109" i="1"/>
  <c r="BE109" i="1" s="1"/>
  <c r="BD107" i="1"/>
  <c r="BD140" i="1"/>
  <c r="BE140" i="1" s="1"/>
  <c r="BD138" i="1"/>
  <c r="G276" i="3" l="1"/>
  <c r="G255" i="3"/>
  <c r="G293" i="3"/>
  <c r="G295" i="3" s="1"/>
  <c r="I51" i="3"/>
  <c r="I49" i="3"/>
  <c r="F59" i="3" s="1" a="1"/>
  <c r="I72" i="3"/>
  <c r="I71" i="3"/>
  <c r="I177" i="3"/>
  <c r="C177" i="3"/>
  <c r="F165" i="3"/>
  <c r="I166" i="3"/>
  <c r="C165" i="3"/>
  <c r="F91" i="3"/>
  <c r="F172" i="1"/>
  <c r="G172" i="1" s="1"/>
  <c r="F170" i="1"/>
  <c r="F74" i="1"/>
  <c r="F76" i="1"/>
  <c r="G76" i="1" s="1"/>
  <c r="F140" i="1"/>
  <c r="G140" i="1" s="1"/>
  <c r="F138" i="1"/>
  <c r="F62" i="3" l="1"/>
  <c r="K147" i="3" s="1"/>
  <c r="F60" i="3"/>
  <c r="F142" i="3" s="1"/>
  <c r="E165" i="3" s="1"/>
  <c r="F61" i="3"/>
  <c r="F59" i="3"/>
  <c r="C178" i="3"/>
  <c r="C166" i="3"/>
  <c r="I178" i="3"/>
  <c r="F166" i="3"/>
  <c r="F67" i="3" l="1"/>
  <c r="G22" i="4"/>
  <c r="K72" i="3"/>
  <c r="G23" i="4"/>
  <c r="E166" i="3"/>
  <c r="D214" i="3" s="1"/>
  <c r="G315" i="3" s="1"/>
  <c r="G316" i="3" s="1"/>
  <c r="E160" i="3"/>
  <c r="D162" i="3"/>
  <c r="E161" i="3"/>
  <c r="D159" i="3"/>
  <c r="D166" i="3"/>
  <c r="D164" i="3"/>
  <c r="D158" i="3"/>
  <c r="F143" i="3"/>
  <c r="H166" i="3" s="1"/>
  <c r="E158" i="3"/>
  <c r="D163" i="3"/>
  <c r="D165" i="3"/>
  <c r="D160" i="3"/>
  <c r="E159" i="3"/>
  <c r="D161" i="3"/>
  <c r="E162" i="3"/>
  <c r="E163" i="3"/>
  <c r="E164" i="3"/>
  <c r="F68" i="3"/>
  <c r="G86" i="3"/>
  <c r="D83" i="3"/>
  <c r="E86" i="3"/>
  <c r="D89" i="3"/>
  <c r="D84" i="3"/>
  <c r="G91" i="3"/>
  <c r="D88" i="3"/>
  <c r="G84" i="3"/>
  <c r="E85" i="3"/>
  <c r="E91" i="3"/>
  <c r="D87" i="3"/>
  <c r="G90" i="3"/>
  <c r="E87" i="3"/>
  <c r="D85" i="3"/>
  <c r="G87" i="3"/>
  <c r="E83" i="3"/>
  <c r="E90" i="3"/>
  <c r="G85" i="3"/>
  <c r="D91" i="3"/>
  <c r="E88" i="3"/>
  <c r="G83" i="3"/>
  <c r="D92" i="3" s="1"/>
  <c r="D90" i="3"/>
  <c r="G88" i="3"/>
  <c r="E89" i="3"/>
  <c r="D86" i="3"/>
  <c r="G89" i="3"/>
  <c r="E84" i="3"/>
  <c r="L30" i="4" l="1"/>
  <c r="G30" i="4"/>
  <c r="L38" i="4"/>
  <c r="G38" i="4"/>
  <c r="H161" i="3"/>
  <c r="H159" i="3"/>
  <c r="H160" i="3"/>
  <c r="G163" i="3"/>
  <c r="G165" i="3"/>
  <c r="G160" i="3"/>
  <c r="H158" i="3"/>
  <c r="E167" i="3" s="1"/>
  <c r="G162" i="3"/>
  <c r="H162" i="3"/>
  <c r="G166" i="3"/>
  <c r="F144" i="3"/>
  <c r="G164" i="3"/>
  <c r="G159" i="3"/>
  <c r="G158" i="3"/>
  <c r="D167" i="3" s="1"/>
  <c r="G161" i="3"/>
  <c r="H163" i="3"/>
  <c r="H164" i="3"/>
  <c r="H165" i="3"/>
  <c r="H87" i="3"/>
  <c r="H83" i="3"/>
  <c r="E92" i="3" s="1"/>
  <c r="H84" i="3"/>
  <c r="H85" i="3"/>
  <c r="H86" i="3"/>
  <c r="H88" i="3"/>
  <c r="F69" i="3"/>
  <c r="H89" i="3"/>
  <c r="H90" i="3"/>
  <c r="H91" i="3"/>
  <c r="D215" i="3" s="1"/>
  <c r="G238" i="3" l="1"/>
  <c r="G254" i="3"/>
  <c r="G256" i="3" s="1"/>
  <c r="G257" i="3" s="1"/>
  <c r="J161" i="3"/>
  <c r="J166" i="3"/>
  <c r="F145" i="3"/>
  <c r="K162" i="3"/>
  <c r="K163" i="3"/>
  <c r="K160" i="3"/>
  <c r="K164" i="3"/>
  <c r="J159" i="3"/>
  <c r="J165" i="3"/>
  <c r="K158" i="3"/>
  <c r="H167" i="3" s="1"/>
  <c r="J163" i="3"/>
  <c r="J158" i="3"/>
  <c r="G167" i="3" s="1"/>
  <c r="J160" i="3"/>
  <c r="J164" i="3"/>
  <c r="J162" i="3"/>
  <c r="K159" i="3"/>
  <c r="K161" i="3"/>
  <c r="K165" i="3"/>
  <c r="K166" i="3"/>
  <c r="D216" i="3" s="1"/>
  <c r="K86" i="3"/>
  <c r="J88" i="3"/>
  <c r="K85" i="3"/>
  <c r="K91" i="3"/>
  <c r="K87" i="3"/>
  <c r="J83" i="3"/>
  <c r="G92" i="3" s="1"/>
  <c r="J86" i="3"/>
  <c r="J90" i="3"/>
  <c r="J85" i="3"/>
  <c r="F70" i="3"/>
  <c r="K84" i="3"/>
  <c r="K88" i="3"/>
  <c r="J89" i="3"/>
  <c r="K89" i="3"/>
  <c r="K83" i="3"/>
  <c r="H92" i="3" s="1"/>
  <c r="J91" i="3"/>
  <c r="J84" i="3"/>
  <c r="J87" i="3"/>
  <c r="K90" i="3"/>
  <c r="E170" i="3" l="1"/>
  <c r="K167" i="3" s="1"/>
  <c r="D173" i="3"/>
  <c r="E171" i="3"/>
  <c r="D178" i="3"/>
  <c r="E175" i="3"/>
  <c r="F146" i="3"/>
  <c r="E172" i="3"/>
  <c r="D174" i="3"/>
  <c r="E176" i="3"/>
  <c r="D171" i="3"/>
  <c r="D177" i="3"/>
  <c r="E174" i="3"/>
  <c r="D175" i="3"/>
  <c r="D170" i="3"/>
  <c r="J167" i="3" s="1"/>
  <c r="D172" i="3"/>
  <c r="D176" i="3"/>
  <c r="E173" i="3"/>
  <c r="E177" i="3"/>
  <c r="E178" i="3"/>
  <c r="H101" i="3"/>
  <c r="E103" i="3"/>
  <c r="K101" i="3"/>
  <c r="G101" i="3"/>
  <c r="G98" i="3"/>
  <c r="K96" i="3"/>
  <c r="E99" i="3"/>
  <c r="E102" i="3"/>
  <c r="K103" i="3"/>
  <c r="H100" i="3"/>
  <c r="D102" i="3"/>
  <c r="G97" i="3"/>
  <c r="E96" i="3"/>
  <c r="H98" i="3"/>
  <c r="K102" i="3"/>
  <c r="K95" i="3"/>
  <c r="H104" i="3" s="1"/>
  <c r="E95" i="3"/>
  <c r="K92" i="3" s="1"/>
  <c r="H99" i="3"/>
  <c r="H103" i="3"/>
  <c r="F71" i="3"/>
  <c r="G100" i="3"/>
  <c r="G102" i="3"/>
  <c r="E98" i="3"/>
  <c r="E101" i="3"/>
  <c r="H102" i="3"/>
  <c r="D98" i="3"/>
  <c r="K100" i="3"/>
  <c r="D95" i="3"/>
  <c r="J92" i="3" s="1"/>
  <c r="G103" i="3"/>
  <c r="D103" i="3"/>
  <c r="D101" i="3"/>
  <c r="K97" i="3"/>
  <c r="E100" i="3"/>
  <c r="G99" i="3"/>
  <c r="E97" i="3"/>
  <c r="K99" i="3"/>
  <c r="D100" i="3"/>
  <c r="D99" i="3"/>
  <c r="H97" i="3"/>
  <c r="H95" i="3"/>
  <c r="E104" i="3" s="1"/>
  <c r="D97" i="3"/>
  <c r="K98" i="3"/>
  <c r="H96" i="3"/>
  <c r="G96" i="3"/>
  <c r="D96" i="3"/>
  <c r="D217" i="3" l="1"/>
  <c r="C298" i="3" s="1"/>
  <c r="G306" i="3" s="1"/>
  <c r="G307" i="3" s="1"/>
  <c r="G174" i="3"/>
  <c r="H175" i="3"/>
  <c r="G178" i="3"/>
  <c r="H173" i="3"/>
  <c r="G173" i="3"/>
  <c r="G177" i="3"/>
  <c r="H172" i="3"/>
  <c r="F147" i="3"/>
  <c r="G170" i="3"/>
  <c r="D179" i="3" s="1"/>
  <c r="H176" i="3"/>
  <c r="G172" i="3"/>
  <c r="G175" i="3"/>
  <c r="G171" i="3"/>
  <c r="H178" i="3"/>
  <c r="H177" i="3"/>
  <c r="H171" i="3"/>
  <c r="G176" i="3"/>
  <c r="H170" i="3"/>
  <c r="E179" i="3" s="1"/>
  <c r="H174" i="3"/>
  <c r="F72" i="3"/>
  <c r="G95" i="3"/>
  <c r="D104" i="3" s="1"/>
  <c r="G311" i="3" l="1"/>
  <c r="K172" i="3"/>
  <c r="J174" i="3"/>
  <c r="K170" i="3"/>
  <c r="H179" i="3" s="1"/>
  <c r="K173" i="3"/>
  <c r="K174" i="3"/>
  <c r="J171" i="3"/>
  <c r="K176" i="3"/>
  <c r="J178" i="3"/>
  <c r="K178" i="3"/>
  <c r="K171" i="3"/>
  <c r="J170" i="3"/>
  <c r="G179" i="3" s="1"/>
  <c r="J175" i="3"/>
  <c r="K177" i="3"/>
  <c r="J176" i="3"/>
  <c r="J173" i="3"/>
  <c r="J177" i="3"/>
  <c r="J172" i="3"/>
  <c r="K175" i="3"/>
  <c r="J95" i="3"/>
  <c r="G104" i="3" s="1"/>
  <c r="J103" i="3"/>
  <c r="J100" i="3"/>
  <c r="J101" i="3"/>
  <c r="J102" i="3"/>
  <c r="J96" i="3"/>
  <c r="J99" i="3"/>
  <c r="J98" i="3"/>
  <c r="J97" i="3"/>
</calcChain>
</file>

<file path=xl/sharedStrings.xml><?xml version="1.0" encoding="utf-8"?>
<sst xmlns="http://schemas.openxmlformats.org/spreadsheetml/2006/main" count="1259" uniqueCount="238">
  <si>
    <t>RELACIONES DE VELOCIDAD, PAR DE TORSIÓN Y ENGRANES</t>
  </si>
  <si>
    <t>Especificaciones de Diseño</t>
  </si>
  <si>
    <t>*Potencia que debe entregarse: 20 hp</t>
  </si>
  <si>
    <t>*Eficiencia de potencia: &gt; 95%</t>
  </si>
  <si>
    <t>*Velocidad de entrada de estado estable: 1 750 rev/min</t>
  </si>
  <si>
    <t>*Velocidad de entrada máxima: 2 400 rev/min</t>
  </si>
  <si>
    <t>*Velocidad de salida de estado estable: 82-88 rev/min</t>
  </si>
  <si>
    <t>*Niveles de impacto usualmente bajos, impactos moderados ocasionales</t>
  </si>
  <si>
    <t>*Los ejes de entrada y salida se extienden 4 pulg fuera de la caja de engranes.</t>
  </si>
  <si>
    <t>*Tolerancia en el diámetro de los ejes de entrada y salida: ±0.001 pulg</t>
  </si>
  <si>
    <t xml:space="preserve"> *Eje de salida y eje de entrada en línea: concentricidad ±0.005 pulg, alineación ±0.001 rad</t>
  </si>
  <si>
    <t>*Cargas permisibles máximas sobre el eje de entrada: axial, 50 lbf; transversal, 100 lbf</t>
  </si>
  <si>
    <t>*Cargas permisibles máximas sobre el eje de salida: axial, 50 lbf; transversal, 500 lbf</t>
  </si>
  <si>
    <t>*Tamaño máximo de la caja de engranes. Base de 14 pulg × 14 pulg y altura de 22 pulg.</t>
  </si>
  <si>
    <t>*Base montada sobre 4 pernos</t>
  </si>
  <si>
    <t>*Orientación del montaje solo con base en la parte inferior</t>
  </si>
  <si>
    <t>*Ciclo de operación 100%</t>
  </si>
  <si>
    <t xml:space="preserve"> *Programa de mantenimiento: revisión de lubricación cada 2 000 horas; cambio de lubricante cada 8 000 horas de operación; vida de engranes y cojinetes &gt; 12 000 horas;</t>
  </si>
  <si>
    <t>*vida del eje infinita; engranes, cojinetes y ejes reemplazables</t>
  </si>
  <si>
    <t>* Accesos a la revisión, drenaje y rellenado de lubricante sin desensamblar o abrir las</t>
  </si>
  <si>
    <t>*Juntas empaquetadas</t>
  </si>
  <si>
    <t>*Costo de manufactura por unidad: &lt; 300 dólares norteamericanos</t>
  </si>
  <si>
    <t>*Producción: 10 000 unidades por año</t>
  </si>
  <si>
    <t>*Rango de temperatura de operación: – 10° a 120°F</t>
  </si>
  <si>
    <t>*Sellado contra agua y polvo ambiental</t>
  </si>
  <si>
    <t>*Ruido: &lt; 85 dB desde un metro</t>
  </si>
  <si>
    <t>Velocidades de los ejes</t>
  </si>
  <si>
    <t>Velocidad de entrada (wi=w2)</t>
  </si>
  <si>
    <t>rpm</t>
  </si>
  <si>
    <t>Velocidad de salida aproximada (wo = w5)</t>
  </si>
  <si>
    <t>valor del tren (e)</t>
  </si>
  <si>
    <t>Numero de dientes del engrane 2  (N2)</t>
  </si>
  <si>
    <t>Numero de dientes del engrane 3  (N3)</t>
  </si>
  <si>
    <t>Numero de dientes del engrane 4  (N4)</t>
  </si>
  <si>
    <t>Numero de dientes del engrane 5  (N5)</t>
  </si>
  <si>
    <t>Dientes</t>
  </si>
  <si>
    <t>Velocidad de salida Calculada (wo = w5)</t>
  </si>
  <si>
    <t>Velocidad de engranes intermedio (w3 = w4)</t>
  </si>
  <si>
    <t>pares de torsión</t>
  </si>
  <si>
    <t>Pares de torsión</t>
  </si>
  <si>
    <t>Torcion en el eje de entrada (T2)</t>
  </si>
  <si>
    <t>Potencia que debe entregarse</t>
  </si>
  <si>
    <t>HP</t>
  </si>
  <si>
    <t>(lbf*ft)</t>
  </si>
  <si>
    <t>Torcion en el eje 3 (T3)</t>
  </si>
  <si>
    <t>Torcion en el eje de salida (T5)</t>
  </si>
  <si>
    <t>Paso Diametral</t>
  </si>
  <si>
    <t>Paso minimo diametral</t>
  </si>
  <si>
    <t xml:space="preserve">Altura de la caja (y) </t>
  </si>
  <si>
    <t>Holgura y espesor de pared</t>
  </si>
  <si>
    <t>in</t>
  </si>
  <si>
    <t>Dientes/in</t>
  </si>
  <si>
    <t>Diametro de paso (d2=d4)</t>
  </si>
  <si>
    <t>Diametro de paso (d3=d5)</t>
  </si>
  <si>
    <t>Velocidades de linea de paso y Carga transmitida</t>
  </si>
  <si>
    <t>Carga transmitida</t>
  </si>
  <si>
    <t>Velocidad de linea de paso V23</t>
  </si>
  <si>
    <t>Velocidad de linea de paso V45</t>
  </si>
  <si>
    <t>Desgaste de engranes 4</t>
  </si>
  <si>
    <t>Flexión de engranes 4</t>
  </si>
  <si>
    <t>Factor geometrico de resistencia superficial</t>
  </si>
  <si>
    <t>ft/min</t>
  </si>
  <si>
    <t>lbf</t>
  </si>
  <si>
    <t>A</t>
  </si>
  <si>
    <t>B</t>
  </si>
  <si>
    <t>Vmax</t>
  </si>
  <si>
    <t>números de control de calidad (Qv)</t>
  </si>
  <si>
    <t>Factor dinámico Kv</t>
  </si>
  <si>
    <t>Ancho de cara F</t>
  </si>
  <si>
    <t>Factor de distribución de la carga Km</t>
  </si>
  <si>
    <t>Factor de corrección de carga  ( Cmc)</t>
  </si>
  <si>
    <t>Factor de proporción del piñón ( Cpf)</t>
  </si>
  <si>
    <t>Modificador de proporción del piñón (Cpm)</t>
  </si>
  <si>
    <t>Factor de alineación del acoplamiento (Cma)</t>
  </si>
  <si>
    <t>Factor de corrección de la alineación del acoplamiento (Ce)</t>
  </si>
  <si>
    <t xml:space="preserve">Factor de sobrecarga K0 </t>
  </si>
  <si>
    <t>Factor de tamaño Ks</t>
  </si>
  <si>
    <t xml:space="preserve">Esfuerzo de AGMA </t>
  </si>
  <si>
    <t>Cf</t>
  </si>
  <si>
    <t>L4</t>
  </si>
  <si>
    <t xml:space="preserve"> vida de engranes</t>
  </si>
  <si>
    <t>h</t>
  </si>
  <si>
    <t>psi</t>
  </si>
  <si>
    <t>Factor de ciclos de esfuerzo Zn</t>
  </si>
  <si>
    <t>Factor de la relación de dureza Ch</t>
  </si>
  <si>
    <t>Factor de confiabilidad Kr</t>
  </si>
  <si>
    <t>Factor de temperatura Kt</t>
  </si>
  <si>
    <t>Factor de diseño</t>
  </si>
  <si>
    <t>Esfuerzos de contacto permisibles Sc</t>
  </si>
  <si>
    <t xml:space="preserve">Factor de seguridd para el desgaste </t>
  </si>
  <si>
    <t xml:space="preserve"> Coeficiente elástico Cp para Acero</t>
  </si>
  <si>
    <t>Esfuerzo de contacto permisible según el tratamiento termico</t>
  </si>
  <si>
    <t>Cumple</t>
  </si>
  <si>
    <t>No cumple</t>
  </si>
  <si>
    <t xml:space="preserve">Factor geométrico  (J) de resistencia a la flexión </t>
  </si>
  <si>
    <t>Factor de espesor del aro Kb</t>
  </si>
  <si>
    <t>Factor de ciclos de esfuerzo Yn</t>
  </si>
  <si>
    <t>Resistencia a la flexión de engrane St</t>
  </si>
  <si>
    <t>Esfuerzo de flexión permisible</t>
  </si>
  <si>
    <t xml:space="preserve">Factor de seguridad para la flexion </t>
  </si>
  <si>
    <t>Desgaste de engranes 5</t>
  </si>
  <si>
    <t>Flexión de engranes 5</t>
  </si>
  <si>
    <t>Desgaste de engranes 2</t>
  </si>
  <si>
    <t>Endurecido Por Flama Grado 1</t>
  </si>
  <si>
    <t>Carburizado y endurecido Grado 2</t>
  </si>
  <si>
    <t>Desgaste de engranes 3</t>
  </si>
  <si>
    <t>Flexión de engranes 3</t>
  </si>
  <si>
    <t>Flexión de engranes 2</t>
  </si>
  <si>
    <t>Endurecido por completo hasta 200HB Grado 1</t>
  </si>
  <si>
    <t>Analisis de Fuerzas</t>
  </si>
  <si>
    <t>Wt3</t>
  </si>
  <si>
    <t>Wt4</t>
  </si>
  <si>
    <t>Wr3</t>
  </si>
  <si>
    <t>Wr4</t>
  </si>
  <si>
    <t>Ф</t>
  </si>
  <si>
    <t>grados</t>
  </si>
  <si>
    <t>Radianes</t>
  </si>
  <si>
    <t>Fuerzas transmitidas por los engranes</t>
  </si>
  <si>
    <t>Distancias</t>
  </si>
  <si>
    <t>Ray</t>
  </si>
  <si>
    <t>Raz</t>
  </si>
  <si>
    <t>Rby</t>
  </si>
  <si>
    <t>Rbz</t>
  </si>
  <si>
    <t>Resultado</t>
  </si>
  <si>
    <t>d3</t>
  </si>
  <si>
    <t>d4</t>
  </si>
  <si>
    <t>AG</t>
  </si>
  <si>
    <t>AJ</t>
  </si>
  <si>
    <t>AB</t>
  </si>
  <si>
    <t>BA</t>
  </si>
  <si>
    <t>BJ</t>
  </si>
  <si>
    <t>BG</t>
  </si>
  <si>
    <t>G</t>
  </si>
  <si>
    <t>I</t>
  </si>
  <si>
    <t>J</t>
  </si>
  <si>
    <t>K</t>
  </si>
  <si>
    <t>Tramo 1</t>
  </si>
  <si>
    <t>Tramo 2</t>
  </si>
  <si>
    <t>Tramo 3</t>
  </si>
  <si>
    <t>Tramo 4</t>
  </si>
  <si>
    <t>Tramo 5</t>
  </si>
  <si>
    <t>Tramo 6</t>
  </si>
  <si>
    <t xml:space="preserve">Xinicial </t>
  </si>
  <si>
    <t>Xfinal</t>
  </si>
  <si>
    <t>X</t>
  </si>
  <si>
    <t>V</t>
  </si>
  <si>
    <t>M</t>
  </si>
  <si>
    <t>Cortante y Momento Flector con respecto a los ejes xy</t>
  </si>
  <si>
    <t>Cortante y Momento Flector con respecto a los ejes xz</t>
  </si>
  <si>
    <t>Momentos Totales</t>
  </si>
  <si>
    <t>MG</t>
  </si>
  <si>
    <t>lbf* in</t>
  </si>
  <si>
    <t>MJ</t>
  </si>
  <si>
    <t>MI</t>
  </si>
  <si>
    <t>MK</t>
  </si>
  <si>
    <t>lbf * in</t>
  </si>
  <si>
    <t xml:space="preserve">Torque </t>
  </si>
  <si>
    <t>Analizando el punto I</t>
  </si>
  <si>
    <t xml:space="preserve">factores de concentración de esfuerzo </t>
  </si>
  <si>
    <t>A la torsion Kts</t>
  </si>
  <si>
    <t>A la flexión  Kt</t>
  </si>
  <si>
    <t>(r/d)=0,01</t>
  </si>
  <si>
    <t>Kf</t>
  </si>
  <si>
    <t>Kfs</t>
  </si>
  <si>
    <t>Ka para estirado en frio</t>
  </si>
  <si>
    <t>Sut  permisible del material</t>
  </si>
  <si>
    <t>a Según el tratamiento</t>
  </si>
  <si>
    <t>b según el tratamiento</t>
  </si>
  <si>
    <t>Laminado en frio</t>
  </si>
  <si>
    <t>kpsi</t>
  </si>
  <si>
    <t xml:space="preserve">Kc </t>
  </si>
  <si>
    <t>Kd</t>
  </si>
  <si>
    <t>ke</t>
  </si>
  <si>
    <t>Suponiendo Kb</t>
  </si>
  <si>
    <t>Se</t>
  </si>
  <si>
    <t>Se´</t>
  </si>
  <si>
    <t>Utilizando el metodo de ED-Goodman</t>
  </si>
  <si>
    <t>Diametro</t>
  </si>
  <si>
    <t>Se selecciona un eje estandar aproximado</t>
  </si>
  <si>
    <t>Relacion tipica D/d</t>
  </si>
  <si>
    <t>Diametro D</t>
  </si>
  <si>
    <t>D/d</t>
  </si>
  <si>
    <t>Diametro aproximado</t>
  </si>
  <si>
    <t>Kt</t>
  </si>
  <si>
    <t>q</t>
  </si>
  <si>
    <t>Radio del filete r=0,1*d</t>
  </si>
  <si>
    <t>Kts</t>
  </si>
  <si>
    <t>qs</t>
  </si>
  <si>
    <t>Kb</t>
  </si>
  <si>
    <t>Esfuerzo a</t>
  </si>
  <si>
    <t xml:space="preserve">Esfuerzo medio </t>
  </si>
  <si>
    <t>1/nf</t>
  </si>
  <si>
    <t>nf</t>
  </si>
  <si>
    <t>Para el hombro del filete</t>
  </si>
  <si>
    <t>(r/d)=0,02</t>
  </si>
  <si>
    <t>Para el cuñero</t>
  </si>
  <si>
    <t>Radio del filete r=0,02*d</t>
  </si>
  <si>
    <t>1050 acero estirado en frio</t>
  </si>
  <si>
    <t>t</t>
  </si>
  <si>
    <t>a</t>
  </si>
  <si>
    <t>r</t>
  </si>
  <si>
    <t>r/t</t>
  </si>
  <si>
    <t>a/t</t>
  </si>
  <si>
    <t>kt</t>
  </si>
  <si>
    <t>Para en diametro en flexion (d)</t>
  </si>
  <si>
    <t>D1</t>
  </si>
  <si>
    <t>D2</t>
  </si>
  <si>
    <t>D3</t>
  </si>
  <si>
    <t>D4</t>
  </si>
  <si>
    <t>D7</t>
  </si>
  <si>
    <t>D6</t>
  </si>
  <si>
    <t>D5</t>
  </si>
  <si>
    <t xml:space="preserve">Anillo de Retencion de eje </t>
  </si>
  <si>
    <t>Velocidad del eje w3</t>
  </si>
  <si>
    <t>Ra</t>
  </si>
  <si>
    <t>Rb</t>
  </si>
  <si>
    <t>Vida de coginetes Ld</t>
  </si>
  <si>
    <t>Diseño De Cojinetes</t>
  </si>
  <si>
    <t xml:space="preserve">Duracion </t>
  </si>
  <si>
    <t>a para cojinete de bolas</t>
  </si>
  <si>
    <t>a para cojinete de rodillos</t>
  </si>
  <si>
    <t>Calculo par cojinete de bolas</t>
  </si>
  <si>
    <t>Calculo par cojinete de Rodillos</t>
  </si>
  <si>
    <t>X0</t>
  </si>
  <si>
    <t>theta</t>
  </si>
  <si>
    <t>b</t>
  </si>
  <si>
    <t>C10</t>
  </si>
  <si>
    <t>Cojinete en a</t>
  </si>
  <si>
    <t>CUÑAS</t>
  </si>
  <si>
    <t>Diametro del eje</t>
  </si>
  <si>
    <t>Cuña cuadrada con dimension t</t>
  </si>
  <si>
    <t>Sy de acero 1020</t>
  </si>
  <si>
    <t>Par de torsion trasmitido</t>
  </si>
  <si>
    <t>Longitudes de centro del eje l3</t>
  </si>
  <si>
    <t>Longitudes de centro del eje l4</t>
  </si>
  <si>
    <t>Fuerza sobre la cuña</t>
  </si>
  <si>
    <t>l</t>
  </si>
  <si>
    <t>r/d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</si>
</sst>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0" borderId="0" xfId="0" applyBorder="1"/>
    <xf numFmtId="0" fontId="0" fillId="2" borderId="0" xfId="0" applyFill="1"/>
    <xf numFmtId="164" fontId="0" fillId="2" borderId="0" xfId="0" applyNumberFormat="1" applyFill="1"/>
    <xf numFmtId="2" fontId="0" fillId="2" borderId="0" xfId="0" applyNumberFormat="1" applyFill="1"/>
    <xf numFmtId="165" fontId="0" fillId="2" borderId="0" xfId="0" applyNumberFormat="1" applyFill="1"/>
    <xf numFmtId="1" fontId="0" fillId="2" borderId="0" xfId="0" applyNumberFormat="1" applyFill="1"/>
    <xf numFmtId="166" fontId="0" fillId="2" borderId="0" xfId="0" applyNumberFormat="1" applyFill="1"/>
    <xf numFmtId="0" fontId="2" fillId="2" borderId="0" xfId="0" applyFont="1" applyFill="1" applyAlignment="1"/>
    <xf numFmtId="0" fontId="0" fillId="2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2" fontId="0" fillId="2" borderId="0" xfId="0" applyNumberFormat="1" applyFill="1" applyAlignment="1"/>
    <xf numFmtId="1" fontId="0" fillId="2" borderId="0" xfId="0" applyNumberFormat="1" applyFill="1" applyAlignment="1"/>
    <xf numFmtId="11" fontId="0" fillId="2" borderId="0" xfId="0" applyNumberFormat="1" applyFill="1"/>
    <xf numFmtId="0" fontId="3" fillId="2" borderId="0" xfId="0" applyFont="1" applyFill="1"/>
    <xf numFmtId="0" fontId="0" fillId="2" borderId="0" xfId="0" applyFill="1" applyAlignment="1">
      <alignment horizontal="right"/>
    </xf>
    <xf numFmtId="165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2" borderId="12" xfId="0" applyNumberForma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2" borderId="14" xfId="0" applyNumberFormat="1" applyFill="1" applyBorder="1" applyAlignment="1">
      <alignment horizontal="center" vertical="center"/>
    </xf>
    <xf numFmtId="2" fontId="0" fillId="2" borderId="16" xfId="0" applyNumberForma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5" fillId="2" borderId="0" xfId="0" applyFont="1" applyFill="1" applyAlignment="1"/>
    <xf numFmtId="0" fontId="0" fillId="2" borderId="0" xfId="0" applyFill="1"/>
    <xf numFmtId="0" fontId="2" fillId="2" borderId="0" xfId="0" applyFont="1" applyFill="1"/>
    <xf numFmtId="0" fontId="0" fillId="2" borderId="1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2" borderId="0" xfId="0" applyFill="1" applyAlignment="1"/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2" fontId="2" fillId="2" borderId="17" xfId="0" applyNumberFormat="1" applyFont="1" applyFill="1" applyBorder="1" applyAlignment="1">
      <alignment horizontal="center" vertical="center"/>
    </xf>
    <xf numFmtId="2" fontId="2" fillId="2" borderId="18" xfId="0" applyNumberFormat="1" applyFont="1" applyFill="1" applyBorder="1" applyAlignment="1">
      <alignment horizontal="center" vertical="center"/>
    </xf>
    <xf numFmtId="2" fontId="2" fillId="2" borderId="19" xfId="0" applyNumberFormat="1" applyFont="1" applyFill="1" applyBorder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FDFE"/>
      <color rgb="FFDFF8FD"/>
      <color rgb="FFD0F5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Cortante XY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7C9-4799-9BAF-67CEC0E3DA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'Analisis de Fuerzas'!$C$83:$C$92</c:f>
              <c:numCache>
                <c:formatCode>0.00</c:formatCode>
                <c:ptCount val="1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</c:v>
                </c:pt>
              </c:numCache>
            </c:numRef>
          </c:xVal>
          <c:yVal>
            <c:numRef>
              <c:f>'Analisis de Fuerzas'!$D$83:$D$92</c:f>
              <c:numCache>
                <c:formatCode>0.00</c:formatCode>
                <c:ptCount val="10"/>
                <c:pt idx="0">
                  <c:v>356.1828739597039</c:v>
                </c:pt>
                <c:pt idx="1">
                  <c:v>356.1828739597039</c:v>
                </c:pt>
                <c:pt idx="2">
                  <c:v>356.1828739597039</c:v>
                </c:pt>
                <c:pt idx="3">
                  <c:v>356.1828739597039</c:v>
                </c:pt>
                <c:pt idx="4">
                  <c:v>356.1828739597039</c:v>
                </c:pt>
                <c:pt idx="5">
                  <c:v>356.1828739597039</c:v>
                </c:pt>
                <c:pt idx="6">
                  <c:v>356.1828739597039</c:v>
                </c:pt>
                <c:pt idx="7">
                  <c:v>356.1828739597039</c:v>
                </c:pt>
                <c:pt idx="8">
                  <c:v>356.1828739597039</c:v>
                </c:pt>
                <c:pt idx="9">
                  <c:v>159.80531059084032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C9-4799-9BAF-67CEC0E3DAA2}"/>
            </c:ext>
          </c:extLst>
        </c:ser>
        <c:ser>
          <c:idx val="1"/>
          <c:order val="1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Lbl>
              <c:idx val="5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7C9-4799-9BAF-67CEC0E3DA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'Analisis de Fuerzas'!$F$83:$F$92</c:f>
              <c:numCache>
                <c:formatCode>0.00</c:formatCode>
                <c:ptCount val="10"/>
                <c:pt idx="0">
                  <c:v>2</c:v>
                </c:pt>
                <c:pt idx="1">
                  <c:v>2.59375</c:v>
                </c:pt>
                <c:pt idx="2">
                  <c:v>3.1875</c:v>
                </c:pt>
                <c:pt idx="3">
                  <c:v>3.78125</c:v>
                </c:pt>
                <c:pt idx="4">
                  <c:v>4.375</c:v>
                </c:pt>
                <c:pt idx="5">
                  <c:v>4.96875</c:v>
                </c:pt>
                <c:pt idx="6">
                  <c:v>5.5625</c:v>
                </c:pt>
                <c:pt idx="7">
                  <c:v>6.15625</c:v>
                </c:pt>
                <c:pt idx="8">
                  <c:v>6.75</c:v>
                </c:pt>
                <c:pt idx="9">
                  <c:v>6.75</c:v>
                </c:pt>
              </c:numCache>
            </c:numRef>
          </c:xVal>
          <c:yVal>
            <c:numRef>
              <c:f>'Analisis de Fuerzas'!$G$83:$G$92</c:f>
              <c:numCache>
                <c:formatCode>0.00</c:formatCode>
                <c:ptCount val="10"/>
                <c:pt idx="0">
                  <c:v>159.80531059084032</c:v>
                </c:pt>
                <c:pt idx="1">
                  <c:v>159.80531059084032</c:v>
                </c:pt>
                <c:pt idx="2">
                  <c:v>159.80531059084032</c:v>
                </c:pt>
                <c:pt idx="3">
                  <c:v>159.80531059084032</c:v>
                </c:pt>
                <c:pt idx="4">
                  <c:v>159.80531059084032</c:v>
                </c:pt>
                <c:pt idx="5">
                  <c:v>159.80531059084032</c:v>
                </c:pt>
                <c:pt idx="6">
                  <c:v>159.80531059084032</c:v>
                </c:pt>
                <c:pt idx="7">
                  <c:v>159.80531059084032</c:v>
                </c:pt>
                <c:pt idx="8">
                  <c:v>159.80531059084032</c:v>
                </c:pt>
                <c:pt idx="9">
                  <c:v>159.80531059084032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C9-4799-9BAF-67CEC0E3DAA2}"/>
            </c:ext>
          </c:extLst>
        </c:ser>
        <c:ser>
          <c:idx val="2"/>
          <c:order val="2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'Analisis de Fuerzas'!$I$83:$I$92</c:f>
              <c:numCache>
                <c:formatCode>0.00</c:formatCode>
                <c:ptCount val="10"/>
                <c:pt idx="0">
                  <c:v>6.75</c:v>
                </c:pt>
                <c:pt idx="1">
                  <c:v>6.875</c:v>
                </c:pt>
                <c:pt idx="2">
                  <c:v>7</c:v>
                </c:pt>
                <c:pt idx="3">
                  <c:v>7.125</c:v>
                </c:pt>
                <c:pt idx="4">
                  <c:v>7.25</c:v>
                </c:pt>
                <c:pt idx="5">
                  <c:v>7.375</c:v>
                </c:pt>
                <c:pt idx="6">
                  <c:v>7.5</c:v>
                </c:pt>
                <c:pt idx="7">
                  <c:v>7.625</c:v>
                </c:pt>
                <c:pt idx="8">
                  <c:v>7.75</c:v>
                </c:pt>
                <c:pt idx="9">
                  <c:v>7.75</c:v>
                </c:pt>
              </c:numCache>
            </c:numRef>
          </c:xVal>
          <c:yVal>
            <c:numRef>
              <c:f>'Analisis de Fuerzas'!$J$83:$J$92</c:f>
              <c:numCache>
                <c:formatCode>0.00</c:formatCode>
                <c:ptCount val="10"/>
                <c:pt idx="0">
                  <c:v>159.80531059084032</c:v>
                </c:pt>
                <c:pt idx="1">
                  <c:v>159.80531059084032</c:v>
                </c:pt>
                <c:pt idx="2">
                  <c:v>159.80531059084032</c:v>
                </c:pt>
                <c:pt idx="3">
                  <c:v>159.80531059084032</c:v>
                </c:pt>
                <c:pt idx="4">
                  <c:v>159.80531059084032</c:v>
                </c:pt>
                <c:pt idx="5">
                  <c:v>159.80531059084032</c:v>
                </c:pt>
                <c:pt idx="6">
                  <c:v>159.80531059084032</c:v>
                </c:pt>
                <c:pt idx="7">
                  <c:v>159.80531059084032</c:v>
                </c:pt>
                <c:pt idx="8">
                  <c:v>159.80531059084032</c:v>
                </c:pt>
                <c:pt idx="9">
                  <c:v>-724.99834836299556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C9-4799-9BAF-67CEC0E3DAA2}"/>
            </c:ext>
          </c:extLst>
        </c:ser>
        <c:ser>
          <c:idx val="3"/>
          <c:order val="3"/>
          <c:spPr>
            <a:ln w="19050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'Analisis de Fuerzas'!$C$95:$C$104</c:f>
              <c:numCache>
                <c:formatCode>0.00</c:formatCode>
                <c:ptCount val="10"/>
                <c:pt idx="0">
                  <c:v>7.75</c:v>
                </c:pt>
                <c:pt idx="1">
                  <c:v>7.875</c:v>
                </c:pt>
                <c:pt idx="2">
                  <c:v>8</c:v>
                </c:pt>
                <c:pt idx="3">
                  <c:v>8.125</c:v>
                </c:pt>
                <c:pt idx="4">
                  <c:v>8.25</c:v>
                </c:pt>
                <c:pt idx="5">
                  <c:v>8.375</c:v>
                </c:pt>
                <c:pt idx="6">
                  <c:v>8.5</c:v>
                </c:pt>
                <c:pt idx="7">
                  <c:v>8.625</c:v>
                </c:pt>
                <c:pt idx="8">
                  <c:v>8.75</c:v>
                </c:pt>
                <c:pt idx="9">
                  <c:v>8.75</c:v>
                </c:pt>
              </c:numCache>
            </c:numRef>
          </c:xVal>
          <c:yVal>
            <c:numRef>
              <c:f>'Analisis de Fuerzas'!$D$95:$D$104</c:f>
              <c:numCache>
                <c:formatCode>0.00</c:formatCode>
                <c:ptCount val="10"/>
                <c:pt idx="0">
                  <c:v>-724.99834836299556</c:v>
                </c:pt>
                <c:pt idx="1">
                  <c:v>-724.99834836299556</c:v>
                </c:pt>
                <c:pt idx="2">
                  <c:v>-724.99834836299556</c:v>
                </c:pt>
                <c:pt idx="3">
                  <c:v>-724.99834836299556</c:v>
                </c:pt>
                <c:pt idx="4">
                  <c:v>-724.99834836299556</c:v>
                </c:pt>
                <c:pt idx="5">
                  <c:v>-724.99834836299556</c:v>
                </c:pt>
                <c:pt idx="6">
                  <c:v>-724.99834836299556</c:v>
                </c:pt>
                <c:pt idx="7">
                  <c:v>-724.99834836299556</c:v>
                </c:pt>
                <c:pt idx="8">
                  <c:v>-724.99834836299556</c:v>
                </c:pt>
                <c:pt idx="9">
                  <c:v>-724.99834836299556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7C9-4799-9BAF-67CEC0E3DAA2}"/>
            </c:ext>
          </c:extLst>
        </c:ser>
        <c:ser>
          <c:idx val="4"/>
          <c:order val="4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7C9-4799-9BAF-67CEC0E3DA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'Analisis de Fuerzas'!$F$95:$F$104</c:f>
              <c:numCache>
                <c:formatCode>0.00</c:formatCode>
                <c:ptCount val="10"/>
                <c:pt idx="0">
                  <c:v>8.75</c:v>
                </c:pt>
                <c:pt idx="1">
                  <c:v>8.90625</c:v>
                </c:pt>
                <c:pt idx="2">
                  <c:v>9.0625</c:v>
                </c:pt>
                <c:pt idx="3">
                  <c:v>9.21875</c:v>
                </c:pt>
                <c:pt idx="4">
                  <c:v>9.375</c:v>
                </c:pt>
                <c:pt idx="5">
                  <c:v>9.53125</c:v>
                </c:pt>
                <c:pt idx="6">
                  <c:v>9.6875</c:v>
                </c:pt>
                <c:pt idx="7">
                  <c:v>9.84375</c:v>
                </c:pt>
                <c:pt idx="8">
                  <c:v>10</c:v>
                </c:pt>
                <c:pt idx="9">
                  <c:v>10</c:v>
                </c:pt>
              </c:numCache>
            </c:numRef>
          </c:xVal>
          <c:yVal>
            <c:numRef>
              <c:f>'Analisis de Fuerzas'!$G$95:$G$104</c:f>
              <c:numCache>
                <c:formatCode>0.00</c:formatCode>
                <c:ptCount val="10"/>
                <c:pt idx="0">
                  <c:v>-724.99834836299556</c:v>
                </c:pt>
                <c:pt idx="1">
                  <c:v>-724.99834836299556</c:v>
                </c:pt>
                <c:pt idx="2">
                  <c:v>-724.99834836299556</c:v>
                </c:pt>
                <c:pt idx="3">
                  <c:v>-724.99834836299556</c:v>
                </c:pt>
                <c:pt idx="4">
                  <c:v>-724.99834836299556</c:v>
                </c:pt>
                <c:pt idx="5">
                  <c:v>-724.99834836299556</c:v>
                </c:pt>
                <c:pt idx="6">
                  <c:v>-724.99834836299556</c:v>
                </c:pt>
                <c:pt idx="7">
                  <c:v>-724.99834836299556</c:v>
                </c:pt>
                <c:pt idx="8">
                  <c:v>-724.99834836299556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7C9-4799-9BAF-67CEC0E3DAA2}"/>
            </c:ext>
          </c:extLst>
        </c:ser>
        <c:ser>
          <c:idx val="5"/>
          <c:order val="5"/>
          <c:spPr>
            <a:ln w="19050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'Analisis de Fuerzas'!$I$95:$I$103</c:f>
              <c:numCache>
                <c:formatCode>0.00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</c:numCache>
            </c:numRef>
          </c:xVal>
          <c:yVal>
            <c:numRef>
              <c:f>'Analisis de Fuerzas'!$J$95:$J$103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7C9-4799-9BAF-67CEC0E3D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696160"/>
        <c:axId val="1651696576"/>
      </c:scatterChart>
      <c:valAx>
        <c:axId val="1651696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51696576"/>
        <c:crosses val="autoZero"/>
        <c:crossBetween val="midCat"/>
      </c:valAx>
      <c:valAx>
        <c:axId val="165169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51696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Momento Flector XY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'Analisis de Fuerzas'!$C$83:$C$91</c:f>
              <c:numCache>
                <c:formatCode>0.00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xVal>
          <c:yVal>
            <c:numRef>
              <c:f>'Analisis de Fuerzas'!$E$83:$E$91</c:f>
              <c:numCache>
                <c:formatCode>0.00</c:formatCode>
                <c:ptCount val="9"/>
                <c:pt idx="0">
                  <c:v>0</c:v>
                </c:pt>
                <c:pt idx="1">
                  <c:v>89.045718489925974</c:v>
                </c:pt>
                <c:pt idx="2">
                  <c:v>178.09143697985195</c:v>
                </c:pt>
                <c:pt idx="3">
                  <c:v>267.13715546977789</c:v>
                </c:pt>
                <c:pt idx="4">
                  <c:v>356.1828739597039</c:v>
                </c:pt>
                <c:pt idx="5">
                  <c:v>445.2285924496299</c:v>
                </c:pt>
                <c:pt idx="6">
                  <c:v>534.27431093955579</c:v>
                </c:pt>
                <c:pt idx="7">
                  <c:v>623.32002942948179</c:v>
                </c:pt>
                <c:pt idx="8">
                  <c:v>712.3657479194078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AB-461F-8CC5-79CD6CB5F6FD}"/>
            </c:ext>
          </c:extLst>
        </c:ser>
        <c:ser>
          <c:idx val="1"/>
          <c:order val="1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CAB-461F-8CC5-79CD6CB5F6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'Analisis de Fuerzas'!$F$83:$F$91</c:f>
              <c:numCache>
                <c:formatCode>0.00</c:formatCode>
                <c:ptCount val="9"/>
                <c:pt idx="0">
                  <c:v>2</c:v>
                </c:pt>
                <c:pt idx="1">
                  <c:v>2.59375</c:v>
                </c:pt>
                <c:pt idx="2">
                  <c:v>3.1875</c:v>
                </c:pt>
                <c:pt idx="3">
                  <c:v>3.78125</c:v>
                </c:pt>
                <c:pt idx="4">
                  <c:v>4.375</c:v>
                </c:pt>
                <c:pt idx="5">
                  <c:v>4.96875</c:v>
                </c:pt>
                <c:pt idx="6">
                  <c:v>5.5625</c:v>
                </c:pt>
                <c:pt idx="7">
                  <c:v>6.15625</c:v>
                </c:pt>
                <c:pt idx="8">
                  <c:v>6.75</c:v>
                </c:pt>
              </c:numCache>
            </c:numRef>
          </c:xVal>
          <c:yVal>
            <c:numRef>
              <c:f>'Analisis de Fuerzas'!$H$83:$H$91</c:f>
              <c:numCache>
                <c:formatCode>0.00</c:formatCode>
                <c:ptCount val="9"/>
                <c:pt idx="0">
                  <c:v>712.3657479194078</c:v>
                </c:pt>
                <c:pt idx="1">
                  <c:v>807.25015108271919</c:v>
                </c:pt>
                <c:pt idx="2">
                  <c:v>902.13455424603058</c:v>
                </c:pt>
                <c:pt idx="3">
                  <c:v>997.01895740934208</c:v>
                </c:pt>
                <c:pt idx="4">
                  <c:v>1091.9033605726536</c:v>
                </c:pt>
                <c:pt idx="5">
                  <c:v>1186.7877637359652</c:v>
                </c:pt>
                <c:pt idx="6">
                  <c:v>1281.6721668992764</c:v>
                </c:pt>
                <c:pt idx="7">
                  <c:v>1376.556570062588</c:v>
                </c:pt>
                <c:pt idx="8">
                  <c:v>1471.4409732258991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AB-461F-8CC5-79CD6CB5F6FD}"/>
            </c:ext>
          </c:extLst>
        </c:ser>
        <c:ser>
          <c:idx val="2"/>
          <c:order val="2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0387575482495955"/>
                  <c:y val="-4.81781915182086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CAB-461F-8CC5-79CD6CB5F6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'Analisis de Fuerzas'!$I$83:$I$91</c:f>
              <c:numCache>
                <c:formatCode>0.00</c:formatCode>
                <c:ptCount val="9"/>
                <c:pt idx="0">
                  <c:v>6.75</c:v>
                </c:pt>
                <c:pt idx="1">
                  <c:v>6.875</c:v>
                </c:pt>
                <c:pt idx="2">
                  <c:v>7</c:v>
                </c:pt>
                <c:pt idx="3">
                  <c:v>7.125</c:v>
                </c:pt>
                <c:pt idx="4">
                  <c:v>7.25</c:v>
                </c:pt>
                <c:pt idx="5">
                  <c:v>7.375</c:v>
                </c:pt>
                <c:pt idx="6">
                  <c:v>7.5</c:v>
                </c:pt>
                <c:pt idx="7">
                  <c:v>7.625</c:v>
                </c:pt>
                <c:pt idx="8">
                  <c:v>7.75</c:v>
                </c:pt>
              </c:numCache>
            </c:numRef>
          </c:xVal>
          <c:yVal>
            <c:numRef>
              <c:f>'Analisis de Fuerzas'!$K$83:$K$91</c:f>
              <c:numCache>
                <c:formatCode>0.00</c:formatCode>
                <c:ptCount val="9"/>
                <c:pt idx="0">
                  <c:v>1471.4409732258991</c:v>
                </c:pt>
                <c:pt idx="1">
                  <c:v>1491.4166370497542</c:v>
                </c:pt>
                <c:pt idx="2">
                  <c:v>1511.3923008736092</c:v>
                </c:pt>
                <c:pt idx="3">
                  <c:v>1531.3679646974642</c:v>
                </c:pt>
                <c:pt idx="4">
                  <c:v>1551.3436285213195</c:v>
                </c:pt>
                <c:pt idx="5">
                  <c:v>1571.3192923451745</c:v>
                </c:pt>
                <c:pt idx="6">
                  <c:v>1591.2949561690295</c:v>
                </c:pt>
                <c:pt idx="7">
                  <c:v>1611.2706199928846</c:v>
                </c:pt>
                <c:pt idx="8">
                  <c:v>1631.2462838167396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AB-461F-8CC5-79CD6CB5F6FD}"/>
            </c:ext>
          </c:extLst>
        </c:ser>
        <c:ser>
          <c:idx val="3"/>
          <c:order val="3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CAB-461F-8CC5-79CD6CB5F6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'Analisis de Fuerzas'!$C$95:$C$103</c:f>
              <c:numCache>
                <c:formatCode>0.00</c:formatCode>
                <c:ptCount val="9"/>
                <c:pt idx="0">
                  <c:v>7.75</c:v>
                </c:pt>
                <c:pt idx="1">
                  <c:v>7.875</c:v>
                </c:pt>
                <c:pt idx="2">
                  <c:v>8</c:v>
                </c:pt>
                <c:pt idx="3">
                  <c:v>8.125</c:v>
                </c:pt>
                <c:pt idx="4">
                  <c:v>8.25</c:v>
                </c:pt>
                <c:pt idx="5">
                  <c:v>8.375</c:v>
                </c:pt>
                <c:pt idx="6">
                  <c:v>8.5</c:v>
                </c:pt>
                <c:pt idx="7">
                  <c:v>8.625</c:v>
                </c:pt>
                <c:pt idx="8">
                  <c:v>8.75</c:v>
                </c:pt>
              </c:numCache>
            </c:numRef>
          </c:xVal>
          <c:yVal>
            <c:numRef>
              <c:f>'Analisis de Fuerzas'!$E$95:$E$103</c:f>
              <c:numCache>
                <c:formatCode>0.00</c:formatCode>
                <c:ptCount val="9"/>
                <c:pt idx="0">
                  <c:v>1631.2462838167396</c:v>
                </c:pt>
                <c:pt idx="1">
                  <c:v>1540.6214902713652</c:v>
                </c:pt>
                <c:pt idx="2">
                  <c:v>1449.9966967259907</c:v>
                </c:pt>
                <c:pt idx="3">
                  <c:v>1359.3719031806163</c:v>
                </c:pt>
                <c:pt idx="4">
                  <c:v>1268.7471096352417</c:v>
                </c:pt>
                <c:pt idx="5">
                  <c:v>1178.1223160898676</c:v>
                </c:pt>
                <c:pt idx="6">
                  <c:v>1087.4975225444932</c:v>
                </c:pt>
                <c:pt idx="7">
                  <c:v>996.87272899911864</c:v>
                </c:pt>
                <c:pt idx="8">
                  <c:v>906.24793545374416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AB-461F-8CC5-79CD6CB5F6FD}"/>
            </c:ext>
          </c:extLst>
        </c:ser>
        <c:ser>
          <c:idx val="4"/>
          <c:order val="4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7909556950090557E-2"/>
                  <c:y val="-6.1953202563525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CAB-461F-8CC5-79CD6CB5F6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'Analisis de Fuerzas'!$F$95:$F$103</c:f>
              <c:numCache>
                <c:formatCode>0.00</c:formatCode>
                <c:ptCount val="9"/>
                <c:pt idx="0">
                  <c:v>8.75</c:v>
                </c:pt>
                <c:pt idx="1">
                  <c:v>8.90625</c:v>
                </c:pt>
                <c:pt idx="2">
                  <c:v>9.0625</c:v>
                </c:pt>
                <c:pt idx="3">
                  <c:v>9.21875</c:v>
                </c:pt>
                <c:pt idx="4">
                  <c:v>9.375</c:v>
                </c:pt>
                <c:pt idx="5">
                  <c:v>9.53125</c:v>
                </c:pt>
                <c:pt idx="6">
                  <c:v>9.6875</c:v>
                </c:pt>
                <c:pt idx="7">
                  <c:v>9.84375</c:v>
                </c:pt>
                <c:pt idx="8">
                  <c:v>10</c:v>
                </c:pt>
              </c:numCache>
            </c:numRef>
          </c:xVal>
          <c:yVal>
            <c:numRef>
              <c:f>'Analisis de Fuerzas'!$H$95:$H$103</c:f>
              <c:numCache>
                <c:formatCode>0.00</c:formatCode>
                <c:ptCount val="9"/>
                <c:pt idx="0">
                  <c:v>906.24793545374416</c:v>
                </c:pt>
                <c:pt idx="1">
                  <c:v>792.96694352202587</c:v>
                </c:pt>
                <c:pt idx="2">
                  <c:v>679.68595159030792</c:v>
                </c:pt>
                <c:pt idx="3">
                  <c:v>566.40495965858963</c:v>
                </c:pt>
                <c:pt idx="4">
                  <c:v>453.1239677268718</c:v>
                </c:pt>
                <c:pt idx="5">
                  <c:v>339.84297579515373</c:v>
                </c:pt>
                <c:pt idx="6">
                  <c:v>226.5619838634359</c:v>
                </c:pt>
                <c:pt idx="7">
                  <c:v>113.28099193171761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CAB-461F-8CC5-79CD6CB5F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5555280"/>
        <c:axId val="1645552784"/>
      </c:scatterChart>
      <c:valAx>
        <c:axId val="164555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45552784"/>
        <c:crosses val="autoZero"/>
        <c:crossBetween val="midCat"/>
      </c:valAx>
      <c:valAx>
        <c:axId val="164555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45555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Cortante XZ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815A-47D1-AFD2-EB40A47AB2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'Analisis de Fuerzas'!$C$158:$C$167</c:f>
              <c:numCache>
                <c:formatCode>0.00</c:formatCode>
                <c:ptCount val="1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</c:v>
                </c:pt>
              </c:numCache>
            </c:numRef>
          </c:xVal>
          <c:yVal>
            <c:numRef>
              <c:f>'Analisis de Fuerzas'!$D$158:$D$167</c:f>
              <c:numCache>
                <c:formatCode>0.00</c:formatCode>
                <c:ptCount val="10"/>
                <c:pt idx="0">
                  <c:v>115.33572973118362</c:v>
                </c:pt>
                <c:pt idx="1">
                  <c:v>115.33572973118362</c:v>
                </c:pt>
                <c:pt idx="2">
                  <c:v>115.33572973118362</c:v>
                </c:pt>
                <c:pt idx="3">
                  <c:v>115.33572973118362</c:v>
                </c:pt>
                <c:pt idx="4">
                  <c:v>115.33572973118362</c:v>
                </c:pt>
                <c:pt idx="5">
                  <c:v>115.33572973118362</c:v>
                </c:pt>
                <c:pt idx="6">
                  <c:v>115.33572973118362</c:v>
                </c:pt>
                <c:pt idx="7">
                  <c:v>115.33572973118362</c:v>
                </c:pt>
                <c:pt idx="8">
                  <c:v>115.33572973118362</c:v>
                </c:pt>
                <c:pt idx="9">
                  <c:v>654.87865077465551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5A-47D1-AFD2-EB40A47AB249}"/>
            </c:ext>
          </c:extLst>
        </c:ser>
        <c:ser>
          <c:idx val="1"/>
          <c:order val="1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Lbl>
              <c:idx val="5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815A-47D1-AFD2-EB40A47AB2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'Analisis de Fuerzas'!$F$158:$F$167</c:f>
              <c:numCache>
                <c:formatCode>0.00</c:formatCode>
                <c:ptCount val="10"/>
                <c:pt idx="0">
                  <c:v>2</c:v>
                </c:pt>
                <c:pt idx="1">
                  <c:v>2.59375</c:v>
                </c:pt>
                <c:pt idx="2">
                  <c:v>3.1875</c:v>
                </c:pt>
                <c:pt idx="3">
                  <c:v>3.78125</c:v>
                </c:pt>
                <c:pt idx="4">
                  <c:v>4.375</c:v>
                </c:pt>
                <c:pt idx="5">
                  <c:v>4.96875</c:v>
                </c:pt>
                <c:pt idx="6">
                  <c:v>5.5625</c:v>
                </c:pt>
                <c:pt idx="7">
                  <c:v>6.15625</c:v>
                </c:pt>
                <c:pt idx="8">
                  <c:v>6.75</c:v>
                </c:pt>
                <c:pt idx="9">
                  <c:v>6.75</c:v>
                </c:pt>
              </c:numCache>
            </c:numRef>
          </c:xVal>
          <c:yVal>
            <c:numRef>
              <c:f>'Analisis de Fuerzas'!$G$158:$G$167</c:f>
              <c:numCache>
                <c:formatCode>0.00</c:formatCode>
                <c:ptCount val="10"/>
                <c:pt idx="0">
                  <c:v>654.87865077465551</c:v>
                </c:pt>
                <c:pt idx="1">
                  <c:v>654.87865077465551</c:v>
                </c:pt>
                <c:pt idx="2">
                  <c:v>654.87865077465551</c:v>
                </c:pt>
                <c:pt idx="3">
                  <c:v>654.87865077465551</c:v>
                </c:pt>
                <c:pt idx="4">
                  <c:v>654.87865077465551</c:v>
                </c:pt>
                <c:pt idx="5">
                  <c:v>654.87865077465551</c:v>
                </c:pt>
                <c:pt idx="6">
                  <c:v>654.87865077465551</c:v>
                </c:pt>
                <c:pt idx="7">
                  <c:v>654.87865077465551</c:v>
                </c:pt>
                <c:pt idx="8">
                  <c:v>654.87865077465551</c:v>
                </c:pt>
                <c:pt idx="9">
                  <c:v>654.87865077465551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15A-47D1-AFD2-EB40A47AB249}"/>
            </c:ext>
          </c:extLst>
        </c:ser>
        <c:ser>
          <c:idx val="2"/>
          <c:order val="2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'Analisis de Fuerzas'!$I$158:$I$167</c:f>
              <c:numCache>
                <c:formatCode>0.00</c:formatCode>
                <c:ptCount val="10"/>
                <c:pt idx="0">
                  <c:v>6.75</c:v>
                </c:pt>
                <c:pt idx="1">
                  <c:v>6.875</c:v>
                </c:pt>
                <c:pt idx="2">
                  <c:v>7</c:v>
                </c:pt>
                <c:pt idx="3">
                  <c:v>7.125</c:v>
                </c:pt>
                <c:pt idx="4">
                  <c:v>7.25</c:v>
                </c:pt>
                <c:pt idx="5">
                  <c:v>7.375</c:v>
                </c:pt>
                <c:pt idx="6">
                  <c:v>7.5</c:v>
                </c:pt>
                <c:pt idx="7">
                  <c:v>7.625</c:v>
                </c:pt>
                <c:pt idx="8">
                  <c:v>7.75</c:v>
                </c:pt>
                <c:pt idx="9">
                  <c:v>7.75</c:v>
                </c:pt>
              </c:numCache>
            </c:numRef>
          </c:xVal>
          <c:yVal>
            <c:numRef>
              <c:f>'Analisis de Fuerzas'!$J$158:$J$167</c:f>
              <c:numCache>
                <c:formatCode>0.00</c:formatCode>
                <c:ptCount val="10"/>
                <c:pt idx="0">
                  <c:v>654.87865077465551</c:v>
                </c:pt>
                <c:pt idx="1">
                  <c:v>654.87865077465551</c:v>
                </c:pt>
                <c:pt idx="2">
                  <c:v>654.87865077465551</c:v>
                </c:pt>
                <c:pt idx="3">
                  <c:v>654.87865077465551</c:v>
                </c:pt>
                <c:pt idx="4">
                  <c:v>654.87865077465551</c:v>
                </c:pt>
                <c:pt idx="5">
                  <c:v>654.87865077465551</c:v>
                </c:pt>
                <c:pt idx="6">
                  <c:v>654.87865077465551</c:v>
                </c:pt>
                <c:pt idx="7">
                  <c:v>654.87865077465551</c:v>
                </c:pt>
                <c:pt idx="8">
                  <c:v>654.87865077465551</c:v>
                </c:pt>
                <c:pt idx="9">
                  <c:v>-1776.0994228518375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15A-47D1-AFD2-EB40A47AB249}"/>
            </c:ext>
          </c:extLst>
        </c:ser>
        <c:ser>
          <c:idx val="3"/>
          <c:order val="3"/>
          <c:spPr>
            <a:ln w="19050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'Analisis de Fuerzas'!$C$170:$C$179</c:f>
              <c:numCache>
                <c:formatCode>0.00</c:formatCode>
                <c:ptCount val="10"/>
                <c:pt idx="0">
                  <c:v>7.75</c:v>
                </c:pt>
                <c:pt idx="1">
                  <c:v>7.875</c:v>
                </c:pt>
                <c:pt idx="2">
                  <c:v>8</c:v>
                </c:pt>
                <c:pt idx="3">
                  <c:v>8.125</c:v>
                </c:pt>
                <c:pt idx="4">
                  <c:v>8.25</c:v>
                </c:pt>
                <c:pt idx="5">
                  <c:v>8.375</c:v>
                </c:pt>
                <c:pt idx="6">
                  <c:v>8.5</c:v>
                </c:pt>
                <c:pt idx="7">
                  <c:v>8.625</c:v>
                </c:pt>
                <c:pt idx="8">
                  <c:v>8.75</c:v>
                </c:pt>
                <c:pt idx="9">
                  <c:v>8.75</c:v>
                </c:pt>
              </c:numCache>
            </c:numRef>
          </c:xVal>
          <c:yVal>
            <c:numRef>
              <c:f>'Analisis de Fuerzas'!$D$170:$D$179</c:f>
              <c:numCache>
                <c:formatCode>0.00</c:formatCode>
                <c:ptCount val="10"/>
                <c:pt idx="0">
                  <c:v>-1776.0994228518375</c:v>
                </c:pt>
                <c:pt idx="1">
                  <c:v>-1776.0994228518375</c:v>
                </c:pt>
                <c:pt idx="2">
                  <c:v>-1776.0994228518375</c:v>
                </c:pt>
                <c:pt idx="3">
                  <c:v>-1776.0994228518375</c:v>
                </c:pt>
                <c:pt idx="4">
                  <c:v>-1776.0994228518375</c:v>
                </c:pt>
                <c:pt idx="5">
                  <c:v>-1776.0994228518375</c:v>
                </c:pt>
                <c:pt idx="6">
                  <c:v>-1776.0994228518375</c:v>
                </c:pt>
                <c:pt idx="7">
                  <c:v>-1776.0994228518375</c:v>
                </c:pt>
                <c:pt idx="8">
                  <c:v>-1776.0994228518375</c:v>
                </c:pt>
                <c:pt idx="9">
                  <c:v>-1776.0994228518375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15A-47D1-AFD2-EB40A47AB249}"/>
            </c:ext>
          </c:extLst>
        </c:ser>
        <c:ser>
          <c:idx val="4"/>
          <c:order val="4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Lbl>
              <c:idx val="2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815A-47D1-AFD2-EB40A47AB2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'Analisis de Fuerzas'!$F$170:$F$179</c:f>
              <c:numCache>
                <c:formatCode>0.00</c:formatCode>
                <c:ptCount val="10"/>
                <c:pt idx="0">
                  <c:v>8.75</c:v>
                </c:pt>
                <c:pt idx="1">
                  <c:v>8.90625</c:v>
                </c:pt>
                <c:pt idx="2">
                  <c:v>9.0625</c:v>
                </c:pt>
                <c:pt idx="3">
                  <c:v>9.21875</c:v>
                </c:pt>
                <c:pt idx="4">
                  <c:v>9.375</c:v>
                </c:pt>
                <c:pt idx="5">
                  <c:v>9.53125</c:v>
                </c:pt>
                <c:pt idx="6">
                  <c:v>9.6875</c:v>
                </c:pt>
                <c:pt idx="7">
                  <c:v>9.84375</c:v>
                </c:pt>
                <c:pt idx="8">
                  <c:v>10</c:v>
                </c:pt>
                <c:pt idx="9">
                  <c:v>10</c:v>
                </c:pt>
              </c:numCache>
            </c:numRef>
          </c:xVal>
          <c:yVal>
            <c:numRef>
              <c:f>'Analisis de Fuerzas'!$G$170:$G$179</c:f>
              <c:numCache>
                <c:formatCode>0.00</c:formatCode>
                <c:ptCount val="10"/>
                <c:pt idx="0">
                  <c:v>-1776.0994228518375</c:v>
                </c:pt>
                <c:pt idx="1">
                  <c:v>-1776.0994228518375</c:v>
                </c:pt>
                <c:pt idx="2">
                  <c:v>-1776.0994228518375</c:v>
                </c:pt>
                <c:pt idx="3">
                  <c:v>-1776.0994228518375</c:v>
                </c:pt>
                <c:pt idx="4">
                  <c:v>-1776.0994228518375</c:v>
                </c:pt>
                <c:pt idx="5">
                  <c:v>-1776.0994228518375</c:v>
                </c:pt>
                <c:pt idx="6">
                  <c:v>-1776.0994228518375</c:v>
                </c:pt>
                <c:pt idx="7">
                  <c:v>-1776.0994228518375</c:v>
                </c:pt>
                <c:pt idx="8">
                  <c:v>-1776.0994228518375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15A-47D1-AFD2-EB40A47AB249}"/>
            </c:ext>
          </c:extLst>
        </c:ser>
        <c:ser>
          <c:idx val="5"/>
          <c:order val="5"/>
          <c:spPr>
            <a:ln w="19050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'Analisis de Fuerzas'!$I$170:$I$178</c:f>
              <c:numCache>
                <c:formatCode>0.00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</c:numCache>
            </c:numRef>
          </c:xVal>
          <c:yVal>
            <c:numRef>
              <c:f>'Analisis de Fuerzas'!$J$170:$J$178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15A-47D1-AFD2-EB40A47AB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696160"/>
        <c:axId val="1651696576"/>
      </c:scatterChart>
      <c:valAx>
        <c:axId val="1651696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51696576"/>
        <c:crosses val="autoZero"/>
        <c:crossBetween val="midCat"/>
      </c:valAx>
      <c:valAx>
        <c:axId val="165169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51696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Momento Flector XZ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'Analisis de Fuerzas'!$C$158:$C$166</c:f>
              <c:numCache>
                <c:formatCode>0.00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xVal>
          <c:yVal>
            <c:numRef>
              <c:f>'Analisis de Fuerzas'!$E$158:$E$166</c:f>
              <c:numCache>
                <c:formatCode>0.00</c:formatCode>
                <c:ptCount val="9"/>
                <c:pt idx="0">
                  <c:v>0</c:v>
                </c:pt>
                <c:pt idx="1">
                  <c:v>28.833932432795905</c:v>
                </c:pt>
                <c:pt idx="2">
                  <c:v>57.66786486559181</c:v>
                </c:pt>
                <c:pt idx="3">
                  <c:v>86.501797298387714</c:v>
                </c:pt>
                <c:pt idx="4">
                  <c:v>115.33572973118362</c:v>
                </c:pt>
                <c:pt idx="5">
                  <c:v>144.16966216397952</c:v>
                </c:pt>
                <c:pt idx="6">
                  <c:v>173.00359459677543</c:v>
                </c:pt>
                <c:pt idx="7">
                  <c:v>201.83752702957133</c:v>
                </c:pt>
                <c:pt idx="8">
                  <c:v>230.67145946236724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21C-487E-85CD-EBD125511D7E}"/>
            </c:ext>
          </c:extLst>
        </c:ser>
        <c:ser>
          <c:idx val="1"/>
          <c:order val="1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7.803388106107452E-2"/>
                  <c:y val="-8.491152360605805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421C-487E-85CD-EBD125511D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'Analisis de Fuerzas'!$F$158:$F$166</c:f>
              <c:numCache>
                <c:formatCode>0.00</c:formatCode>
                <c:ptCount val="9"/>
                <c:pt idx="0">
                  <c:v>2</c:v>
                </c:pt>
                <c:pt idx="1">
                  <c:v>2.59375</c:v>
                </c:pt>
                <c:pt idx="2">
                  <c:v>3.1875</c:v>
                </c:pt>
                <c:pt idx="3">
                  <c:v>3.78125</c:v>
                </c:pt>
                <c:pt idx="4">
                  <c:v>4.375</c:v>
                </c:pt>
                <c:pt idx="5">
                  <c:v>4.96875</c:v>
                </c:pt>
                <c:pt idx="6">
                  <c:v>5.5625</c:v>
                </c:pt>
                <c:pt idx="7">
                  <c:v>6.15625</c:v>
                </c:pt>
                <c:pt idx="8">
                  <c:v>6.75</c:v>
                </c:pt>
              </c:numCache>
            </c:numRef>
          </c:xVal>
          <c:yVal>
            <c:numRef>
              <c:f>'Analisis de Fuerzas'!$H$158:$H$166</c:f>
              <c:numCache>
                <c:formatCode>0.00</c:formatCode>
                <c:ptCount val="9"/>
                <c:pt idx="0">
                  <c:v>230.67145946236724</c:v>
                </c:pt>
                <c:pt idx="1">
                  <c:v>619.50565835981888</c:v>
                </c:pt>
                <c:pt idx="2">
                  <c:v>1008.3398572572706</c:v>
                </c:pt>
                <c:pt idx="3">
                  <c:v>1397.1740561547224</c:v>
                </c:pt>
                <c:pt idx="4">
                  <c:v>1786.008255052174</c:v>
                </c:pt>
                <c:pt idx="5">
                  <c:v>2174.8424539496259</c:v>
                </c:pt>
                <c:pt idx="6">
                  <c:v>2563.6766528470775</c:v>
                </c:pt>
                <c:pt idx="7">
                  <c:v>2952.5108517445292</c:v>
                </c:pt>
                <c:pt idx="8">
                  <c:v>3341.3450506419808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21C-487E-85CD-EBD125511D7E}"/>
            </c:ext>
          </c:extLst>
        </c:ser>
        <c:ser>
          <c:idx val="2"/>
          <c:order val="2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1779917818912185"/>
                  <c:y val="-7.11365175410783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421C-487E-85CD-EBD125511D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'Analisis de Fuerzas'!$I$158:$I$166</c:f>
              <c:numCache>
                <c:formatCode>0.00</c:formatCode>
                <c:ptCount val="9"/>
                <c:pt idx="0">
                  <c:v>6.75</c:v>
                </c:pt>
                <c:pt idx="1">
                  <c:v>6.875</c:v>
                </c:pt>
                <c:pt idx="2">
                  <c:v>7</c:v>
                </c:pt>
                <c:pt idx="3">
                  <c:v>7.125</c:v>
                </c:pt>
                <c:pt idx="4">
                  <c:v>7.25</c:v>
                </c:pt>
                <c:pt idx="5">
                  <c:v>7.375</c:v>
                </c:pt>
                <c:pt idx="6">
                  <c:v>7.5</c:v>
                </c:pt>
                <c:pt idx="7">
                  <c:v>7.625</c:v>
                </c:pt>
                <c:pt idx="8">
                  <c:v>7.75</c:v>
                </c:pt>
              </c:numCache>
            </c:numRef>
          </c:xVal>
          <c:yVal>
            <c:numRef>
              <c:f>'Analisis de Fuerzas'!$K$158:$K$166</c:f>
              <c:numCache>
                <c:formatCode>0.00</c:formatCode>
                <c:ptCount val="9"/>
                <c:pt idx="0">
                  <c:v>3341.3450506419808</c:v>
                </c:pt>
                <c:pt idx="1">
                  <c:v>3423.2048819888132</c:v>
                </c:pt>
                <c:pt idx="2">
                  <c:v>3505.0647133356447</c:v>
                </c:pt>
                <c:pt idx="3">
                  <c:v>3586.9245446824771</c:v>
                </c:pt>
                <c:pt idx="4">
                  <c:v>3668.7843760293085</c:v>
                </c:pt>
                <c:pt idx="5">
                  <c:v>3750.6442073761405</c:v>
                </c:pt>
                <c:pt idx="6">
                  <c:v>3832.5040387229728</c:v>
                </c:pt>
                <c:pt idx="7">
                  <c:v>3914.3638700698043</c:v>
                </c:pt>
                <c:pt idx="8">
                  <c:v>3996.2237014166367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21C-487E-85CD-EBD125511D7E}"/>
            </c:ext>
          </c:extLst>
        </c:ser>
        <c:ser>
          <c:idx val="3"/>
          <c:order val="3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421C-487E-85CD-EBD125511D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'Analisis de Fuerzas'!$C$170:$C$178</c:f>
              <c:numCache>
                <c:formatCode>0.00</c:formatCode>
                <c:ptCount val="9"/>
                <c:pt idx="0">
                  <c:v>7.75</c:v>
                </c:pt>
                <c:pt idx="1">
                  <c:v>7.875</c:v>
                </c:pt>
                <c:pt idx="2">
                  <c:v>8</c:v>
                </c:pt>
                <c:pt idx="3">
                  <c:v>8.125</c:v>
                </c:pt>
                <c:pt idx="4">
                  <c:v>8.25</c:v>
                </c:pt>
                <c:pt idx="5">
                  <c:v>8.375</c:v>
                </c:pt>
                <c:pt idx="6">
                  <c:v>8.5</c:v>
                </c:pt>
                <c:pt idx="7">
                  <c:v>8.625</c:v>
                </c:pt>
                <c:pt idx="8">
                  <c:v>8.75</c:v>
                </c:pt>
              </c:numCache>
            </c:numRef>
          </c:xVal>
          <c:yVal>
            <c:numRef>
              <c:f>'Analisis de Fuerzas'!$E$170:$E$178</c:f>
              <c:numCache>
                <c:formatCode>0.00</c:formatCode>
                <c:ptCount val="9"/>
                <c:pt idx="0">
                  <c:v>3996.2237014166367</c:v>
                </c:pt>
                <c:pt idx="1">
                  <c:v>3774.2112735601568</c:v>
                </c:pt>
                <c:pt idx="2">
                  <c:v>3552.1988457036773</c:v>
                </c:pt>
                <c:pt idx="3">
                  <c:v>3330.1864178471978</c:v>
                </c:pt>
                <c:pt idx="4">
                  <c:v>3108.1739899907179</c:v>
                </c:pt>
                <c:pt idx="5">
                  <c:v>2886.161562134238</c:v>
                </c:pt>
                <c:pt idx="6">
                  <c:v>2664.1491342777585</c:v>
                </c:pt>
                <c:pt idx="7">
                  <c:v>2442.1367064212791</c:v>
                </c:pt>
                <c:pt idx="8">
                  <c:v>2220.1242785647992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421C-487E-85CD-EBD125511D7E}"/>
            </c:ext>
          </c:extLst>
        </c:ser>
        <c:ser>
          <c:idx val="4"/>
          <c:order val="4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7.511632088338091E-3"/>
                  <c:y val="-7.11365175410783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421C-487E-85CD-EBD125511D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'Analisis de Fuerzas'!$F$170:$F$178</c:f>
              <c:numCache>
                <c:formatCode>0.00</c:formatCode>
                <c:ptCount val="9"/>
                <c:pt idx="0">
                  <c:v>8.75</c:v>
                </c:pt>
                <c:pt idx="1">
                  <c:v>8.90625</c:v>
                </c:pt>
                <c:pt idx="2">
                  <c:v>9.0625</c:v>
                </c:pt>
                <c:pt idx="3">
                  <c:v>9.21875</c:v>
                </c:pt>
                <c:pt idx="4">
                  <c:v>9.375</c:v>
                </c:pt>
                <c:pt idx="5">
                  <c:v>9.53125</c:v>
                </c:pt>
                <c:pt idx="6">
                  <c:v>9.6875</c:v>
                </c:pt>
                <c:pt idx="7">
                  <c:v>9.84375</c:v>
                </c:pt>
                <c:pt idx="8">
                  <c:v>10</c:v>
                </c:pt>
              </c:numCache>
            </c:numRef>
          </c:xVal>
          <c:yVal>
            <c:numRef>
              <c:f>'Analisis de Fuerzas'!$H$170:$H$178</c:f>
              <c:numCache>
                <c:formatCode>0.00</c:formatCode>
                <c:ptCount val="9"/>
                <c:pt idx="0">
                  <c:v>2220.1242785647992</c:v>
                </c:pt>
                <c:pt idx="1">
                  <c:v>1942.6087437441997</c:v>
                </c:pt>
                <c:pt idx="2">
                  <c:v>1665.0932089235998</c:v>
                </c:pt>
                <c:pt idx="3">
                  <c:v>1387.5776741030004</c:v>
                </c:pt>
                <c:pt idx="4">
                  <c:v>1110.0621392824005</c:v>
                </c:pt>
                <c:pt idx="5">
                  <c:v>832.54660446180151</c:v>
                </c:pt>
                <c:pt idx="6">
                  <c:v>555.03106964120161</c:v>
                </c:pt>
                <c:pt idx="7">
                  <c:v>277.51553482060172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421C-487E-85CD-EBD125511D7E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'Analisis de Fuerzas'!$I$170:$I$178</c:f>
              <c:numCache>
                <c:formatCode>0.00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</c:numCache>
            </c:numRef>
          </c:xVal>
          <c:yVal>
            <c:numRef>
              <c:f>'Analisis de Fuerzas'!$K$170:$K$178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421C-487E-85CD-EBD125511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5555280"/>
        <c:axId val="1645552784"/>
      </c:scatterChart>
      <c:valAx>
        <c:axId val="164555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45552784"/>
        <c:crosses val="autoZero"/>
        <c:crossBetween val="midCat"/>
      </c:valAx>
      <c:valAx>
        <c:axId val="164555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45555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tmp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4.png"/><Relationship Id="rId1" Type="http://schemas.openxmlformats.org/officeDocument/2006/relationships/image" Target="../media/image3.tmp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image" Target="../media/image5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409575</xdr:colOff>
      <xdr:row>3</xdr:row>
      <xdr:rowOff>171450</xdr:rowOff>
    </xdr:from>
    <xdr:to>
      <xdr:col>10</xdr:col>
      <xdr:colOff>176544</xdr:colOff>
      <xdr:row>14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BDC8C25-9E1B-4B31-AE24-632AD13E7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EBFFFF"/>
            </a:clrFrom>
            <a:clrTo>
              <a:srgbClr val="EBFFFF">
                <a:alpha val="0"/>
              </a:srgbClr>
            </a:clrTo>
          </a:clrChange>
          <a:duotone>
            <a:prstClr val="black"/>
            <a:schemeClr val="accent1">
              <a:lumMod val="20000"/>
              <a:lumOff val="80000"/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47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3575" y="762000"/>
          <a:ext cx="5862969" cy="1981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114299</xdr:colOff>
      <xdr:row>3</xdr:row>
      <xdr:rowOff>104775</xdr:rowOff>
    </xdr:from>
    <xdr:to>
      <xdr:col>7</xdr:col>
      <xdr:colOff>357518</xdr:colOff>
      <xdr:row>14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BEFB5C-031C-452F-BA21-1E9619474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EBFFFF"/>
            </a:clrFrom>
            <a:clrTo>
              <a:srgbClr val="EBFFFF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47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299" y="676275"/>
          <a:ext cx="5862969" cy="2095500"/>
        </a:xfrm>
        <a:prstGeom prst="rect">
          <a:avLst/>
        </a:prstGeom>
      </xdr:spPr>
    </xdr:pic>
    <xdr:clientData/>
  </xdr:twoCellAnchor>
  <xdr:twoCellAnchor editAs="oneCell">
    <xdr:from>
      <xdr:col>9</xdr:col>
      <xdr:colOff>295275</xdr:colOff>
      <xdr:row>6</xdr:row>
      <xdr:rowOff>19050</xdr:rowOff>
    </xdr:from>
    <xdr:to>
      <xdr:col>13</xdr:col>
      <xdr:colOff>695325</xdr:colOff>
      <xdr:row>10</xdr:row>
      <xdr:rowOff>180975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DB173C2-D0FC-45ED-A6EB-0A1873725C82}"/>
            </a:ext>
          </a:extLst>
        </xdr:cNvPr>
        <xdr:cNvPicPr/>
      </xdr:nvPicPr>
      <xdr:blipFill>
        <a:blip xmlns:r="http://schemas.openxmlformats.org/officeDocument/2006/relationships" r:embed="rId3">
          <a:clrChange>
            <a:clrFrom>
              <a:srgbClr val="D6DCE4"/>
            </a:clrFrom>
            <a:clrTo>
              <a:srgbClr val="D6DCE4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3275" y="1162050"/>
          <a:ext cx="3524250" cy="923925"/>
        </a:xfrm>
        <a:prstGeom prst="rect">
          <a:avLst/>
        </a:prstGeom>
      </xdr:spPr>
    </xdr:pic>
    <xdr:clientData/>
  </xdr:twoCellAnchor>
  <xdr:oneCellAnchor>
    <xdr:from>
      <xdr:col>19</xdr:col>
      <xdr:colOff>114299</xdr:colOff>
      <xdr:row>3</xdr:row>
      <xdr:rowOff>104775</xdr:rowOff>
    </xdr:from>
    <xdr:ext cx="5862969" cy="2095500"/>
    <xdr:pic>
      <xdr:nvPicPr>
        <xdr:cNvPr id="11" name="Imagen 10">
          <a:extLst>
            <a:ext uri="{FF2B5EF4-FFF2-40B4-BE49-F238E27FC236}">
              <a16:creationId xmlns:a16="http://schemas.microsoft.com/office/drawing/2014/main" id="{00C5530C-5922-4E16-959C-D50D7C3F8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EBFFFF"/>
            </a:clrFrom>
            <a:clrTo>
              <a:srgbClr val="EBFFFF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47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299" y="676275"/>
          <a:ext cx="5862969" cy="2095500"/>
        </a:xfrm>
        <a:prstGeom prst="rect">
          <a:avLst/>
        </a:prstGeom>
      </xdr:spPr>
    </xdr:pic>
    <xdr:clientData/>
  </xdr:oneCellAnchor>
  <xdr:oneCellAnchor>
    <xdr:from>
      <xdr:col>27</xdr:col>
      <xdr:colOff>295275</xdr:colOff>
      <xdr:row>6</xdr:row>
      <xdr:rowOff>19050</xdr:rowOff>
    </xdr:from>
    <xdr:ext cx="3524250" cy="923925"/>
    <xdr:pic>
      <xdr:nvPicPr>
        <xdr:cNvPr id="12" name="Imagen 11">
          <a:extLst>
            <a:ext uri="{FF2B5EF4-FFF2-40B4-BE49-F238E27FC236}">
              <a16:creationId xmlns:a16="http://schemas.microsoft.com/office/drawing/2014/main" id="{8C23FB1E-4270-4B77-9E87-799EEA58248F}"/>
            </a:ext>
          </a:extLst>
        </xdr:cNvPr>
        <xdr:cNvPicPr/>
      </xdr:nvPicPr>
      <xdr:blipFill>
        <a:blip xmlns:r="http://schemas.openxmlformats.org/officeDocument/2006/relationships" r:embed="rId3">
          <a:clrChange>
            <a:clrFrom>
              <a:srgbClr val="D6DCE4"/>
            </a:clrFrom>
            <a:clrTo>
              <a:srgbClr val="D6DCE4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5" y="1162050"/>
          <a:ext cx="3524250" cy="923925"/>
        </a:xfrm>
        <a:prstGeom prst="rect">
          <a:avLst/>
        </a:prstGeom>
      </xdr:spPr>
    </xdr:pic>
    <xdr:clientData/>
  </xdr:oneCellAnchor>
  <xdr:oneCellAnchor>
    <xdr:from>
      <xdr:col>35</xdr:col>
      <xdr:colOff>114299</xdr:colOff>
      <xdr:row>3</xdr:row>
      <xdr:rowOff>104775</xdr:rowOff>
    </xdr:from>
    <xdr:ext cx="5862969" cy="2095500"/>
    <xdr:pic>
      <xdr:nvPicPr>
        <xdr:cNvPr id="13" name="Imagen 12">
          <a:extLst>
            <a:ext uri="{FF2B5EF4-FFF2-40B4-BE49-F238E27FC236}">
              <a16:creationId xmlns:a16="http://schemas.microsoft.com/office/drawing/2014/main" id="{049D5079-35C9-40C8-A196-566019BAC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EBFFFF"/>
            </a:clrFrom>
            <a:clrTo>
              <a:srgbClr val="EBFFFF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47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299" y="676275"/>
          <a:ext cx="5862969" cy="2095500"/>
        </a:xfrm>
        <a:prstGeom prst="rect">
          <a:avLst/>
        </a:prstGeom>
      </xdr:spPr>
    </xdr:pic>
    <xdr:clientData/>
  </xdr:oneCellAnchor>
  <xdr:oneCellAnchor>
    <xdr:from>
      <xdr:col>43</xdr:col>
      <xdr:colOff>295275</xdr:colOff>
      <xdr:row>6</xdr:row>
      <xdr:rowOff>19050</xdr:rowOff>
    </xdr:from>
    <xdr:ext cx="3524250" cy="923925"/>
    <xdr:pic>
      <xdr:nvPicPr>
        <xdr:cNvPr id="14" name="Imagen 13">
          <a:extLst>
            <a:ext uri="{FF2B5EF4-FFF2-40B4-BE49-F238E27FC236}">
              <a16:creationId xmlns:a16="http://schemas.microsoft.com/office/drawing/2014/main" id="{EEF6B84D-59E0-400E-8B61-C61C2880345D}"/>
            </a:ext>
          </a:extLst>
        </xdr:cNvPr>
        <xdr:cNvPicPr/>
      </xdr:nvPicPr>
      <xdr:blipFill>
        <a:blip xmlns:r="http://schemas.openxmlformats.org/officeDocument/2006/relationships" r:embed="rId3">
          <a:clrChange>
            <a:clrFrom>
              <a:srgbClr val="D6DCE4"/>
            </a:clrFrom>
            <a:clrTo>
              <a:srgbClr val="D6DCE4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5" y="1162050"/>
          <a:ext cx="3524250" cy="923925"/>
        </a:xfrm>
        <a:prstGeom prst="rect">
          <a:avLst/>
        </a:prstGeom>
      </xdr:spPr>
    </xdr:pic>
    <xdr:clientData/>
  </xdr:oneCellAnchor>
  <xdr:oneCellAnchor>
    <xdr:from>
      <xdr:col>51</xdr:col>
      <xdr:colOff>114299</xdr:colOff>
      <xdr:row>3</xdr:row>
      <xdr:rowOff>104775</xdr:rowOff>
    </xdr:from>
    <xdr:ext cx="5862969" cy="2095500"/>
    <xdr:pic>
      <xdr:nvPicPr>
        <xdr:cNvPr id="15" name="Imagen 14">
          <a:extLst>
            <a:ext uri="{FF2B5EF4-FFF2-40B4-BE49-F238E27FC236}">
              <a16:creationId xmlns:a16="http://schemas.microsoft.com/office/drawing/2014/main" id="{A54DCBBE-F66C-498B-A318-7A6659C28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EBFFFF"/>
            </a:clrFrom>
            <a:clrTo>
              <a:srgbClr val="EBFFFF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47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299" y="676275"/>
          <a:ext cx="5862969" cy="2095500"/>
        </a:xfrm>
        <a:prstGeom prst="rect">
          <a:avLst/>
        </a:prstGeom>
      </xdr:spPr>
    </xdr:pic>
    <xdr:clientData/>
  </xdr:oneCellAnchor>
  <xdr:oneCellAnchor>
    <xdr:from>
      <xdr:col>59</xdr:col>
      <xdr:colOff>295275</xdr:colOff>
      <xdr:row>6</xdr:row>
      <xdr:rowOff>19050</xdr:rowOff>
    </xdr:from>
    <xdr:ext cx="3524250" cy="923925"/>
    <xdr:pic>
      <xdr:nvPicPr>
        <xdr:cNvPr id="16" name="Imagen 15">
          <a:extLst>
            <a:ext uri="{FF2B5EF4-FFF2-40B4-BE49-F238E27FC236}">
              <a16:creationId xmlns:a16="http://schemas.microsoft.com/office/drawing/2014/main" id="{D1AEF791-816B-490F-9CFB-312FABB7920F}"/>
            </a:ext>
          </a:extLst>
        </xdr:cNvPr>
        <xdr:cNvPicPr/>
      </xdr:nvPicPr>
      <xdr:blipFill>
        <a:blip xmlns:r="http://schemas.openxmlformats.org/officeDocument/2006/relationships" r:embed="rId3">
          <a:clrChange>
            <a:clrFrom>
              <a:srgbClr val="D6DCE4"/>
            </a:clrFrom>
            <a:clrTo>
              <a:srgbClr val="D6DCE4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5" y="1162050"/>
          <a:ext cx="3524250" cy="9239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4</xdr:row>
      <xdr:rowOff>19050</xdr:rowOff>
    </xdr:from>
    <xdr:to>
      <xdr:col>10</xdr:col>
      <xdr:colOff>209550</xdr:colOff>
      <xdr:row>17</xdr:row>
      <xdr:rowOff>104775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DC72DBD-F881-452E-8CC8-99AE25EAD43D}"/>
            </a:ext>
          </a:extLst>
        </xdr:cNvPr>
        <xdr:cNvPicPr/>
      </xdr:nvPicPr>
      <xdr:blipFill>
        <a:blip xmlns:r="http://schemas.openxmlformats.org/officeDocument/2006/relationships" r:embed="rId1">
          <a:clrChange>
            <a:clrFrom>
              <a:srgbClr val="E8E9EA"/>
            </a:clrFrom>
            <a:clrTo>
              <a:srgbClr val="E8E9EA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781050"/>
          <a:ext cx="4191000" cy="2562225"/>
        </a:xfrm>
        <a:prstGeom prst="rect">
          <a:avLst/>
        </a:prstGeom>
      </xdr:spPr>
    </xdr:pic>
    <xdr:clientData/>
  </xdr:twoCellAnchor>
  <xdr:twoCellAnchor editAs="oneCell">
    <xdr:from>
      <xdr:col>4</xdr:col>
      <xdr:colOff>447675</xdr:colOff>
      <xdr:row>29</xdr:row>
      <xdr:rowOff>97985</xdr:rowOff>
    </xdr:from>
    <xdr:to>
      <xdr:col>9</xdr:col>
      <xdr:colOff>371475</xdr:colOff>
      <xdr:row>45</xdr:row>
      <xdr:rowOff>37629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3440804-CF2D-41A7-80C1-B7F855DB8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E9EAEB"/>
            </a:clrFrom>
            <a:clrTo>
              <a:srgbClr val="E9EAEB">
                <a:alpha val="0"/>
              </a:srgbClr>
            </a:clrTo>
          </a:clrChange>
        </a:blip>
        <a:stretch>
          <a:fillRect/>
        </a:stretch>
      </xdr:blipFill>
      <xdr:spPr>
        <a:xfrm>
          <a:off x="3495675" y="5622485"/>
          <a:ext cx="3810000" cy="2987644"/>
        </a:xfrm>
        <a:prstGeom prst="rect">
          <a:avLst/>
        </a:prstGeom>
      </xdr:spPr>
    </xdr:pic>
    <xdr:clientData/>
  </xdr:twoCellAnchor>
  <xdr:oneCellAnchor>
    <xdr:from>
      <xdr:col>2</xdr:col>
      <xdr:colOff>733424</xdr:colOff>
      <xdr:row>47</xdr:row>
      <xdr:rowOff>180975</xdr:rowOff>
    </xdr:from>
    <xdr:ext cx="781051" cy="4381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22B0145B-6E0A-409E-929D-0F66540AA0AD}"/>
                </a:ext>
              </a:extLst>
            </xdr:cNvPr>
            <xdr:cNvSpPr txBox="1"/>
          </xdr:nvSpPr>
          <xdr:spPr>
            <a:xfrm>
              <a:off x="2257424" y="9134475"/>
              <a:ext cx="781051" cy="438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s-CO" sz="6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𝐹𝑦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=0</m:t>
                        </m:r>
                      </m:e>
                    </m:nary>
                  </m:oMath>
                </m:oMathPara>
              </a14:m>
              <a:endParaRPr lang="es-CO" sz="7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22B0145B-6E0A-409E-929D-0F66540AA0AD}"/>
                </a:ext>
              </a:extLst>
            </xdr:cNvPr>
            <xdr:cNvSpPr txBox="1"/>
          </xdr:nvSpPr>
          <xdr:spPr>
            <a:xfrm>
              <a:off x="2257424" y="9134475"/>
              <a:ext cx="781051" cy="438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CO" sz="600" i="0">
                  <a:latin typeface="Cambria Math" panose="02040503050406030204" pitchFamily="18" charset="0"/>
                </a:rPr>
                <a:t>∑▒〖</a:t>
              </a:r>
              <a:r>
                <a:rPr lang="es-MX" sz="600" b="0" i="0">
                  <a:latin typeface="Cambria Math" panose="02040503050406030204" pitchFamily="18" charset="0"/>
                </a:rPr>
                <a:t>𝐹𝑦=0</a:t>
              </a:r>
              <a:r>
                <a:rPr lang="es-CO" sz="600" b="0" i="0">
                  <a:latin typeface="Cambria Math" panose="02040503050406030204" pitchFamily="18" charset="0"/>
                </a:rPr>
                <a:t>〗</a:t>
              </a:r>
              <a:endParaRPr lang="es-CO" sz="700"/>
            </a:p>
          </xdr:txBody>
        </xdr:sp>
      </mc:Fallback>
    </mc:AlternateContent>
    <xdr:clientData/>
  </xdr:oneCellAnchor>
  <xdr:oneCellAnchor>
    <xdr:from>
      <xdr:col>2</xdr:col>
      <xdr:colOff>714375</xdr:colOff>
      <xdr:row>49</xdr:row>
      <xdr:rowOff>0</xdr:rowOff>
    </xdr:from>
    <xdr:ext cx="809625" cy="3714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672145D2-9225-4B73-82EC-36E227EBCB3D}"/>
                </a:ext>
              </a:extLst>
            </xdr:cNvPr>
            <xdr:cNvSpPr txBox="1"/>
          </xdr:nvSpPr>
          <xdr:spPr>
            <a:xfrm>
              <a:off x="2238375" y="9334500"/>
              <a:ext cx="809625" cy="3714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s-CO" sz="6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𝐹𝑧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=0</m:t>
                        </m:r>
                      </m:e>
                    </m:nary>
                  </m:oMath>
                </m:oMathPara>
              </a14:m>
              <a:endParaRPr lang="es-CO" sz="6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672145D2-9225-4B73-82EC-36E227EBCB3D}"/>
                </a:ext>
              </a:extLst>
            </xdr:cNvPr>
            <xdr:cNvSpPr txBox="1"/>
          </xdr:nvSpPr>
          <xdr:spPr>
            <a:xfrm>
              <a:off x="2238375" y="9334500"/>
              <a:ext cx="809625" cy="3714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CO" sz="600" i="0">
                  <a:latin typeface="Cambria Math" panose="02040503050406030204" pitchFamily="18" charset="0"/>
                </a:rPr>
                <a:t>∑▒〖</a:t>
              </a:r>
              <a:r>
                <a:rPr lang="es-MX" sz="600" b="0" i="0">
                  <a:latin typeface="Cambria Math" panose="02040503050406030204" pitchFamily="18" charset="0"/>
                </a:rPr>
                <a:t>𝐹𝑧=0</a:t>
              </a:r>
              <a:r>
                <a:rPr lang="es-CO" sz="600" b="0" i="0">
                  <a:latin typeface="Cambria Math" panose="02040503050406030204" pitchFamily="18" charset="0"/>
                </a:rPr>
                <a:t>〗</a:t>
              </a:r>
              <a:endParaRPr lang="es-CO" sz="600"/>
            </a:p>
          </xdr:txBody>
        </xdr:sp>
      </mc:Fallback>
    </mc:AlternateContent>
    <xdr:clientData/>
  </xdr:oneCellAnchor>
  <xdr:oneCellAnchor>
    <xdr:from>
      <xdr:col>2</xdr:col>
      <xdr:colOff>733424</xdr:colOff>
      <xdr:row>49</xdr:row>
      <xdr:rowOff>180975</xdr:rowOff>
    </xdr:from>
    <xdr:ext cx="781051" cy="4381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181616A4-D1C7-4746-BED2-33C16F0FA8B6}"/>
                </a:ext>
              </a:extLst>
            </xdr:cNvPr>
            <xdr:cNvSpPr txBox="1"/>
          </xdr:nvSpPr>
          <xdr:spPr>
            <a:xfrm>
              <a:off x="2257424" y="9515475"/>
              <a:ext cx="781051" cy="438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s-CO" sz="6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𝐹</m:t>
                        </m:r>
                        <m:sSubSup>
                          <m:sSubSupPr>
                            <m:ctrlPr>
                              <a:rPr lang="es-MX" sz="6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s-MX" sz="6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  <m:sub>
                            <m:r>
                              <a:rPr lang="es-MX" sz="6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sub>
                          <m:sup>
                            <m:r>
                              <a:rPr lang="es-MX" sz="600" b="0" i="1">
                                <a:latin typeface="Cambria Math" panose="02040503050406030204" pitchFamily="18" charset="0"/>
                              </a:rPr>
                              <m:t>𝑧</m:t>
                            </m:r>
                          </m:sup>
                        </m:sSubSup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=0</m:t>
                        </m:r>
                      </m:e>
                    </m:nary>
                  </m:oMath>
                </m:oMathPara>
              </a14:m>
              <a:endParaRPr lang="es-CO" sz="7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181616A4-D1C7-4746-BED2-33C16F0FA8B6}"/>
                </a:ext>
              </a:extLst>
            </xdr:cNvPr>
            <xdr:cNvSpPr txBox="1"/>
          </xdr:nvSpPr>
          <xdr:spPr>
            <a:xfrm>
              <a:off x="2257424" y="9515475"/>
              <a:ext cx="781051" cy="438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CO" sz="600" i="0">
                  <a:latin typeface="Cambria Math" panose="02040503050406030204" pitchFamily="18" charset="0"/>
                </a:rPr>
                <a:t>∑▒〖</a:t>
              </a:r>
              <a:r>
                <a:rPr lang="es-MX" sz="600" b="0" i="0">
                  <a:latin typeface="Cambria Math" panose="02040503050406030204" pitchFamily="18" charset="0"/>
                </a:rPr>
                <a:t>𝐹𝑀_𝐴^𝑧=0</a:t>
              </a:r>
              <a:r>
                <a:rPr lang="es-CO" sz="600" b="0" i="0">
                  <a:latin typeface="Cambria Math" panose="02040503050406030204" pitchFamily="18" charset="0"/>
                </a:rPr>
                <a:t>〗</a:t>
              </a:r>
              <a:endParaRPr lang="es-CO" sz="700"/>
            </a:p>
          </xdr:txBody>
        </xdr:sp>
      </mc:Fallback>
    </mc:AlternateContent>
    <xdr:clientData/>
  </xdr:oneCellAnchor>
  <xdr:oneCellAnchor>
    <xdr:from>
      <xdr:col>2</xdr:col>
      <xdr:colOff>733424</xdr:colOff>
      <xdr:row>51</xdr:row>
      <xdr:rowOff>0</xdr:rowOff>
    </xdr:from>
    <xdr:ext cx="781051" cy="4381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DEE7375D-DB4D-4111-A1DE-EDCB47AA30A6}"/>
                </a:ext>
              </a:extLst>
            </xdr:cNvPr>
            <xdr:cNvSpPr txBox="1"/>
          </xdr:nvSpPr>
          <xdr:spPr>
            <a:xfrm>
              <a:off x="2257424" y="9715500"/>
              <a:ext cx="781051" cy="438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s-CO" sz="6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𝐹</m:t>
                        </m:r>
                        <m:sSubSup>
                          <m:sSubSupPr>
                            <m:ctrlPr>
                              <a:rPr lang="es-MX" sz="6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s-MX" sz="6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  <m:sub>
                            <m:r>
                              <a:rPr lang="es-MX" sz="6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sub>
                          <m:sup>
                            <m:r>
                              <a:rPr lang="es-MX" sz="6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sup>
                        </m:sSubSup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=0</m:t>
                        </m:r>
                      </m:e>
                    </m:nary>
                  </m:oMath>
                </m:oMathPara>
              </a14:m>
              <a:endParaRPr lang="es-CO" sz="70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DEE7375D-DB4D-4111-A1DE-EDCB47AA30A6}"/>
                </a:ext>
              </a:extLst>
            </xdr:cNvPr>
            <xdr:cNvSpPr txBox="1"/>
          </xdr:nvSpPr>
          <xdr:spPr>
            <a:xfrm>
              <a:off x="2257424" y="9715500"/>
              <a:ext cx="781051" cy="438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CO" sz="600" i="0">
                  <a:latin typeface="Cambria Math" panose="02040503050406030204" pitchFamily="18" charset="0"/>
                </a:rPr>
                <a:t>∑▒〖</a:t>
              </a:r>
              <a:r>
                <a:rPr lang="es-MX" sz="600" b="0" i="0">
                  <a:latin typeface="Cambria Math" panose="02040503050406030204" pitchFamily="18" charset="0"/>
                </a:rPr>
                <a:t>𝐹𝑀_𝐴^𝑦=0</a:t>
              </a:r>
              <a:r>
                <a:rPr lang="es-CO" sz="600" b="0" i="0">
                  <a:latin typeface="Cambria Math" panose="02040503050406030204" pitchFamily="18" charset="0"/>
                </a:rPr>
                <a:t>〗</a:t>
              </a:r>
              <a:endParaRPr lang="es-CO" sz="700"/>
            </a:p>
          </xdr:txBody>
        </xdr:sp>
      </mc:Fallback>
    </mc:AlternateContent>
    <xdr:clientData/>
  </xdr:oneCellAnchor>
  <xdr:twoCellAnchor>
    <xdr:from>
      <xdr:col>3</xdr:col>
      <xdr:colOff>480331</xdr:colOff>
      <xdr:row>105</xdr:row>
      <xdr:rowOff>103640</xdr:rowOff>
    </xdr:from>
    <xdr:to>
      <xdr:col>9</xdr:col>
      <xdr:colOff>404131</xdr:colOff>
      <xdr:row>119</xdr:row>
      <xdr:rowOff>179840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A7A6C826-429C-43FC-8372-A7D67C5701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480786</xdr:colOff>
      <xdr:row>121</xdr:row>
      <xdr:rowOff>28801</xdr:rowOff>
    </xdr:from>
    <xdr:to>
      <xdr:col>9</xdr:col>
      <xdr:colOff>415018</xdr:colOff>
      <xdr:row>135</xdr:row>
      <xdr:rowOff>73251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26904346-4DA8-4026-8F49-5D72A0C3C9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480331</xdr:colOff>
      <xdr:row>180</xdr:row>
      <xdr:rowOff>103640</xdr:rowOff>
    </xdr:from>
    <xdr:to>
      <xdr:col>9</xdr:col>
      <xdr:colOff>404131</xdr:colOff>
      <xdr:row>194</xdr:row>
      <xdr:rowOff>179840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8B5123AC-84C0-4DA6-9F87-0742BF078E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480786</xdr:colOff>
      <xdr:row>196</xdr:row>
      <xdr:rowOff>28801</xdr:rowOff>
    </xdr:from>
    <xdr:to>
      <xdr:col>9</xdr:col>
      <xdr:colOff>415018</xdr:colOff>
      <xdr:row>210</xdr:row>
      <xdr:rowOff>73251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3A4BD194-6B26-48E3-8398-CBB9568B22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704850</xdr:colOff>
      <xdr:row>3</xdr:row>
      <xdr:rowOff>95250</xdr:rowOff>
    </xdr:from>
    <xdr:to>
      <xdr:col>6</xdr:col>
      <xdr:colOff>532496</xdr:colOff>
      <xdr:row>18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CD4B75-1273-4FC8-AF8F-11211094E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666750"/>
          <a:ext cx="4428221" cy="2809875"/>
        </a:xfrm>
        <a:prstGeom prst="rect">
          <a:avLst/>
        </a:prstGeom>
      </xdr:spPr>
    </xdr:pic>
    <xdr:clientData/>
  </xdr:twoCellAnchor>
  <xdr:twoCellAnchor editAs="oneCell">
    <xdr:from>
      <xdr:col>7</xdr:col>
      <xdr:colOff>733425</xdr:colOff>
      <xdr:row>4</xdr:row>
      <xdr:rowOff>0</xdr:rowOff>
    </xdr:from>
    <xdr:to>
      <xdr:col>11</xdr:col>
      <xdr:colOff>371475</xdr:colOff>
      <xdr:row>18</xdr:row>
      <xdr:rowOff>26194</xdr:rowOff>
    </xdr:to>
    <xdr:pic>
      <xdr:nvPicPr>
        <xdr:cNvPr id="4" name="Imagen 3" descr="Comprobar los rodamientos Timken cónicos de rueda Harley-Davidson –  California Motorcycles">
          <a:extLst>
            <a:ext uri="{FF2B5EF4-FFF2-40B4-BE49-F238E27FC236}">
              <a16:creationId xmlns:a16="http://schemas.microsoft.com/office/drawing/2014/main" id="{2861B35D-48C6-4D6A-B4F8-18AEE6DE1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62000"/>
          <a:ext cx="2762250" cy="2693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C423-DF69-4DAF-858F-F8FC93F4F81A}">
  <dimension ref="A2:L40"/>
  <sheetViews>
    <sheetView topLeftCell="A19" workbookViewId="0">
      <selection activeCell="B38" sqref="B38:L38"/>
    </sheetView>
  </sheetViews>
  <sheetFormatPr baseColWidth="10" defaultRowHeight="15" x14ac:dyDescent="0.25"/>
  <sheetData>
    <row r="2" spans="1:12" ht="15.75" thickBot="1" x14ac:dyDescent="0.3"/>
    <row r="3" spans="1:12" ht="15.75" thickBot="1" x14ac:dyDescent="0.3">
      <c r="B3" s="49" t="s">
        <v>1</v>
      </c>
      <c r="C3" s="50"/>
      <c r="D3" s="50"/>
      <c r="E3" s="50"/>
      <c r="F3" s="50"/>
      <c r="G3" s="50"/>
      <c r="H3" s="50"/>
      <c r="I3" s="50"/>
      <c r="J3" s="50"/>
      <c r="K3" s="50"/>
      <c r="L3" s="51"/>
    </row>
    <row r="4" spans="1:12" x14ac:dyDescent="0.25">
      <c r="B4" s="40"/>
      <c r="C4" s="41"/>
      <c r="D4" s="41"/>
      <c r="E4" s="41"/>
      <c r="F4" s="41"/>
      <c r="G4" s="41"/>
      <c r="H4" s="41"/>
      <c r="I4" s="41"/>
      <c r="J4" s="41"/>
      <c r="K4" s="41"/>
      <c r="L4" s="42"/>
    </row>
    <row r="5" spans="1:12" x14ac:dyDescent="0.25">
      <c r="B5" s="43"/>
      <c r="C5" s="44"/>
      <c r="D5" s="44"/>
      <c r="E5" s="44"/>
      <c r="F5" s="44"/>
      <c r="G5" s="44"/>
      <c r="H5" s="44"/>
      <c r="I5" s="44"/>
      <c r="J5" s="44"/>
      <c r="K5" s="44"/>
      <c r="L5" s="45"/>
    </row>
    <row r="6" spans="1:12" x14ac:dyDescent="0.25">
      <c r="B6" s="43"/>
      <c r="C6" s="44"/>
      <c r="D6" s="44"/>
      <c r="E6" s="44"/>
      <c r="F6" s="44"/>
      <c r="G6" s="44"/>
      <c r="H6" s="44"/>
      <c r="I6" s="44"/>
      <c r="J6" s="44"/>
      <c r="K6" s="44"/>
      <c r="L6" s="45"/>
    </row>
    <row r="7" spans="1:12" x14ac:dyDescent="0.25">
      <c r="B7" s="43"/>
      <c r="C7" s="44"/>
      <c r="D7" s="44"/>
      <c r="E7" s="44"/>
      <c r="F7" s="44"/>
      <c r="G7" s="44"/>
      <c r="H7" s="44"/>
      <c r="I7" s="44"/>
      <c r="J7" s="44"/>
      <c r="K7" s="44"/>
      <c r="L7" s="45"/>
    </row>
    <row r="8" spans="1:12" x14ac:dyDescent="0.25">
      <c r="B8" s="43"/>
      <c r="C8" s="44"/>
      <c r="D8" s="44"/>
      <c r="E8" s="44"/>
      <c r="F8" s="44"/>
      <c r="G8" s="44"/>
      <c r="H8" s="44"/>
      <c r="I8" s="44"/>
      <c r="J8" s="44"/>
      <c r="K8" s="44"/>
      <c r="L8" s="45"/>
    </row>
    <row r="9" spans="1:12" x14ac:dyDescent="0.25">
      <c r="B9" s="43"/>
      <c r="C9" s="44"/>
      <c r="D9" s="44"/>
      <c r="E9" s="44"/>
      <c r="F9" s="44"/>
      <c r="G9" s="44"/>
      <c r="H9" s="44"/>
      <c r="I9" s="44"/>
      <c r="J9" s="44"/>
      <c r="K9" s="44"/>
      <c r="L9" s="45"/>
    </row>
    <row r="10" spans="1:12" x14ac:dyDescent="0.25">
      <c r="B10" s="43"/>
      <c r="C10" s="44"/>
      <c r="D10" s="44"/>
      <c r="E10" s="44"/>
      <c r="F10" s="44"/>
      <c r="G10" s="44"/>
      <c r="H10" s="44"/>
      <c r="I10" s="44"/>
      <c r="J10" s="44"/>
      <c r="K10" s="44"/>
      <c r="L10" s="45"/>
    </row>
    <row r="11" spans="1:12" x14ac:dyDescent="0.25">
      <c r="B11" s="43"/>
      <c r="C11" s="44"/>
      <c r="D11" s="44"/>
      <c r="E11" s="44"/>
      <c r="F11" s="44"/>
      <c r="G11" s="44"/>
      <c r="H11" s="44"/>
      <c r="I11" s="44"/>
      <c r="J11" s="44"/>
      <c r="K11" s="44"/>
      <c r="L11" s="45"/>
    </row>
    <row r="12" spans="1:12" x14ac:dyDescent="0.25">
      <c r="B12" s="43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x14ac:dyDescent="0.25">
      <c r="B13" s="43"/>
      <c r="C13" s="44"/>
      <c r="D13" s="44"/>
      <c r="E13" s="44"/>
      <c r="F13" s="44"/>
      <c r="G13" s="44"/>
      <c r="H13" s="44"/>
      <c r="I13" s="44"/>
      <c r="J13" s="44"/>
      <c r="K13" s="44"/>
      <c r="L13" s="45"/>
    </row>
    <row r="14" spans="1:12" x14ac:dyDescent="0.25">
      <c r="A14" s="5"/>
      <c r="B14" s="43"/>
      <c r="C14" s="44"/>
      <c r="D14" s="44"/>
      <c r="E14" s="44"/>
      <c r="F14" s="44"/>
      <c r="G14" s="44"/>
      <c r="H14" s="44"/>
      <c r="I14" s="44"/>
      <c r="J14" s="44"/>
      <c r="K14" s="44"/>
      <c r="L14" s="45"/>
    </row>
    <row r="15" spans="1:12" x14ac:dyDescent="0.25">
      <c r="B15" s="43"/>
      <c r="C15" s="44"/>
      <c r="D15" s="44"/>
      <c r="E15" s="44"/>
      <c r="F15" s="44"/>
      <c r="G15" s="44"/>
      <c r="H15" s="44"/>
      <c r="I15" s="44"/>
      <c r="J15" s="44"/>
      <c r="K15" s="44"/>
      <c r="L15" s="45"/>
    </row>
    <row r="16" spans="1:12" x14ac:dyDescent="0.25">
      <c r="B16" s="34" t="s">
        <v>2</v>
      </c>
      <c r="C16" s="35"/>
      <c r="D16" s="35"/>
      <c r="E16" s="35"/>
      <c r="F16" s="35"/>
      <c r="G16" s="35"/>
      <c r="H16" s="35"/>
      <c r="I16" s="35"/>
      <c r="J16" s="35"/>
      <c r="K16" s="35"/>
      <c r="L16" s="36"/>
    </row>
    <row r="17" spans="2:12" x14ac:dyDescent="0.25">
      <c r="B17" s="34" t="s">
        <v>3</v>
      </c>
      <c r="C17" s="35"/>
      <c r="D17" s="35"/>
      <c r="E17" s="35"/>
      <c r="F17" s="35"/>
      <c r="G17" s="35"/>
      <c r="H17" s="35"/>
      <c r="I17" s="35"/>
      <c r="J17" s="35"/>
      <c r="K17" s="35"/>
      <c r="L17" s="36"/>
    </row>
    <row r="18" spans="2:12" x14ac:dyDescent="0.25">
      <c r="B18" s="34" t="s">
        <v>4</v>
      </c>
      <c r="C18" s="35"/>
      <c r="D18" s="35"/>
      <c r="E18" s="35"/>
      <c r="F18" s="35"/>
      <c r="G18" s="35"/>
      <c r="H18" s="35"/>
      <c r="I18" s="35"/>
      <c r="J18" s="35"/>
      <c r="K18" s="35"/>
      <c r="L18" s="36"/>
    </row>
    <row r="19" spans="2:12" x14ac:dyDescent="0.25">
      <c r="B19" s="34" t="s">
        <v>5</v>
      </c>
      <c r="C19" s="35"/>
      <c r="D19" s="35"/>
      <c r="E19" s="35"/>
      <c r="F19" s="35"/>
      <c r="G19" s="35"/>
      <c r="H19" s="35"/>
      <c r="I19" s="35"/>
      <c r="J19" s="35"/>
      <c r="K19" s="35"/>
      <c r="L19" s="36"/>
    </row>
    <row r="20" spans="2:12" x14ac:dyDescent="0.25">
      <c r="B20" s="34" t="s">
        <v>6</v>
      </c>
      <c r="C20" s="35"/>
      <c r="D20" s="35"/>
      <c r="E20" s="35"/>
      <c r="F20" s="35"/>
      <c r="G20" s="35"/>
      <c r="H20" s="35"/>
      <c r="I20" s="35"/>
      <c r="J20" s="35"/>
      <c r="K20" s="35"/>
      <c r="L20" s="36"/>
    </row>
    <row r="21" spans="2:12" ht="15" customHeight="1" x14ac:dyDescent="0.25">
      <c r="B21" s="34" t="s">
        <v>7</v>
      </c>
      <c r="C21" s="35"/>
      <c r="D21" s="35"/>
      <c r="E21" s="35"/>
      <c r="F21" s="35"/>
      <c r="G21" s="35"/>
      <c r="H21" s="35"/>
      <c r="I21" s="35"/>
      <c r="J21" s="35"/>
      <c r="K21" s="35"/>
      <c r="L21" s="36"/>
    </row>
    <row r="22" spans="2:12" x14ac:dyDescent="0.25">
      <c r="B22" s="34" t="s">
        <v>8</v>
      </c>
      <c r="C22" s="35"/>
      <c r="D22" s="35"/>
      <c r="E22" s="35"/>
      <c r="F22" s="35"/>
      <c r="G22" s="35"/>
      <c r="H22" s="35"/>
      <c r="I22" s="35"/>
      <c r="J22" s="35"/>
      <c r="K22" s="35"/>
      <c r="L22" s="36"/>
    </row>
    <row r="23" spans="2:12" x14ac:dyDescent="0.25">
      <c r="B23" s="34" t="s">
        <v>9</v>
      </c>
      <c r="C23" s="35"/>
      <c r="D23" s="35"/>
      <c r="E23" s="35"/>
      <c r="F23" s="35"/>
      <c r="G23" s="35"/>
      <c r="H23" s="35"/>
      <c r="I23" s="35"/>
      <c r="J23" s="35"/>
      <c r="K23" s="35"/>
      <c r="L23" s="36"/>
    </row>
    <row r="24" spans="2:12" x14ac:dyDescent="0.25">
      <c r="B24" s="34" t="s">
        <v>10</v>
      </c>
      <c r="C24" s="35"/>
      <c r="D24" s="35"/>
      <c r="E24" s="35"/>
      <c r="F24" s="35"/>
      <c r="G24" s="35"/>
      <c r="H24" s="35"/>
      <c r="I24" s="35"/>
      <c r="J24" s="35"/>
      <c r="K24" s="35"/>
      <c r="L24" s="36"/>
    </row>
    <row r="25" spans="2:12" x14ac:dyDescent="0.25">
      <c r="B25" s="34" t="s">
        <v>11</v>
      </c>
      <c r="C25" s="35"/>
      <c r="D25" s="35"/>
      <c r="E25" s="35"/>
      <c r="F25" s="35"/>
      <c r="G25" s="35"/>
      <c r="H25" s="35"/>
      <c r="I25" s="35"/>
      <c r="J25" s="35"/>
      <c r="K25" s="35"/>
      <c r="L25" s="36"/>
    </row>
    <row r="26" spans="2:12" x14ac:dyDescent="0.25">
      <c r="B26" s="34" t="s">
        <v>12</v>
      </c>
      <c r="C26" s="35"/>
      <c r="D26" s="35"/>
      <c r="E26" s="35"/>
      <c r="F26" s="35"/>
      <c r="G26" s="35"/>
      <c r="H26" s="35"/>
      <c r="I26" s="35"/>
      <c r="J26" s="35"/>
      <c r="K26" s="35"/>
      <c r="L26" s="36"/>
    </row>
    <row r="27" spans="2:12" x14ac:dyDescent="0.25">
      <c r="B27" s="34" t="s">
        <v>13</v>
      </c>
      <c r="C27" s="35"/>
      <c r="D27" s="35"/>
      <c r="E27" s="35"/>
      <c r="F27" s="35"/>
      <c r="G27" s="35"/>
      <c r="H27" s="35"/>
      <c r="I27" s="35"/>
      <c r="J27" s="35"/>
      <c r="K27" s="35"/>
      <c r="L27" s="36"/>
    </row>
    <row r="28" spans="2:12" x14ac:dyDescent="0.25">
      <c r="B28" s="34" t="s">
        <v>14</v>
      </c>
      <c r="C28" s="35"/>
      <c r="D28" s="35"/>
      <c r="E28" s="35"/>
      <c r="F28" s="35"/>
      <c r="G28" s="35"/>
      <c r="H28" s="35"/>
      <c r="I28" s="35"/>
      <c r="J28" s="35"/>
      <c r="K28" s="35"/>
      <c r="L28" s="36"/>
    </row>
    <row r="29" spans="2:12" x14ac:dyDescent="0.25">
      <c r="B29" s="34" t="s">
        <v>15</v>
      </c>
      <c r="C29" s="35"/>
      <c r="D29" s="35"/>
      <c r="E29" s="35"/>
      <c r="F29" s="35"/>
      <c r="G29" s="35"/>
      <c r="H29" s="35"/>
      <c r="I29" s="35"/>
      <c r="J29" s="35"/>
      <c r="K29" s="35"/>
      <c r="L29" s="36"/>
    </row>
    <row r="30" spans="2:12" x14ac:dyDescent="0.25">
      <c r="B30" s="34" t="s">
        <v>16</v>
      </c>
      <c r="C30" s="35"/>
      <c r="D30" s="35"/>
      <c r="E30" s="35"/>
      <c r="F30" s="35"/>
      <c r="G30" s="35"/>
      <c r="H30" s="35"/>
      <c r="I30" s="35"/>
      <c r="J30" s="35"/>
      <c r="K30" s="35"/>
      <c r="L30" s="36"/>
    </row>
    <row r="31" spans="2:12" x14ac:dyDescent="0.25">
      <c r="B31" s="46" t="s">
        <v>17</v>
      </c>
      <c r="C31" s="47"/>
      <c r="D31" s="47"/>
      <c r="E31" s="47"/>
      <c r="F31" s="47"/>
      <c r="G31" s="47"/>
      <c r="H31" s="47"/>
      <c r="I31" s="47"/>
      <c r="J31" s="47"/>
      <c r="K31" s="47"/>
      <c r="L31" s="48"/>
    </row>
    <row r="32" spans="2:12" x14ac:dyDescent="0.25">
      <c r="B32" s="46"/>
      <c r="C32" s="47"/>
      <c r="D32" s="47"/>
      <c r="E32" s="47"/>
      <c r="F32" s="47"/>
      <c r="G32" s="47"/>
      <c r="H32" s="47"/>
      <c r="I32" s="47"/>
      <c r="J32" s="47"/>
      <c r="K32" s="47"/>
      <c r="L32" s="48"/>
    </row>
    <row r="33" spans="2:12" x14ac:dyDescent="0.25">
      <c r="B33" s="34" t="s">
        <v>18</v>
      </c>
      <c r="C33" s="35"/>
      <c r="D33" s="35"/>
      <c r="E33" s="35"/>
      <c r="F33" s="35"/>
      <c r="G33" s="35"/>
      <c r="H33" s="35"/>
      <c r="I33" s="35"/>
      <c r="J33" s="35"/>
      <c r="K33" s="35"/>
      <c r="L33" s="36"/>
    </row>
    <row r="34" spans="2:12" x14ac:dyDescent="0.25">
      <c r="B34" s="34" t="s">
        <v>19</v>
      </c>
      <c r="C34" s="35"/>
      <c r="D34" s="35"/>
      <c r="E34" s="35"/>
      <c r="F34" s="35"/>
      <c r="G34" s="35"/>
      <c r="H34" s="35"/>
      <c r="I34" s="35"/>
      <c r="J34" s="35"/>
      <c r="K34" s="35"/>
      <c r="L34" s="36"/>
    </row>
    <row r="35" spans="2:12" x14ac:dyDescent="0.25">
      <c r="B35" s="34" t="s">
        <v>20</v>
      </c>
      <c r="C35" s="35"/>
      <c r="D35" s="35"/>
      <c r="E35" s="35"/>
      <c r="F35" s="35"/>
      <c r="G35" s="35"/>
      <c r="H35" s="35"/>
      <c r="I35" s="35"/>
      <c r="J35" s="35"/>
      <c r="K35" s="35"/>
      <c r="L35" s="36"/>
    </row>
    <row r="36" spans="2:12" x14ac:dyDescent="0.25">
      <c r="B36" s="34" t="s">
        <v>21</v>
      </c>
      <c r="C36" s="35"/>
      <c r="D36" s="35"/>
      <c r="E36" s="35"/>
      <c r="F36" s="35"/>
      <c r="G36" s="35"/>
      <c r="H36" s="35"/>
      <c r="I36" s="35"/>
      <c r="J36" s="35"/>
      <c r="K36" s="35"/>
      <c r="L36" s="36"/>
    </row>
    <row r="37" spans="2:12" x14ac:dyDescent="0.25">
      <c r="B37" s="34" t="s">
        <v>22</v>
      </c>
      <c r="C37" s="35"/>
      <c r="D37" s="35"/>
      <c r="E37" s="35"/>
      <c r="F37" s="35"/>
      <c r="G37" s="35"/>
      <c r="H37" s="35"/>
      <c r="I37" s="35"/>
      <c r="J37" s="35"/>
      <c r="K37" s="35"/>
      <c r="L37" s="36"/>
    </row>
    <row r="38" spans="2:12" x14ac:dyDescent="0.25">
      <c r="B38" s="34" t="s">
        <v>23</v>
      </c>
      <c r="C38" s="35"/>
      <c r="D38" s="35"/>
      <c r="E38" s="35"/>
      <c r="F38" s="35"/>
      <c r="G38" s="35"/>
      <c r="H38" s="35"/>
      <c r="I38" s="35"/>
      <c r="J38" s="35"/>
      <c r="K38" s="35"/>
      <c r="L38" s="36"/>
    </row>
    <row r="39" spans="2:12" x14ac:dyDescent="0.25">
      <c r="B39" s="34" t="s">
        <v>24</v>
      </c>
      <c r="C39" s="35"/>
      <c r="D39" s="35"/>
      <c r="E39" s="35"/>
      <c r="F39" s="35"/>
      <c r="G39" s="35"/>
      <c r="H39" s="35"/>
      <c r="I39" s="35"/>
      <c r="J39" s="35"/>
      <c r="K39" s="35"/>
      <c r="L39" s="36"/>
    </row>
    <row r="40" spans="2:12" ht="15.75" thickBot="1" x14ac:dyDescent="0.3">
      <c r="B40" s="37" t="s">
        <v>25</v>
      </c>
      <c r="C40" s="38"/>
      <c r="D40" s="38"/>
      <c r="E40" s="38"/>
      <c r="F40" s="38"/>
      <c r="G40" s="38"/>
      <c r="H40" s="38"/>
      <c r="I40" s="38"/>
      <c r="J40" s="38"/>
      <c r="K40" s="38"/>
      <c r="L40" s="39"/>
    </row>
  </sheetData>
  <mergeCells count="26">
    <mergeCell ref="B3:L3"/>
    <mergeCell ref="B16:L16"/>
    <mergeCell ref="B17:L17"/>
    <mergeCell ref="B18:L18"/>
    <mergeCell ref="B19:L19"/>
    <mergeCell ref="B21:L21"/>
    <mergeCell ref="B22:L22"/>
    <mergeCell ref="B23:L23"/>
    <mergeCell ref="B24:L24"/>
    <mergeCell ref="B25:L25"/>
    <mergeCell ref="B39:L39"/>
    <mergeCell ref="B40:L40"/>
    <mergeCell ref="B4:L15"/>
    <mergeCell ref="B33:L33"/>
    <mergeCell ref="B34:L34"/>
    <mergeCell ref="B35:L35"/>
    <mergeCell ref="B36:L36"/>
    <mergeCell ref="B37:L37"/>
    <mergeCell ref="B38:L38"/>
    <mergeCell ref="B26:L26"/>
    <mergeCell ref="B27:L27"/>
    <mergeCell ref="B28:L28"/>
    <mergeCell ref="B29:L29"/>
    <mergeCell ref="B30:L30"/>
    <mergeCell ref="B31:L32"/>
    <mergeCell ref="B20:L2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4942-DDE0-48AD-ACCE-20CC39F5C469}">
  <dimension ref="B3:BM194"/>
  <sheetViews>
    <sheetView topLeftCell="A43" workbookViewId="0">
      <selection activeCell="F37" sqref="F37"/>
    </sheetView>
  </sheetViews>
  <sheetFormatPr baseColWidth="10" defaultRowHeight="15" x14ac:dyDescent="0.25"/>
  <cols>
    <col min="5" max="5" width="24" customWidth="1"/>
    <col min="6" max="6" width="14.5703125" bestFit="1" customWidth="1"/>
    <col min="13" max="13" width="12.5703125" bestFit="1" customWidth="1"/>
    <col min="19" max="19" width="0" hidden="1" customWidth="1"/>
  </cols>
  <sheetData>
    <row r="3" spans="2:65" ht="15" customHeight="1" x14ac:dyDescent="0.25">
      <c r="B3" s="55" t="s">
        <v>0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T3" s="55" t="s">
        <v>0</v>
      </c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J3" s="55" t="s">
        <v>0</v>
      </c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Z3" s="55" t="s">
        <v>0</v>
      </c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</row>
    <row r="4" spans="2:65" x14ac:dyDescent="0.25"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</row>
    <row r="5" spans="2:65" x14ac:dyDescent="0.25"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</row>
    <row r="6" spans="2:65" x14ac:dyDescent="0.25"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</row>
    <row r="7" spans="2:65" x14ac:dyDescent="0.25"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</row>
    <row r="8" spans="2:65" x14ac:dyDescent="0.25"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</row>
    <row r="9" spans="2:65" x14ac:dyDescent="0.25"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</row>
    <row r="10" spans="2:65" x14ac:dyDescent="0.25"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</row>
    <row r="11" spans="2:65" x14ac:dyDescent="0.25"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</row>
    <row r="12" spans="2:65" x14ac:dyDescent="0.25"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</row>
    <row r="13" spans="2:65" x14ac:dyDescent="0.25"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</row>
    <row r="14" spans="2:65" x14ac:dyDescent="0.25"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</row>
    <row r="15" spans="2:65" x14ac:dyDescent="0.25"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</row>
    <row r="16" spans="2:65" x14ac:dyDescent="0.25"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</row>
    <row r="17" spans="2:6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2:65" x14ac:dyDescent="0.25">
      <c r="B18" s="53" t="s">
        <v>26</v>
      </c>
      <c r="C18" s="53"/>
      <c r="D18" s="53"/>
      <c r="E18" s="53"/>
      <c r="F18" s="53"/>
      <c r="G18" s="53"/>
      <c r="H18" s="12"/>
      <c r="I18" s="12"/>
      <c r="J18" s="53" t="s">
        <v>39</v>
      </c>
      <c r="K18" s="53"/>
      <c r="L18" s="53"/>
      <c r="M18" s="53"/>
      <c r="N18" s="53"/>
      <c r="O18" s="53"/>
      <c r="T18" s="53" t="s">
        <v>26</v>
      </c>
      <c r="U18" s="53"/>
      <c r="V18" s="53"/>
      <c r="W18" s="53"/>
      <c r="X18" s="53"/>
      <c r="Y18" s="53"/>
      <c r="Z18" s="12"/>
      <c r="AA18" s="12"/>
      <c r="AB18" s="53" t="s">
        <v>39</v>
      </c>
      <c r="AC18" s="53"/>
      <c r="AD18" s="53"/>
      <c r="AE18" s="53"/>
      <c r="AF18" s="53"/>
      <c r="AG18" s="53"/>
      <c r="AJ18" s="53" t="s">
        <v>26</v>
      </c>
      <c r="AK18" s="53"/>
      <c r="AL18" s="53"/>
      <c r="AM18" s="53"/>
      <c r="AN18" s="53"/>
      <c r="AO18" s="53"/>
      <c r="AP18" s="12"/>
      <c r="AQ18" s="12"/>
      <c r="AR18" s="53" t="s">
        <v>39</v>
      </c>
      <c r="AS18" s="53"/>
      <c r="AT18" s="53"/>
      <c r="AU18" s="53"/>
      <c r="AV18" s="53"/>
      <c r="AW18" s="53"/>
      <c r="AZ18" s="53" t="s">
        <v>26</v>
      </c>
      <c r="BA18" s="53"/>
      <c r="BB18" s="53"/>
      <c r="BC18" s="53"/>
      <c r="BD18" s="53"/>
      <c r="BE18" s="53"/>
      <c r="BF18" s="12"/>
      <c r="BG18" s="12"/>
      <c r="BH18" s="53" t="s">
        <v>39</v>
      </c>
      <c r="BI18" s="53"/>
      <c r="BJ18" s="53"/>
      <c r="BK18" s="53"/>
      <c r="BL18" s="53"/>
      <c r="BM18" s="53"/>
    </row>
    <row r="19" spans="2:6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2:65" x14ac:dyDescent="0.25">
      <c r="B20" s="58" t="s">
        <v>27</v>
      </c>
      <c r="C20" s="58"/>
      <c r="D20" s="58"/>
      <c r="E20" s="58"/>
      <c r="F20" s="4">
        <v>1750</v>
      </c>
      <c r="G20" s="4" t="s">
        <v>28</v>
      </c>
      <c r="H20" s="4"/>
      <c r="I20" s="58" t="s">
        <v>41</v>
      </c>
      <c r="J20" s="58"/>
      <c r="K20" s="58"/>
      <c r="L20" s="58"/>
      <c r="M20" s="4">
        <v>20</v>
      </c>
      <c r="N20" s="1" t="s">
        <v>42</v>
      </c>
      <c r="O20" s="1"/>
      <c r="T20" s="58" t="s">
        <v>27</v>
      </c>
      <c r="U20" s="58"/>
      <c r="V20" s="58"/>
      <c r="W20" s="58"/>
      <c r="X20" s="4">
        <v>1750</v>
      </c>
      <c r="Y20" s="4" t="s">
        <v>28</v>
      </c>
      <c r="Z20" s="4"/>
      <c r="AA20" s="58" t="s">
        <v>41</v>
      </c>
      <c r="AB20" s="58"/>
      <c r="AC20" s="58"/>
      <c r="AD20" s="58"/>
      <c r="AE20" s="4">
        <v>20</v>
      </c>
      <c r="AF20" s="1" t="s">
        <v>42</v>
      </c>
      <c r="AG20" s="1"/>
      <c r="AJ20" s="58" t="s">
        <v>27</v>
      </c>
      <c r="AK20" s="58"/>
      <c r="AL20" s="58"/>
      <c r="AM20" s="58"/>
      <c r="AN20" s="4">
        <v>1750</v>
      </c>
      <c r="AO20" s="4" t="s">
        <v>28</v>
      </c>
      <c r="AP20" s="4"/>
      <c r="AQ20" s="58" t="s">
        <v>41</v>
      </c>
      <c r="AR20" s="58"/>
      <c r="AS20" s="58"/>
      <c r="AT20" s="58"/>
      <c r="AU20" s="4">
        <v>20</v>
      </c>
      <c r="AV20" s="1" t="s">
        <v>42</v>
      </c>
      <c r="AW20" s="1"/>
      <c r="AZ20" s="58" t="s">
        <v>27</v>
      </c>
      <c r="BA20" s="58"/>
      <c r="BB20" s="58"/>
      <c r="BC20" s="58"/>
      <c r="BD20" s="4">
        <v>1750</v>
      </c>
      <c r="BE20" s="4" t="s">
        <v>28</v>
      </c>
      <c r="BF20" s="4"/>
      <c r="BG20" s="58" t="s">
        <v>41</v>
      </c>
      <c r="BH20" s="58"/>
      <c r="BI20" s="58"/>
      <c r="BJ20" s="58"/>
      <c r="BK20" s="4">
        <v>20</v>
      </c>
      <c r="BL20" s="1" t="s">
        <v>42</v>
      </c>
      <c r="BM20" s="1"/>
    </row>
    <row r="21" spans="2:65" x14ac:dyDescent="0.25">
      <c r="B21" s="52" t="s">
        <v>29</v>
      </c>
      <c r="C21" s="52"/>
      <c r="D21" s="52"/>
      <c r="E21" s="52"/>
      <c r="F21" s="1">
        <v>85</v>
      </c>
      <c r="G21" s="1" t="s">
        <v>28</v>
      </c>
      <c r="H21" s="1"/>
      <c r="I21" s="54" t="s">
        <v>40</v>
      </c>
      <c r="J21" s="54"/>
      <c r="K21" s="54"/>
      <c r="L21" s="54"/>
      <c r="M21" s="9">
        <f>(M20/F20)*(550)*(1/(2*PI()))*(60)</f>
        <v>60.024149966086242</v>
      </c>
      <c r="N21" s="1" t="s">
        <v>43</v>
      </c>
      <c r="O21" s="1"/>
      <c r="T21" s="52" t="s">
        <v>29</v>
      </c>
      <c r="U21" s="52"/>
      <c r="V21" s="52"/>
      <c r="W21" s="52"/>
      <c r="X21" s="1">
        <v>82</v>
      </c>
      <c r="Y21" s="1" t="s">
        <v>28</v>
      </c>
      <c r="Z21" s="1"/>
      <c r="AA21" s="54" t="s">
        <v>40</v>
      </c>
      <c r="AB21" s="54"/>
      <c r="AC21" s="54"/>
      <c r="AD21" s="54"/>
      <c r="AE21" s="9">
        <f>(AE20/X20)*(550)*(1/(2*PI()))*(60)</f>
        <v>60.024149966086242</v>
      </c>
      <c r="AF21" s="1" t="s">
        <v>43</v>
      </c>
      <c r="AG21" s="1"/>
      <c r="AJ21" s="52" t="s">
        <v>29</v>
      </c>
      <c r="AK21" s="52"/>
      <c r="AL21" s="52"/>
      <c r="AM21" s="52"/>
      <c r="AN21" s="1">
        <f>(88+82)/2</f>
        <v>85</v>
      </c>
      <c r="AO21" s="1" t="s">
        <v>28</v>
      </c>
      <c r="AP21" s="1"/>
      <c r="AQ21" s="54" t="s">
        <v>40</v>
      </c>
      <c r="AR21" s="54"/>
      <c r="AS21" s="54"/>
      <c r="AT21" s="54"/>
      <c r="AU21" s="9">
        <f>(AU20/AN20)*(550)*(1/(2*PI()))*(60)</f>
        <v>60.024149966086242</v>
      </c>
      <c r="AV21" s="1" t="s">
        <v>43</v>
      </c>
      <c r="AW21" s="1"/>
      <c r="AZ21" s="52" t="s">
        <v>29</v>
      </c>
      <c r="BA21" s="52"/>
      <c r="BB21" s="52"/>
      <c r="BC21" s="52"/>
      <c r="BD21" s="1">
        <f>(88+82)/2</f>
        <v>85</v>
      </c>
      <c r="BE21" s="1" t="s">
        <v>28</v>
      </c>
      <c r="BF21" s="1"/>
      <c r="BG21" s="54" t="s">
        <v>40</v>
      </c>
      <c r="BH21" s="54"/>
      <c r="BI21" s="54"/>
      <c r="BJ21" s="54"/>
      <c r="BK21" s="9">
        <f>(BK20/BD20)*(550)*(1/(2*PI()))*(60)</f>
        <v>60.024149966086242</v>
      </c>
      <c r="BL21" s="1" t="s">
        <v>43</v>
      </c>
      <c r="BM21" s="1"/>
    </row>
    <row r="22" spans="2:65" x14ac:dyDescent="0.25">
      <c r="B22" s="52" t="s">
        <v>30</v>
      </c>
      <c r="C22" s="52"/>
      <c r="D22" s="52"/>
      <c r="E22" s="52"/>
      <c r="F22" s="7">
        <f>F21/F20</f>
        <v>4.8571428571428571E-2</v>
      </c>
      <c r="G22" s="1"/>
      <c r="H22" s="1"/>
      <c r="I22" s="54" t="s">
        <v>44</v>
      </c>
      <c r="J22" s="54"/>
      <c r="K22" s="54"/>
      <c r="L22" s="54"/>
      <c r="M22" s="9">
        <f>M21*(F20/F28)</f>
        <v>270.1086748473881</v>
      </c>
      <c r="N22" s="1" t="s">
        <v>43</v>
      </c>
      <c r="O22" s="1"/>
      <c r="T22" s="52" t="s">
        <v>30</v>
      </c>
      <c r="U22" s="52"/>
      <c r="V22" s="52"/>
      <c r="W22" s="52"/>
      <c r="X22" s="7">
        <f>X21/X20</f>
        <v>4.6857142857142854E-2</v>
      </c>
      <c r="Y22" s="1"/>
      <c r="Z22" s="1"/>
      <c r="AA22" s="54" t="s">
        <v>44</v>
      </c>
      <c r="AB22" s="54"/>
      <c r="AC22" s="54"/>
      <c r="AD22" s="54"/>
      <c r="AE22" s="9">
        <f>AE21*(X20/X28)</f>
        <v>273.86018422026854</v>
      </c>
      <c r="AF22" s="1" t="s">
        <v>43</v>
      </c>
      <c r="AG22" s="1"/>
      <c r="AJ22" s="52" t="s">
        <v>30</v>
      </c>
      <c r="AK22" s="52"/>
      <c r="AL22" s="52"/>
      <c r="AM22" s="52"/>
      <c r="AN22" s="7">
        <f>AN21/AN20</f>
        <v>4.8571428571428571E-2</v>
      </c>
      <c r="AO22" s="1"/>
      <c r="AP22" s="1"/>
      <c r="AQ22" s="54" t="s">
        <v>44</v>
      </c>
      <c r="AR22" s="54"/>
      <c r="AS22" s="54"/>
      <c r="AT22" s="54"/>
      <c r="AU22" s="9">
        <f>AU21*(AN20/AN28)</f>
        <v>270.1086748473881</v>
      </c>
      <c r="AV22" s="1" t="s">
        <v>43</v>
      </c>
      <c r="AW22" s="1"/>
      <c r="AZ22" s="52" t="s">
        <v>30</v>
      </c>
      <c r="BA22" s="52"/>
      <c r="BB22" s="52"/>
      <c r="BC22" s="52"/>
      <c r="BD22" s="7">
        <f>BD21/BD20</f>
        <v>4.8571428571428571E-2</v>
      </c>
      <c r="BE22" s="1"/>
      <c r="BF22" s="1"/>
      <c r="BG22" s="54" t="s">
        <v>44</v>
      </c>
      <c r="BH22" s="54"/>
      <c r="BI22" s="54"/>
      <c r="BJ22" s="54"/>
      <c r="BK22" s="9">
        <f>BK21*(BD20/BD28)</f>
        <v>270.1086748473881</v>
      </c>
      <c r="BL22" s="1" t="s">
        <v>43</v>
      </c>
      <c r="BM22" s="1"/>
    </row>
    <row r="23" spans="2:65" x14ac:dyDescent="0.25">
      <c r="B23" s="52" t="s">
        <v>31</v>
      </c>
      <c r="C23" s="52"/>
      <c r="D23" s="52"/>
      <c r="E23" s="52"/>
      <c r="F23" s="1">
        <v>16</v>
      </c>
      <c r="G23" s="1" t="s">
        <v>35</v>
      </c>
      <c r="H23" s="1"/>
      <c r="I23" s="54" t="s">
        <v>45</v>
      </c>
      <c r="J23" s="54"/>
      <c r="K23" s="54"/>
      <c r="L23" s="54"/>
      <c r="M23" s="9">
        <f>M21*(F20/F27)</f>
        <v>1215.4890368132465</v>
      </c>
      <c r="N23" s="1" t="s">
        <v>43</v>
      </c>
      <c r="O23" s="1"/>
      <c r="T23" s="52" t="s">
        <v>31</v>
      </c>
      <c r="U23" s="52"/>
      <c r="V23" s="52"/>
      <c r="W23" s="52"/>
      <c r="X23" s="1">
        <v>16</v>
      </c>
      <c r="Y23" s="1" t="s">
        <v>35</v>
      </c>
      <c r="Z23" s="1"/>
      <c r="AA23" s="54" t="s">
        <v>45</v>
      </c>
      <c r="AB23" s="54"/>
      <c r="AC23" s="54"/>
      <c r="AD23" s="54"/>
      <c r="AE23" s="9">
        <f>AE21*(X20/X27)</f>
        <v>1249.487090504975</v>
      </c>
      <c r="AF23" s="1" t="s">
        <v>43</v>
      </c>
      <c r="AG23" s="1"/>
      <c r="AJ23" s="52" t="s">
        <v>31</v>
      </c>
      <c r="AK23" s="52"/>
      <c r="AL23" s="52"/>
      <c r="AM23" s="52"/>
      <c r="AN23" s="1">
        <v>16</v>
      </c>
      <c r="AO23" s="1" t="s">
        <v>35</v>
      </c>
      <c r="AP23" s="1"/>
      <c r="AQ23" s="54" t="s">
        <v>45</v>
      </c>
      <c r="AR23" s="54"/>
      <c r="AS23" s="54"/>
      <c r="AT23" s="54"/>
      <c r="AU23" s="9">
        <f>AU21*(AN20/AN27)</f>
        <v>1215.4890368132465</v>
      </c>
      <c r="AV23" s="1" t="s">
        <v>43</v>
      </c>
      <c r="AW23" s="1"/>
      <c r="AZ23" s="52" t="s">
        <v>31</v>
      </c>
      <c r="BA23" s="52"/>
      <c r="BB23" s="52"/>
      <c r="BC23" s="52"/>
      <c r="BD23" s="1">
        <v>16</v>
      </c>
      <c r="BE23" s="1" t="s">
        <v>35</v>
      </c>
      <c r="BF23" s="1"/>
      <c r="BG23" s="54" t="s">
        <v>45</v>
      </c>
      <c r="BH23" s="54"/>
      <c r="BI23" s="54"/>
      <c r="BJ23" s="54"/>
      <c r="BK23" s="9">
        <f>BK21*(BD20/BD27)</f>
        <v>1215.4890368132465</v>
      </c>
      <c r="BL23" s="1" t="s">
        <v>43</v>
      </c>
      <c r="BM23" s="1"/>
    </row>
    <row r="24" spans="2:65" x14ac:dyDescent="0.25">
      <c r="B24" s="52" t="s">
        <v>32</v>
      </c>
      <c r="C24" s="52"/>
      <c r="D24" s="52"/>
      <c r="E24" s="52"/>
      <c r="F24" s="10">
        <f>INT(F23*SQRT(1/F22))</f>
        <v>72</v>
      </c>
      <c r="G24" s="1" t="s">
        <v>35</v>
      </c>
      <c r="H24" s="1"/>
      <c r="I24" s="52"/>
      <c r="J24" s="52"/>
      <c r="K24" s="52"/>
      <c r="L24" s="52"/>
      <c r="M24" s="1"/>
      <c r="N24" s="1"/>
      <c r="O24" s="1"/>
      <c r="T24" s="52" t="s">
        <v>32</v>
      </c>
      <c r="U24" s="52"/>
      <c r="V24" s="52"/>
      <c r="W24" s="52"/>
      <c r="X24" s="10">
        <f>INT(X23*SQRT(1/X22))</f>
        <v>73</v>
      </c>
      <c r="Y24" s="1" t="s">
        <v>35</v>
      </c>
      <c r="Z24" s="1"/>
      <c r="AA24" s="52"/>
      <c r="AB24" s="52"/>
      <c r="AC24" s="52"/>
      <c r="AD24" s="52"/>
      <c r="AE24" s="1"/>
      <c r="AF24" s="1"/>
      <c r="AG24" s="1"/>
      <c r="AJ24" s="52" t="s">
        <v>32</v>
      </c>
      <c r="AK24" s="52"/>
      <c r="AL24" s="52"/>
      <c r="AM24" s="52"/>
      <c r="AN24" s="10">
        <f>INT(AN23*SQRT(1/AN22))</f>
        <v>72</v>
      </c>
      <c r="AO24" s="1" t="s">
        <v>35</v>
      </c>
      <c r="AP24" s="1"/>
      <c r="AQ24" s="52"/>
      <c r="AR24" s="52"/>
      <c r="AS24" s="52"/>
      <c r="AT24" s="52"/>
      <c r="AU24" s="1"/>
      <c r="AV24" s="1"/>
      <c r="AW24" s="1"/>
      <c r="AZ24" s="52" t="s">
        <v>32</v>
      </c>
      <c r="BA24" s="52"/>
      <c r="BB24" s="52"/>
      <c r="BC24" s="52"/>
      <c r="BD24" s="10">
        <f>INT(BD23*SQRT(1/BD22))</f>
        <v>72</v>
      </c>
      <c r="BE24" s="1" t="s">
        <v>35</v>
      </c>
      <c r="BF24" s="1"/>
      <c r="BG24" s="52"/>
      <c r="BH24" s="52"/>
      <c r="BI24" s="52"/>
      <c r="BJ24" s="52"/>
      <c r="BK24" s="1"/>
      <c r="BL24" s="1"/>
      <c r="BM24" s="1"/>
    </row>
    <row r="25" spans="2:65" x14ac:dyDescent="0.25">
      <c r="B25" s="52" t="s">
        <v>33</v>
      </c>
      <c r="C25" s="52"/>
      <c r="D25" s="52"/>
      <c r="E25" s="52"/>
      <c r="F25" s="1">
        <f>F23</f>
        <v>16</v>
      </c>
      <c r="G25" s="1" t="s">
        <v>35</v>
      </c>
      <c r="H25" s="1"/>
      <c r="I25" s="52"/>
      <c r="J25" s="52"/>
      <c r="K25" s="52"/>
      <c r="L25" s="52"/>
      <c r="M25" s="1"/>
      <c r="N25" s="1"/>
      <c r="O25" s="1"/>
      <c r="T25" s="52" t="s">
        <v>33</v>
      </c>
      <c r="U25" s="52"/>
      <c r="V25" s="52"/>
      <c r="W25" s="52"/>
      <c r="X25" s="1">
        <f>X23</f>
        <v>16</v>
      </c>
      <c r="Y25" s="1" t="s">
        <v>35</v>
      </c>
      <c r="Z25" s="1"/>
      <c r="AA25" s="52"/>
      <c r="AB25" s="52"/>
      <c r="AC25" s="52"/>
      <c r="AD25" s="52"/>
      <c r="AE25" s="1"/>
      <c r="AF25" s="1"/>
      <c r="AG25" s="1"/>
      <c r="AJ25" s="52" t="s">
        <v>33</v>
      </c>
      <c r="AK25" s="52"/>
      <c r="AL25" s="52"/>
      <c r="AM25" s="52"/>
      <c r="AN25" s="1">
        <f>AN23</f>
        <v>16</v>
      </c>
      <c r="AO25" s="1" t="s">
        <v>35</v>
      </c>
      <c r="AP25" s="1"/>
      <c r="AQ25" s="52"/>
      <c r="AR25" s="52"/>
      <c r="AS25" s="52"/>
      <c r="AT25" s="52"/>
      <c r="AU25" s="1"/>
      <c r="AV25" s="1"/>
      <c r="AW25" s="1"/>
      <c r="AZ25" s="52" t="s">
        <v>33</v>
      </c>
      <c r="BA25" s="52"/>
      <c r="BB25" s="52"/>
      <c r="BC25" s="52"/>
      <c r="BD25" s="1">
        <f>BD23</f>
        <v>16</v>
      </c>
      <c r="BE25" s="1" t="s">
        <v>35</v>
      </c>
      <c r="BF25" s="1"/>
      <c r="BG25" s="52"/>
      <c r="BH25" s="52"/>
      <c r="BI25" s="52"/>
      <c r="BJ25" s="52"/>
      <c r="BK25" s="1"/>
      <c r="BL25" s="1"/>
      <c r="BM25" s="1"/>
    </row>
    <row r="26" spans="2:65" x14ac:dyDescent="0.25">
      <c r="B26" s="52" t="s">
        <v>34</v>
      </c>
      <c r="C26" s="52"/>
      <c r="D26" s="52"/>
      <c r="E26" s="52"/>
      <c r="F26" s="10">
        <f>F24</f>
        <v>72</v>
      </c>
      <c r="G26" s="1" t="s">
        <v>35</v>
      </c>
      <c r="H26" s="1"/>
      <c r="I26" s="52"/>
      <c r="J26" s="52"/>
      <c r="K26" s="52"/>
      <c r="L26" s="52"/>
      <c r="M26" s="1"/>
      <c r="N26" s="1"/>
      <c r="O26" s="1"/>
      <c r="T26" s="52" t="s">
        <v>34</v>
      </c>
      <c r="U26" s="52"/>
      <c r="V26" s="52"/>
      <c r="W26" s="52"/>
      <c r="X26" s="10">
        <f>X24</f>
        <v>73</v>
      </c>
      <c r="Y26" s="1" t="s">
        <v>35</v>
      </c>
      <c r="Z26" s="1"/>
      <c r="AA26" s="52"/>
      <c r="AB26" s="52"/>
      <c r="AC26" s="52"/>
      <c r="AD26" s="52"/>
      <c r="AE26" s="1"/>
      <c r="AF26" s="1"/>
      <c r="AG26" s="1"/>
      <c r="AJ26" s="52" t="s">
        <v>34</v>
      </c>
      <c r="AK26" s="52"/>
      <c r="AL26" s="52"/>
      <c r="AM26" s="52"/>
      <c r="AN26" s="10">
        <f>AN24</f>
        <v>72</v>
      </c>
      <c r="AO26" s="1" t="s">
        <v>35</v>
      </c>
      <c r="AP26" s="1"/>
      <c r="AQ26" s="52"/>
      <c r="AR26" s="52"/>
      <c r="AS26" s="52"/>
      <c r="AT26" s="52"/>
      <c r="AU26" s="1"/>
      <c r="AV26" s="1"/>
      <c r="AW26" s="1"/>
      <c r="AZ26" s="52" t="s">
        <v>34</v>
      </c>
      <c r="BA26" s="52"/>
      <c r="BB26" s="52"/>
      <c r="BC26" s="52"/>
      <c r="BD26" s="10">
        <f>BD24</f>
        <v>72</v>
      </c>
      <c r="BE26" s="1" t="s">
        <v>35</v>
      </c>
      <c r="BF26" s="1"/>
      <c r="BG26" s="52"/>
      <c r="BH26" s="52"/>
      <c r="BI26" s="52"/>
      <c r="BJ26" s="52"/>
      <c r="BK26" s="1"/>
      <c r="BL26" s="1"/>
      <c r="BM26" s="1"/>
    </row>
    <row r="27" spans="2:65" x14ac:dyDescent="0.25">
      <c r="B27" s="52" t="s">
        <v>36</v>
      </c>
      <c r="C27" s="52"/>
      <c r="D27" s="52"/>
      <c r="E27" s="52"/>
      <c r="F27" s="8">
        <f>(F23/F24)*(F25/F26)*F20</f>
        <v>86.419753086419746</v>
      </c>
      <c r="G27" s="1" t="s">
        <v>28</v>
      </c>
      <c r="H27" s="1"/>
      <c r="I27" s="52"/>
      <c r="J27" s="52"/>
      <c r="K27" s="52"/>
      <c r="L27" s="52"/>
      <c r="M27" s="1"/>
      <c r="N27" s="1"/>
      <c r="O27" s="1"/>
      <c r="T27" s="52" t="s">
        <v>36</v>
      </c>
      <c r="U27" s="52"/>
      <c r="V27" s="52"/>
      <c r="W27" s="52"/>
      <c r="X27" s="8">
        <f>(X23/X24)*(X25/X26)*X20</f>
        <v>84.068305498217299</v>
      </c>
      <c r="Y27" s="1" t="s">
        <v>28</v>
      </c>
      <c r="Z27" s="1"/>
      <c r="AA27" s="52"/>
      <c r="AB27" s="52"/>
      <c r="AC27" s="52"/>
      <c r="AD27" s="52"/>
      <c r="AE27" s="1"/>
      <c r="AF27" s="1"/>
      <c r="AG27" s="1"/>
      <c r="AJ27" s="52" t="s">
        <v>36</v>
      </c>
      <c r="AK27" s="52"/>
      <c r="AL27" s="52"/>
      <c r="AM27" s="52"/>
      <c r="AN27" s="8">
        <f>(AN23/AN24)*(AN25/AN26)*AN20</f>
        <v>86.419753086419746</v>
      </c>
      <c r="AO27" s="1" t="s">
        <v>28</v>
      </c>
      <c r="AP27" s="1"/>
      <c r="AQ27" s="52"/>
      <c r="AR27" s="52"/>
      <c r="AS27" s="52"/>
      <c r="AT27" s="52"/>
      <c r="AU27" s="1"/>
      <c r="AV27" s="1"/>
      <c r="AW27" s="1"/>
      <c r="AZ27" s="52" t="s">
        <v>36</v>
      </c>
      <c r="BA27" s="52"/>
      <c r="BB27" s="52"/>
      <c r="BC27" s="52"/>
      <c r="BD27" s="8">
        <f>(BD23/BD24)*(BD25/BD26)*BD20</f>
        <v>86.419753086419746</v>
      </c>
      <c r="BE27" s="1" t="s">
        <v>28</v>
      </c>
      <c r="BF27" s="1"/>
      <c r="BG27" s="52"/>
      <c r="BH27" s="52"/>
      <c r="BI27" s="52"/>
      <c r="BJ27" s="52"/>
      <c r="BK27" s="1"/>
      <c r="BL27" s="1"/>
      <c r="BM27" s="1"/>
    </row>
    <row r="28" spans="2:65" x14ac:dyDescent="0.25">
      <c r="B28" s="52" t="s">
        <v>37</v>
      </c>
      <c r="C28" s="52"/>
      <c r="D28" s="52"/>
      <c r="E28" s="52"/>
      <c r="F28" s="8">
        <f>(F23/F24)*F20</f>
        <v>388.88888888888886</v>
      </c>
      <c r="G28" s="1" t="s">
        <v>28</v>
      </c>
      <c r="H28" s="1"/>
      <c r="I28" s="52"/>
      <c r="J28" s="52"/>
      <c r="K28" s="52"/>
      <c r="L28" s="52"/>
      <c r="M28" s="1"/>
      <c r="N28" s="1"/>
      <c r="O28" s="1"/>
      <c r="T28" s="52" t="s">
        <v>37</v>
      </c>
      <c r="U28" s="52"/>
      <c r="V28" s="52"/>
      <c r="W28" s="52"/>
      <c r="X28" s="8">
        <f>(X23/X24)*X20</f>
        <v>383.56164383561639</v>
      </c>
      <c r="Y28" s="1" t="s">
        <v>28</v>
      </c>
      <c r="Z28" s="1"/>
      <c r="AA28" s="52"/>
      <c r="AB28" s="52"/>
      <c r="AC28" s="52"/>
      <c r="AD28" s="52"/>
      <c r="AE28" s="1"/>
      <c r="AF28" s="1"/>
      <c r="AG28" s="1"/>
      <c r="AJ28" s="52" t="s">
        <v>37</v>
      </c>
      <c r="AK28" s="52"/>
      <c r="AL28" s="52"/>
      <c r="AM28" s="52"/>
      <c r="AN28" s="8">
        <f>(AN23/AN24)*AN20</f>
        <v>388.88888888888886</v>
      </c>
      <c r="AO28" s="1" t="s">
        <v>28</v>
      </c>
      <c r="AP28" s="1"/>
      <c r="AQ28" s="52"/>
      <c r="AR28" s="52"/>
      <c r="AS28" s="52"/>
      <c r="AT28" s="52"/>
      <c r="AU28" s="1"/>
      <c r="AV28" s="1"/>
      <c r="AW28" s="1"/>
      <c r="AZ28" s="52" t="s">
        <v>37</v>
      </c>
      <c r="BA28" s="52"/>
      <c r="BB28" s="52"/>
      <c r="BC28" s="52"/>
      <c r="BD28" s="8">
        <f>(BD23/BD24)*BD20</f>
        <v>388.88888888888886</v>
      </c>
      <c r="BE28" s="1" t="s">
        <v>28</v>
      </c>
      <c r="BF28" s="1"/>
      <c r="BG28" s="52"/>
      <c r="BH28" s="52"/>
      <c r="BI28" s="52"/>
      <c r="BJ28" s="52"/>
      <c r="BK28" s="1"/>
      <c r="BL28" s="1"/>
      <c r="BM28" s="1"/>
    </row>
    <row r="29" spans="2:65" x14ac:dyDescent="0.25">
      <c r="B29" s="52" t="s">
        <v>38</v>
      </c>
      <c r="C29" s="52"/>
      <c r="D29" s="52"/>
      <c r="E29" s="52"/>
      <c r="F29" s="1"/>
      <c r="G29" s="1"/>
      <c r="H29" s="1"/>
      <c r="I29" s="52"/>
      <c r="J29" s="52"/>
      <c r="K29" s="52"/>
      <c r="L29" s="52"/>
      <c r="M29" s="1"/>
      <c r="N29" s="1"/>
      <c r="O29" s="1"/>
      <c r="T29" s="52" t="s">
        <v>38</v>
      </c>
      <c r="U29" s="52"/>
      <c r="V29" s="52"/>
      <c r="W29" s="52"/>
      <c r="X29" s="1"/>
      <c r="Y29" s="1"/>
      <c r="Z29" s="1"/>
      <c r="AA29" s="52"/>
      <c r="AB29" s="52"/>
      <c r="AC29" s="52"/>
      <c r="AD29" s="52"/>
      <c r="AE29" s="1"/>
      <c r="AF29" s="1"/>
      <c r="AG29" s="1"/>
      <c r="AJ29" s="52" t="s">
        <v>38</v>
      </c>
      <c r="AK29" s="52"/>
      <c r="AL29" s="52"/>
      <c r="AM29" s="52"/>
      <c r="AN29" s="1"/>
      <c r="AO29" s="1"/>
      <c r="AP29" s="1"/>
      <c r="AQ29" s="52"/>
      <c r="AR29" s="52"/>
      <c r="AS29" s="52"/>
      <c r="AT29" s="52"/>
      <c r="AU29" s="1"/>
      <c r="AV29" s="1"/>
      <c r="AW29" s="1"/>
      <c r="AZ29" s="52" t="s">
        <v>38</v>
      </c>
      <c r="BA29" s="52"/>
      <c r="BB29" s="52"/>
      <c r="BC29" s="52"/>
      <c r="BD29" s="1"/>
      <c r="BE29" s="1"/>
      <c r="BF29" s="1"/>
      <c r="BG29" s="52"/>
      <c r="BH29" s="52"/>
      <c r="BI29" s="52"/>
      <c r="BJ29" s="52"/>
      <c r="BK29" s="1"/>
      <c r="BL29" s="1"/>
      <c r="BM29" s="1"/>
    </row>
    <row r="30" spans="2:65" x14ac:dyDescent="0.25">
      <c r="B30" s="52"/>
      <c r="C30" s="52"/>
      <c r="D30" s="52"/>
      <c r="E30" s="52"/>
      <c r="F30" s="1"/>
      <c r="G30" s="1"/>
      <c r="H30" s="1"/>
      <c r="I30" s="52"/>
      <c r="J30" s="52"/>
      <c r="K30" s="52"/>
      <c r="L30" s="52"/>
      <c r="M30" s="1"/>
      <c r="N30" s="1"/>
      <c r="O30" s="1"/>
      <c r="T30" s="52"/>
      <c r="U30" s="52"/>
      <c r="V30" s="52"/>
      <c r="W30" s="52"/>
      <c r="X30" s="1"/>
      <c r="Y30" s="1"/>
      <c r="Z30" s="1"/>
      <c r="AA30" s="52"/>
      <c r="AB30" s="52"/>
      <c r="AC30" s="52"/>
      <c r="AD30" s="52"/>
      <c r="AE30" s="1"/>
      <c r="AF30" s="1"/>
      <c r="AG30" s="1"/>
      <c r="AJ30" s="52"/>
      <c r="AK30" s="52"/>
      <c r="AL30" s="52"/>
      <c r="AM30" s="52"/>
      <c r="AN30" s="1"/>
      <c r="AO30" s="1"/>
      <c r="AP30" s="1"/>
      <c r="AQ30" s="52"/>
      <c r="AR30" s="52"/>
      <c r="AS30" s="52"/>
      <c r="AT30" s="52"/>
      <c r="AU30" s="1"/>
      <c r="AV30" s="1"/>
      <c r="AW30" s="1"/>
      <c r="AZ30" s="52"/>
      <c r="BA30" s="52"/>
      <c r="BB30" s="52"/>
      <c r="BC30" s="52"/>
      <c r="BD30" s="1"/>
      <c r="BE30" s="1"/>
      <c r="BF30" s="1"/>
      <c r="BG30" s="52"/>
      <c r="BH30" s="52"/>
      <c r="BI30" s="52"/>
      <c r="BJ30" s="52"/>
      <c r="BK30" s="1"/>
      <c r="BL30" s="1"/>
      <c r="BM30" s="1"/>
    </row>
    <row r="31" spans="2:65" x14ac:dyDescent="0.25">
      <c r="B31" s="53" t="s">
        <v>46</v>
      </c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T31" s="53" t="s">
        <v>46</v>
      </c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J31" s="53" t="s">
        <v>46</v>
      </c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Z31" s="53" t="s">
        <v>46</v>
      </c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</row>
    <row r="32" spans="2:65" x14ac:dyDescent="0.25">
      <c r="B32" s="52"/>
      <c r="C32" s="52"/>
      <c r="D32" s="52"/>
      <c r="E32" s="52"/>
      <c r="F32" s="1"/>
      <c r="G32" s="1"/>
      <c r="H32" s="1"/>
      <c r="I32" s="52"/>
      <c r="J32" s="52"/>
      <c r="K32" s="52"/>
      <c r="L32" s="52"/>
      <c r="M32" s="1"/>
      <c r="N32" s="1"/>
      <c r="O32" s="1"/>
      <c r="T32" s="52"/>
      <c r="U32" s="52"/>
      <c r="V32" s="52"/>
      <c r="W32" s="52"/>
      <c r="X32" s="1"/>
      <c r="Y32" s="1"/>
      <c r="Z32" s="1"/>
      <c r="AA32" s="52"/>
      <c r="AB32" s="52"/>
      <c r="AC32" s="52"/>
      <c r="AD32" s="52"/>
      <c r="AE32" s="1"/>
      <c r="AF32" s="1"/>
      <c r="AG32" s="1"/>
      <c r="AJ32" s="52"/>
      <c r="AK32" s="52"/>
      <c r="AL32" s="52"/>
      <c r="AM32" s="52"/>
      <c r="AN32" s="1"/>
      <c r="AO32" s="1"/>
      <c r="AP32" s="1"/>
      <c r="AQ32" s="52"/>
      <c r="AR32" s="52"/>
      <c r="AS32" s="52"/>
      <c r="AT32" s="52"/>
      <c r="AU32" s="1"/>
      <c r="AV32" s="1"/>
      <c r="AW32" s="1"/>
      <c r="AZ32" s="52"/>
      <c r="BA32" s="52"/>
      <c r="BB32" s="52"/>
      <c r="BC32" s="52"/>
      <c r="BD32" s="1"/>
      <c r="BE32" s="1"/>
      <c r="BF32" s="1"/>
      <c r="BG32" s="52"/>
      <c r="BH32" s="52"/>
      <c r="BI32" s="52"/>
      <c r="BJ32" s="52"/>
      <c r="BK32" s="1"/>
      <c r="BL32" s="1"/>
      <c r="BM32" s="1"/>
    </row>
    <row r="33" spans="2:65" x14ac:dyDescent="0.25">
      <c r="B33" s="58" t="s">
        <v>48</v>
      </c>
      <c r="C33" s="58"/>
      <c r="D33" s="58"/>
      <c r="E33" s="58"/>
      <c r="F33" s="4">
        <v>22</v>
      </c>
      <c r="G33" s="1" t="s">
        <v>50</v>
      </c>
      <c r="H33" s="1"/>
      <c r="I33" s="1"/>
      <c r="J33" s="4"/>
      <c r="K33" s="4"/>
      <c r="L33" s="4"/>
      <c r="M33" s="1"/>
      <c r="N33" s="1"/>
      <c r="O33" s="1"/>
      <c r="T33" s="58" t="s">
        <v>48</v>
      </c>
      <c r="U33" s="58"/>
      <c r="V33" s="58"/>
      <c r="W33" s="58"/>
      <c r="X33" s="4">
        <v>22</v>
      </c>
      <c r="Y33" s="1" t="s">
        <v>50</v>
      </c>
      <c r="Z33" s="1"/>
      <c r="AA33" s="1"/>
      <c r="AB33" s="4"/>
      <c r="AC33" s="4"/>
      <c r="AD33" s="4"/>
      <c r="AE33" s="1"/>
      <c r="AF33" s="1"/>
      <c r="AG33" s="1"/>
      <c r="AJ33" s="58" t="s">
        <v>48</v>
      </c>
      <c r="AK33" s="58"/>
      <c r="AL33" s="58"/>
      <c r="AM33" s="58"/>
      <c r="AN33" s="4">
        <v>22</v>
      </c>
      <c r="AO33" s="1" t="s">
        <v>50</v>
      </c>
      <c r="AP33" s="1"/>
      <c r="AQ33" s="1"/>
      <c r="AR33" s="4"/>
      <c r="AS33" s="4"/>
      <c r="AT33" s="4"/>
      <c r="AU33" s="1"/>
      <c r="AV33" s="1"/>
      <c r="AW33" s="1"/>
      <c r="AZ33" s="58" t="s">
        <v>48</v>
      </c>
      <c r="BA33" s="58"/>
      <c r="BB33" s="58"/>
      <c r="BC33" s="58"/>
      <c r="BD33" s="4">
        <v>22</v>
      </c>
      <c r="BE33" s="1" t="s">
        <v>50</v>
      </c>
      <c r="BF33" s="1"/>
      <c r="BG33" s="1"/>
      <c r="BH33" s="4"/>
      <c r="BI33" s="4"/>
      <c r="BJ33" s="4"/>
      <c r="BK33" s="1"/>
      <c r="BL33" s="1"/>
      <c r="BM33" s="1"/>
    </row>
    <row r="34" spans="2:65" x14ac:dyDescent="0.25">
      <c r="B34" s="58" t="s">
        <v>49</v>
      </c>
      <c r="C34" s="58"/>
      <c r="D34" s="58"/>
      <c r="E34" s="58"/>
      <c r="F34" s="4">
        <v>1.5</v>
      </c>
      <c r="G34" s="1" t="s">
        <v>50</v>
      </c>
      <c r="H34" s="13" t="s">
        <v>13</v>
      </c>
      <c r="I34" s="13"/>
      <c r="J34" s="13"/>
      <c r="K34" s="13"/>
      <c r="L34" s="13"/>
      <c r="M34" s="13"/>
      <c r="N34" s="13"/>
      <c r="O34" s="13"/>
      <c r="P34" s="14"/>
      <c r="Q34" s="14"/>
      <c r="R34" s="14"/>
      <c r="S34" s="5"/>
      <c r="T34" s="58" t="s">
        <v>49</v>
      </c>
      <c r="U34" s="58"/>
      <c r="V34" s="58"/>
      <c r="W34" s="58"/>
      <c r="X34" s="4">
        <v>1.5</v>
      </c>
      <c r="Y34" s="1" t="s">
        <v>50</v>
      </c>
      <c r="Z34" s="13" t="s">
        <v>13</v>
      </c>
      <c r="AA34" s="13"/>
      <c r="AB34" s="13"/>
      <c r="AC34" s="13"/>
      <c r="AD34" s="13"/>
      <c r="AE34" s="13"/>
      <c r="AF34" s="13"/>
      <c r="AG34" s="13"/>
      <c r="AJ34" s="58" t="s">
        <v>49</v>
      </c>
      <c r="AK34" s="58"/>
      <c r="AL34" s="58"/>
      <c r="AM34" s="58"/>
      <c r="AN34" s="4">
        <v>1.5</v>
      </c>
      <c r="AO34" s="1" t="s">
        <v>50</v>
      </c>
      <c r="AP34" s="13" t="s">
        <v>13</v>
      </c>
      <c r="AQ34" s="13"/>
      <c r="AR34" s="13"/>
      <c r="AS34" s="13"/>
      <c r="AT34" s="13"/>
      <c r="AU34" s="13"/>
      <c r="AV34" s="13"/>
      <c r="AW34" s="13"/>
      <c r="AZ34" s="58" t="s">
        <v>49</v>
      </c>
      <c r="BA34" s="58"/>
      <c r="BB34" s="58"/>
      <c r="BC34" s="58"/>
      <c r="BD34" s="4">
        <v>1.5</v>
      </c>
      <c r="BE34" s="1" t="s">
        <v>50</v>
      </c>
      <c r="BF34" s="13" t="s">
        <v>13</v>
      </c>
      <c r="BG34" s="13"/>
      <c r="BH34" s="13"/>
      <c r="BI34" s="13"/>
      <c r="BJ34" s="13"/>
      <c r="BK34" s="13"/>
      <c r="BL34" s="13"/>
      <c r="BM34" s="13"/>
    </row>
    <row r="35" spans="2:65" x14ac:dyDescent="0.25">
      <c r="B35" s="58" t="s">
        <v>47</v>
      </c>
      <c r="C35" s="58"/>
      <c r="D35" s="58"/>
      <c r="E35" s="58"/>
      <c r="F35" s="16">
        <f>MROUND((F24+(F23/2)+(F26/2)+2)/(F33-F34),1)</f>
        <v>6</v>
      </c>
      <c r="G35" s="1" t="s">
        <v>51</v>
      </c>
      <c r="H35" s="1"/>
      <c r="I35" s="1"/>
      <c r="J35" s="4"/>
      <c r="K35" s="4"/>
      <c r="L35" s="4"/>
      <c r="M35" s="1"/>
      <c r="N35" s="1"/>
      <c r="O35" s="1"/>
      <c r="T35" s="58" t="s">
        <v>47</v>
      </c>
      <c r="U35" s="58"/>
      <c r="V35" s="58"/>
      <c r="W35" s="58"/>
      <c r="X35" s="16">
        <f>MROUND((X24+(X23/2)+(X26/2)+2)/(X33-X34),1)</f>
        <v>6</v>
      </c>
      <c r="Y35" s="1" t="s">
        <v>51</v>
      </c>
      <c r="Z35" s="1"/>
      <c r="AA35" s="1"/>
      <c r="AB35" s="4"/>
      <c r="AC35" s="4"/>
      <c r="AD35" s="4"/>
      <c r="AE35" s="1"/>
      <c r="AF35" s="1"/>
      <c r="AG35" s="1"/>
      <c r="AJ35" s="58" t="s">
        <v>47</v>
      </c>
      <c r="AK35" s="58"/>
      <c r="AL35" s="58"/>
      <c r="AM35" s="58"/>
      <c r="AN35" s="16">
        <f>MROUND((AN24+(AN23/2)+(AN26/2)+2)/(AN33-AN34),1)</f>
        <v>6</v>
      </c>
      <c r="AO35" s="1" t="s">
        <v>51</v>
      </c>
      <c r="AP35" s="1"/>
      <c r="AQ35" s="1"/>
      <c r="AR35" s="4"/>
      <c r="AS35" s="4"/>
      <c r="AT35" s="4"/>
      <c r="AU35" s="1"/>
      <c r="AV35" s="1"/>
      <c r="AW35" s="1"/>
      <c r="AZ35" s="58" t="s">
        <v>47</v>
      </c>
      <c r="BA35" s="58"/>
      <c r="BB35" s="58"/>
      <c r="BC35" s="58"/>
      <c r="BD35" s="16">
        <f>MROUND((BD24+(BD23/2)+(BD26/2)+2)/(BD33-BD34),1)</f>
        <v>6</v>
      </c>
      <c r="BE35" s="1" t="s">
        <v>51</v>
      </c>
      <c r="BF35" s="1"/>
      <c r="BG35" s="1"/>
      <c r="BH35" s="4"/>
      <c r="BI35" s="4"/>
      <c r="BJ35" s="4"/>
      <c r="BK35" s="1"/>
      <c r="BL35" s="1"/>
      <c r="BM35" s="1"/>
    </row>
    <row r="36" spans="2:65" x14ac:dyDescent="0.25">
      <c r="B36" s="54" t="s">
        <v>52</v>
      </c>
      <c r="C36" s="54"/>
      <c r="D36" s="54"/>
      <c r="E36" s="54"/>
      <c r="F36" s="15">
        <f>MROUND(F23/F35,0.01)</f>
        <v>2.67</v>
      </c>
      <c r="G36" s="4" t="s">
        <v>50</v>
      </c>
      <c r="H36" s="4"/>
      <c r="I36" s="4"/>
      <c r="J36" s="4"/>
      <c r="K36" s="4"/>
      <c r="L36" s="4"/>
      <c r="M36" s="1"/>
      <c r="N36" s="1"/>
      <c r="O36" s="1"/>
      <c r="T36" s="54" t="s">
        <v>52</v>
      </c>
      <c r="U36" s="54"/>
      <c r="V36" s="54"/>
      <c r="W36" s="54"/>
      <c r="X36" s="15">
        <f>MROUND(X23/X35,0.01)</f>
        <v>2.67</v>
      </c>
      <c r="Y36" s="4" t="s">
        <v>50</v>
      </c>
      <c r="Z36" s="4"/>
      <c r="AA36" s="4"/>
      <c r="AB36" s="4"/>
      <c r="AC36" s="4"/>
      <c r="AD36" s="4"/>
      <c r="AE36" s="1"/>
      <c r="AF36" s="1"/>
      <c r="AG36" s="1"/>
      <c r="AJ36" s="54" t="s">
        <v>52</v>
      </c>
      <c r="AK36" s="54"/>
      <c r="AL36" s="54"/>
      <c r="AM36" s="54"/>
      <c r="AN36" s="15">
        <f>MROUND(AN23/AN35,0.01)</f>
        <v>2.67</v>
      </c>
      <c r="AO36" s="4" t="s">
        <v>50</v>
      </c>
      <c r="AP36" s="4"/>
      <c r="AQ36" s="4"/>
      <c r="AR36" s="4"/>
      <c r="AS36" s="4"/>
      <c r="AT36" s="4"/>
      <c r="AU36" s="1"/>
      <c r="AV36" s="1"/>
      <c r="AW36" s="1"/>
      <c r="AZ36" s="54" t="s">
        <v>52</v>
      </c>
      <c r="BA36" s="54"/>
      <c r="BB36" s="54"/>
      <c r="BC36" s="54"/>
      <c r="BD36" s="15">
        <f>MROUND(BD23/BD35,0.01)</f>
        <v>2.67</v>
      </c>
      <c r="BE36" s="4" t="s">
        <v>50</v>
      </c>
      <c r="BF36" s="4"/>
      <c r="BG36" s="4"/>
      <c r="BH36" s="4"/>
      <c r="BI36" s="4"/>
      <c r="BJ36" s="4"/>
      <c r="BK36" s="1"/>
      <c r="BL36" s="1"/>
      <c r="BM36" s="1"/>
    </row>
    <row r="37" spans="2:65" x14ac:dyDescent="0.25">
      <c r="B37" s="54" t="s">
        <v>53</v>
      </c>
      <c r="C37" s="54"/>
      <c r="D37" s="54"/>
      <c r="E37" s="54"/>
      <c r="F37" s="1">
        <f>F26/F35</f>
        <v>12</v>
      </c>
      <c r="G37" s="1" t="s">
        <v>50</v>
      </c>
      <c r="H37" s="1"/>
      <c r="I37" s="1"/>
      <c r="J37" s="1"/>
      <c r="K37" s="1"/>
      <c r="L37" s="1"/>
      <c r="M37" s="1"/>
      <c r="N37" s="1"/>
      <c r="O37" s="1"/>
      <c r="T37" s="54" t="s">
        <v>53</v>
      </c>
      <c r="U37" s="54"/>
      <c r="V37" s="54"/>
      <c r="W37" s="54"/>
      <c r="X37" s="1">
        <f>X26/X35</f>
        <v>12.166666666666666</v>
      </c>
      <c r="Y37" s="1" t="s">
        <v>50</v>
      </c>
      <c r="Z37" s="1"/>
      <c r="AA37" s="1"/>
      <c r="AB37" s="1"/>
      <c r="AC37" s="1"/>
      <c r="AD37" s="1"/>
      <c r="AE37" s="1"/>
      <c r="AF37" s="1"/>
      <c r="AG37" s="1"/>
      <c r="AJ37" s="54" t="s">
        <v>53</v>
      </c>
      <c r="AK37" s="54"/>
      <c r="AL37" s="54"/>
      <c r="AM37" s="54"/>
      <c r="AN37" s="1">
        <f>AN26/AN35</f>
        <v>12</v>
      </c>
      <c r="AO37" s="1" t="s">
        <v>50</v>
      </c>
      <c r="AP37" s="1"/>
      <c r="AQ37" s="1"/>
      <c r="AR37" s="1"/>
      <c r="AS37" s="1"/>
      <c r="AT37" s="1"/>
      <c r="AU37" s="1"/>
      <c r="AV37" s="1"/>
      <c r="AW37" s="1"/>
      <c r="AZ37" s="54" t="s">
        <v>53</v>
      </c>
      <c r="BA37" s="54"/>
      <c r="BB37" s="54"/>
      <c r="BC37" s="54"/>
      <c r="BD37" s="1">
        <f>BD26/BD35</f>
        <v>12</v>
      </c>
      <c r="BE37" s="1" t="s">
        <v>50</v>
      </c>
      <c r="BF37" s="1"/>
      <c r="BG37" s="1"/>
      <c r="BH37" s="1"/>
      <c r="BI37" s="1"/>
      <c r="BJ37" s="1"/>
      <c r="BK37" s="1"/>
      <c r="BL37" s="1"/>
      <c r="BM37" s="1"/>
    </row>
    <row r="38" spans="2:65" x14ac:dyDescent="0.25">
      <c r="B38" s="52"/>
      <c r="C38" s="52"/>
      <c r="D38" s="52"/>
      <c r="E38" s="52"/>
      <c r="F38" s="1"/>
      <c r="G38" s="1"/>
      <c r="H38" s="1"/>
      <c r="I38" s="1"/>
      <c r="J38" s="1"/>
      <c r="K38" s="1"/>
      <c r="L38" s="1"/>
      <c r="M38" s="1"/>
      <c r="N38" s="1"/>
      <c r="O38" s="1"/>
      <c r="T38" s="52"/>
      <c r="U38" s="52"/>
      <c r="V38" s="52"/>
      <c r="W38" s="52"/>
      <c r="X38" s="1"/>
      <c r="Y38" s="1"/>
      <c r="Z38" s="1"/>
      <c r="AA38" s="1"/>
      <c r="AB38" s="1"/>
      <c r="AC38" s="1"/>
      <c r="AD38" s="1"/>
      <c r="AE38" s="1"/>
      <c r="AF38" s="1"/>
      <c r="AG38" s="1"/>
      <c r="AJ38" s="52"/>
      <c r="AK38" s="52"/>
      <c r="AL38" s="52"/>
      <c r="AM38" s="52"/>
      <c r="AN38" s="1"/>
      <c r="AO38" s="1"/>
      <c r="AP38" s="1"/>
      <c r="AQ38" s="1"/>
      <c r="AR38" s="1"/>
      <c r="AS38" s="1"/>
      <c r="AT38" s="1"/>
      <c r="AU38" s="1"/>
      <c r="AV38" s="1"/>
      <c r="AW38" s="1"/>
      <c r="AZ38" s="52"/>
      <c r="BA38" s="52"/>
      <c r="BB38" s="52"/>
      <c r="BC38" s="52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2:65" x14ac:dyDescent="0.25">
      <c r="B39" s="53" t="s">
        <v>54</v>
      </c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T39" s="53" t="s">
        <v>54</v>
      </c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J39" s="53" t="s">
        <v>54</v>
      </c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Z39" s="53" t="s">
        <v>54</v>
      </c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</row>
    <row r="40" spans="2:65" x14ac:dyDescent="0.25">
      <c r="B40" s="52"/>
      <c r="C40" s="52"/>
      <c r="D40" s="52"/>
      <c r="E40" s="52"/>
      <c r="F40" s="1"/>
      <c r="G40" s="1"/>
      <c r="H40" s="1"/>
      <c r="I40" s="1"/>
      <c r="J40" s="1"/>
      <c r="K40" s="1"/>
      <c r="L40" s="1"/>
      <c r="M40" s="1"/>
      <c r="N40" s="1"/>
      <c r="O40" s="1"/>
      <c r="T40" s="52"/>
      <c r="U40" s="52"/>
      <c r="V40" s="52"/>
      <c r="W40" s="52"/>
      <c r="X40" s="1"/>
      <c r="Y40" s="1"/>
      <c r="Z40" s="1"/>
      <c r="AA40" s="1"/>
      <c r="AB40" s="1"/>
      <c r="AC40" s="1"/>
      <c r="AD40" s="1"/>
      <c r="AE40" s="1"/>
      <c r="AF40" s="1"/>
      <c r="AG40" s="1"/>
      <c r="AJ40" s="52"/>
      <c r="AK40" s="52"/>
      <c r="AL40" s="52"/>
      <c r="AM40" s="52"/>
      <c r="AN40" s="1"/>
      <c r="AO40" s="1"/>
      <c r="AP40" s="1"/>
      <c r="AQ40" s="1"/>
      <c r="AR40" s="1"/>
      <c r="AS40" s="1"/>
      <c r="AT40" s="1"/>
      <c r="AU40" s="1"/>
      <c r="AV40" s="1"/>
      <c r="AW40" s="1"/>
      <c r="AZ40" s="52"/>
      <c r="BA40" s="52"/>
      <c r="BB40" s="52"/>
      <c r="BC40" s="52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2:65" x14ac:dyDescent="0.25">
      <c r="B41" s="52" t="s">
        <v>56</v>
      </c>
      <c r="C41" s="52"/>
      <c r="D41" s="52"/>
      <c r="E41" s="52"/>
      <c r="F41" s="9">
        <f>(PI()*F36*F20)/12</f>
        <v>1223.2576394915257</v>
      </c>
      <c r="G41" s="1" t="s">
        <v>61</v>
      </c>
      <c r="H41" s="1"/>
      <c r="I41" s="1"/>
      <c r="J41" s="1"/>
      <c r="K41" s="1"/>
      <c r="L41" s="1"/>
      <c r="M41" s="1"/>
      <c r="N41" s="1"/>
      <c r="O41" s="1"/>
      <c r="T41" s="52" t="s">
        <v>56</v>
      </c>
      <c r="U41" s="52"/>
      <c r="V41" s="52"/>
      <c r="W41" s="52"/>
      <c r="X41" s="9">
        <f>(PI()*X36*X20)/12</f>
        <v>1223.2576394915257</v>
      </c>
      <c r="Y41" s="1" t="s">
        <v>61</v>
      </c>
      <c r="Z41" s="1"/>
      <c r="AA41" s="1"/>
      <c r="AB41" s="1"/>
      <c r="AC41" s="1"/>
      <c r="AD41" s="1"/>
      <c r="AE41" s="1"/>
      <c r="AF41" s="1"/>
      <c r="AG41" s="1"/>
      <c r="AJ41" s="52" t="s">
        <v>56</v>
      </c>
      <c r="AK41" s="52"/>
      <c r="AL41" s="52"/>
      <c r="AM41" s="52"/>
      <c r="AN41" s="9">
        <f>(PI()*AN36*AN20)/12</f>
        <v>1223.2576394915257</v>
      </c>
      <c r="AO41" s="1" t="s">
        <v>61</v>
      </c>
      <c r="AP41" s="1"/>
      <c r="AQ41" s="1"/>
      <c r="AR41" s="1"/>
      <c r="AS41" s="1"/>
      <c r="AT41" s="1"/>
      <c r="AU41" s="1"/>
      <c r="AV41" s="1"/>
      <c r="AW41" s="1"/>
      <c r="AZ41" s="52" t="s">
        <v>56</v>
      </c>
      <c r="BA41" s="52"/>
      <c r="BB41" s="52"/>
      <c r="BC41" s="52"/>
      <c r="BD41" s="9">
        <f>(PI()*BD36*BD20)/12</f>
        <v>1223.2576394915257</v>
      </c>
      <c r="BE41" s="1" t="s">
        <v>61</v>
      </c>
      <c r="BF41" s="1"/>
      <c r="BG41" s="1"/>
      <c r="BH41" s="1"/>
      <c r="BI41" s="1"/>
      <c r="BJ41" s="1"/>
      <c r="BK41" s="1"/>
      <c r="BL41" s="1"/>
      <c r="BM41" s="1"/>
    </row>
    <row r="42" spans="2:65" x14ac:dyDescent="0.25">
      <c r="B42" s="52" t="s">
        <v>57</v>
      </c>
      <c r="C42" s="52"/>
      <c r="D42" s="52"/>
      <c r="E42" s="52"/>
      <c r="F42" s="9">
        <f>(PI()*F37*F27)/12</f>
        <v>271.49566142134012</v>
      </c>
      <c r="G42" s="1" t="s">
        <v>61</v>
      </c>
      <c r="H42" s="1"/>
      <c r="I42" s="1"/>
      <c r="J42" s="1"/>
      <c r="K42" s="1"/>
      <c r="L42" s="1"/>
      <c r="M42" s="1"/>
      <c r="N42" s="1"/>
      <c r="O42" s="1"/>
      <c r="T42" s="52" t="s">
        <v>57</v>
      </c>
      <c r="U42" s="52"/>
      <c r="V42" s="52"/>
      <c r="W42" s="52"/>
      <c r="X42" s="9">
        <f>(PI()*X37*X27)/12</f>
        <v>267.77654277173269</v>
      </c>
      <c r="Y42" s="1" t="s">
        <v>61</v>
      </c>
      <c r="Z42" s="1"/>
      <c r="AA42" s="1"/>
      <c r="AB42" s="1"/>
      <c r="AC42" s="1"/>
      <c r="AD42" s="1"/>
      <c r="AE42" s="1"/>
      <c r="AF42" s="1"/>
      <c r="AG42" s="1"/>
      <c r="AJ42" s="52" t="s">
        <v>57</v>
      </c>
      <c r="AK42" s="52"/>
      <c r="AL42" s="52"/>
      <c r="AM42" s="52"/>
      <c r="AN42" s="9">
        <f>(PI()*AN37*AN27)/12</f>
        <v>271.49566142134012</v>
      </c>
      <c r="AO42" s="1" t="s">
        <v>61</v>
      </c>
      <c r="AP42" s="1"/>
      <c r="AQ42" s="1"/>
      <c r="AR42" s="1"/>
      <c r="AS42" s="1"/>
      <c r="AT42" s="1"/>
      <c r="AU42" s="1"/>
      <c r="AV42" s="1"/>
      <c r="AW42" s="1"/>
      <c r="AZ42" s="52" t="s">
        <v>57</v>
      </c>
      <c r="BA42" s="52"/>
      <c r="BB42" s="52"/>
      <c r="BC42" s="52"/>
      <c r="BD42" s="9">
        <f>(PI()*BD37*BD27)/12</f>
        <v>271.49566142134012</v>
      </c>
      <c r="BE42" s="1" t="s">
        <v>61</v>
      </c>
      <c r="BF42" s="1"/>
      <c r="BG42" s="1"/>
      <c r="BH42" s="1"/>
      <c r="BI42" s="1"/>
      <c r="BJ42" s="1"/>
      <c r="BK42" s="1"/>
      <c r="BL42" s="1"/>
      <c r="BM42" s="1"/>
    </row>
    <row r="43" spans="2:65" x14ac:dyDescent="0.25">
      <c r="B43" s="52" t="s">
        <v>55</v>
      </c>
      <c r="C43" s="52"/>
      <c r="D43" s="52"/>
      <c r="E43" s="52"/>
      <c r="F43" s="10">
        <f>33000*(M20/F41)</f>
        <v>539.54292104347189</v>
      </c>
      <c r="G43" s="1" t="s">
        <v>62</v>
      </c>
      <c r="H43" s="1"/>
      <c r="I43" s="1"/>
      <c r="J43" s="1"/>
      <c r="K43" s="1"/>
      <c r="L43" s="1"/>
      <c r="M43" s="1"/>
      <c r="N43" s="1"/>
      <c r="O43" s="1"/>
      <c r="T43" s="52" t="s">
        <v>55</v>
      </c>
      <c r="U43" s="52"/>
      <c r="V43" s="52"/>
      <c r="W43" s="52"/>
      <c r="X43" s="10">
        <f>33000*(AE20/X41)</f>
        <v>539.54292104347189</v>
      </c>
      <c r="Y43" s="1" t="s">
        <v>62</v>
      </c>
      <c r="Z43" s="1"/>
      <c r="AA43" s="1"/>
      <c r="AB43" s="1"/>
      <c r="AC43" s="1"/>
      <c r="AD43" s="1"/>
      <c r="AE43" s="1"/>
      <c r="AF43" s="1"/>
      <c r="AG43" s="1"/>
      <c r="AJ43" s="52" t="s">
        <v>55</v>
      </c>
      <c r="AK43" s="52"/>
      <c r="AL43" s="52"/>
      <c r="AM43" s="52"/>
      <c r="AN43" s="10">
        <f>33000*(AU20/AN41)</f>
        <v>539.54292104347189</v>
      </c>
      <c r="AO43" s="1" t="s">
        <v>62</v>
      </c>
      <c r="AP43" s="1"/>
      <c r="AQ43" s="1"/>
      <c r="AR43" s="1"/>
      <c r="AS43" s="1"/>
      <c r="AT43" s="1"/>
      <c r="AU43" s="1"/>
      <c r="AV43" s="1"/>
      <c r="AW43" s="1"/>
      <c r="AZ43" s="52" t="s">
        <v>55</v>
      </c>
      <c r="BA43" s="52"/>
      <c r="BB43" s="52"/>
      <c r="BC43" s="52"/>
      <c r="BD43" s="10">
        <f>33000*(BK20/BD41)</f>
        <v>539.54292104347189</v>
      </c>
      <c r="BE43" s="1" t="s">
        <v>62</v>
      </c>
      <c r="BF43" s="1"/>
      <c r="BG43" s="1"/>
      <c r="BH43" s="1"/>
      <c r="BI43" s="1"/>
      <c r="BJ43" s="1"/>
      <c r="BK43" s="1"/>
      <c r="BL43" s="1"/>
      <c r="BM43" s="1"/>
    </row>
    <row r="44" spans="2:65" x14ac:dyDescent="0.25">
      <c r="B44" s="52" t="s">
        <v>55</v>
      </c>
      <c r="C44" s="52"/>
      <c r="D44" s="52"/>
      <c r="E44" s="52"/>
      <c r="F44" s="10">
        <f>33000*(M20/F42)</f>
        <v>2430.9780736264929</v>
      </c>
      <c r="G44" s="1" t="s">
        <v>62</v>
      </c>
      <c r="H44" s="1"/>
      <c r="I44" s="1"/>
      <c r="J44" s="1"/>
      <c r="K44" s="1"/>
      <c r="L44" s="1"/>
      <c r="M44" s="1"/>
      <c r="N44" s="1"/>
      <c r="O44" s="1"/>
      <c r="T44" s="52" t="s">
        <v>55</v>
      </c>
      <c r="U44" s="52"/>
      <c r="V44" s="52"/>
      <c r="W44" s="52"/>
      <c r="X44" s="10">
        <f>33000*(AE20/X42)</f>
        <v>2464.7416579824167</v>
      </c>
      <c r="Y44" s="1" t="s">
        <v>62</v>
      </c>
      <c r="Z44" s="1"/>
      <c r="AA44" s="1"/>
      <c r="AB44" s="1"/>
      <c r="AC44" s="1"/>
      <c r="AD44" s="1"/>
      <c r="AE44" s="1"/>
      <c r="AF44" s="1"/>
      <c r="AG44" s="1"/>
      <c r="AJ44" s="52" t="s">
        <v>55</v>
      </c>
      <c r="AK44" s="52"/>
      <c r="AL44" s="52"/>
      <c r="AM44" s="52"/>
      <c r="AN44" s="10">
        <f>33000*(AU20/AN42)</f>
        <v>2430.9780736264929</v>
      </c>
      <c r="AO44" s="1" t="s">
        <v>62</v>
      </c>
      <c r="AP44" s="1"/>
      <c r="AQ44" s="1"/>
      <c r="AR44" s="1"/>
      <c r="AS44" s="1"/>
      <c r="AT44" s="1"/>
      <c r="AU44" s="1"/>
      <c r="AV44" s="1"/>
      <c r="AW44" s="1"/>
      <c r="AZ44" s="52" t="s">
        <v>55</v>
      </c>
      <c r="BA44" s="52"/>
      <c r="BB44" s="52"/>
      <c r="BC44" s="52"/>
      <c r="BD44" s="10">
        <f>33000*(BK20/BD42)</f>
        <v>2430.9780736264929</v>
      </c>
      <c r="BE44" s="1" t="s">
        <v>62</v>
      </c>
      <c r="BF44" s="1"/>
      <c r="BG44" s="1"/>
      <c r="BH44" s="1"/>
      <c r="BI44" s="1"/>
      <c r="BJ44" s="1"/>
      <c r="BK44" s="1"/>
      <c r="BL44" s="1"/>
      <c r="BM44" s="1"/>
    </row>
    <row r="45" spans="2:65" x14ac:dyDescent="0.25">
      <c r="B45" s="52"/>
      <c r="C45" s="52"/>
      <c r="D45" s="52"/>
      <c r="E45" s="52"/>
      <c r="F45" s="1"/>
      <c r="G45" s="1"/>
      <c r="H45" s="1"/>
      <c r="I45" s="1"/>
      <c r="J45" s="1"/>
      <c r="K45" s="1"/>
      <c r="L45" s="1"/>
      <c r="M45" s="1"/>
      <c r="N45" s="1"/>
      <c r="O45" s="1"/>
      <c r="T45" s="52"/>
      <c r="U45" s="52"/>
      <c r="V45" s="52"/>
      <c r="W45" s="52"/>
      <c r="X45" s="1"/>
      <c r="Y45" s="1"/>
      <c r="Z45" s="1"/>
      <c r="AA45" s="1"/>
      <c r="AB45" s="1"/>
      <c r="AC45" s="1"/>
      <c r="AD45" s="1"/>
      <c r="AE45" s="1"/>
      <c r="AF45" s="1"/>
      <c r="AG45" s="1"/>
      <c r="AJ45" s="52"/>
      <c r="AK45" s="52"/>
      <c r="AL45" s="52"/>
      <c r="AM45" s="52"/>
      <c r="AN45" s="1"/>
      <c r="AO45" s="1"/>
      <c r="AP45" s="1"/>
      <c r="AQ45" s="1"/>
      <c r="AR45" s="1"/>
      <c r="AS45" s="1"/>
      <c r="AT45" s="1"/>
      <c r="AU45" s="1"/>
      <c r="AV45" s="1"/>
      <c r="AW45" s="1"/>
      <c r="AZ45" s="52"/>
      <c r="BA45" s="52"/>
      <c r="BB45" s="52"/>
      <c r="BC45" s="52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2:65" x14ac:dyDescent="0.25">
      <c r="B46" s="52"/>
      <c r="C46" s="52"/>
      <c r="D46" s="52"/>
      <c r="E46" s="52"/>
      <c r="F46" s="1"/>
      <c r="G46" s="1"/>
      <c r="H46" s="1"/>
      <c r="I46" s="1"/>
      <c r="J46" s="1"/>
      <c r="K46" s="1"/>
      <c r="L46" s="1"/>
      <c r="M46" s="1"/>
      <c r="N46" s="1"/>
      <c r="O46" s="1"/>
      <c r="T46" s="52"/>
      <c r="U46" s="52"/>
      <c r="V46" s="52"/>
      <c r="W46" s="52"/>
      <c r="X46" s="1"/>
      <c r="Y46" s="1"/>
      <c r="Z46" s="1"/>
      <c r="AA46" s="1"/>
      <c r="AB46" s="1"/>
      <c r="AC46" s="1"/>
      <c r="AD46" s="1"/>
      <c r="AE46" s="1"/>
      <c r="AF46" s="1"/>
      <c r="AG46" s="1"/>
      <c r="AJ46" s="52"/>
      <c r="AK46" s="52"/>
      <c r="AL46" s="52"/>
      <c r="AM46" s="52"/>
      <c r="AN46" s="1"/>
      <c r="AO46" s="1"/>
      <c r="AP46" s="1"/>
      <c r="AQ46" s="1"/>
      <c r="AR46" s="1"/>
      <c r="AS46" s="1"/>
      <c r="AT46" s="1"/>
      <c r="AU46" s="1"/>
      <c r="AV46" s="1"/>
      <c r="AW46" s="1"/>
      <c r="AZ46" s="52"/>
      <c r="BA46" s="52"/>
      <c r="BB46" s="52"/>
      <c r="BC46" s="52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2:65" x14ac:dyDescent="0.25">
      <c r="B47" s="53" t="s">
        <v>58</v>
      </c>
      <c r="C47" s="53"/>
      <c r="D47" s="53"/>
      <c r="E47" s="53"/>
      <c r="F47" s="53"/>
      <c r="G47" s="53"/>
      <c r="H47" s="53"/>
      <c r="I47" s="53" t="s">
        <v>59</v>
      </c>
      <c r="J47" s="53"/>
      <c r="K47" s="53"/>
      <c r="L47" s="53"/>
      <c r="M47" s="53"/>
      <c r="N47" s="53"/>
      <c r="O47" s="53"/>
      <c r="T47" s="53" t="s">
        <v>58</v>
      </c>
      <c r="U47" s="53"/>
      <c r="V47" s="53"/>
      <c r="W47" s="53"/>
      <c r="X47" s="53"/>
      <c r="Y47" s="53"/>
      <c r="Z47" s="53"/>
      <c r="AA47" s="53" t="s">
        <v>59</v>
      </c>
      <c r="AB47" s="53"/>
      <c r="AC47" s="53"/>
      <c r="AD47" s="53"/>
      <c r="AE47" s="53"/>
      <c r="AF47" s="53"/>
      <c r="AG47" s="53"/>
      <c r="AJ47" s="53" t="s">
        <v>58</v>
      </c>
      <c r="AK47" s="53"/>
      <c r="AL47" s="53"/>
      <c r="AM47" s="53"/>
      <c r="AN47" s="53"/>
      <c r="AO47" s="53"/>
      <c r="AP47" s="53"/>
      <c r="AQ47" s="53" t="s">
        <v>59</v>
      </c>
      <c r="AR47" s="53"/>
      <c r="AS47" s="53"/>
      <c r="AT47" s="53"/>
      <c r="AU47" s="53"/>
      <c r="AV47" s="53"/>
      <c r="AW47" s="53"/>
      <c r="AZ47" s="53" t="s">
        <v>58</v>
      </c>
      <c r="BA47" s="53"/>
      <c r="BB47" s="53"/>
      <c r="BC47" s="53"/>
      <c r="BD47" s="53"/>
      <c r="BE47" s="53"/>
      <c r="BF47" s="53"/>
      <c r="BG47" s="53" t="s">
        <v>59</v>
      </c>
      <c r="BH47" s="53"/>
      <c r="BI47" s="53"/>
      <c r="BJ47" s="53"/>
      <c r="BK47" s="53"/>
      <c r="BL47" s="53"/>
      <c r="BM47" s="53"/>
    </row>
    <row r="48" spans="2:65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2:65" x14ac:dyDescent="0.25">
      <c r="B49" s="52" t="s">
        <v>60</v>
      </c>
      <c r="C49" s="52"/>
      <c r="D49" s="52"/>
      <c r="E49" s="52"/>
      <c r="F49" s="1">
        <f>(COS(20)*SIN(20)/2)*((F$26/F$23)/((F$26/F$23)+1))</f>
        <v>0.15240951009804862</v>
      </c>
      <c r="G49" s="1"/>
      <c r="H49" s="1"/>
      <c r="I49" s="1"/>
      <c r="J49" s="52" t="s">
        <v>94</v>
      </c>
      <c r="K49" s="52"/>
      <c r="L49" s="52"/>
      <c r="M49" s="52"/>
      <c r="N49" s="1">
        <v>0.27</v>
      </c>
      <c r="O49" s="1"/>
      <c r="T49" s="52" t="s">
        <v>60</v>
      </c>
      <c r="U49" s="52"/>
      <c r="V49" s="52"/>
      <c r="W49" s="52"/>
      <c r="X49" s="1">
        <f>(COS(20)*SIN(20)/2)*((X$26/X$23)/((X$26/X$23)+1))</f>
        <v>0.15279005818818106</v>
      </c>
      <c r="Y49" s="1"/>
      <c r="Z49" s="1"/>
      <c r="AA49" s="1"/>
      <c r="AB49" s="52" t="s">
        <v>94</v>
      </c>
      <c r="AC49" s="52"/>
      <c r="AD49" s="52"/>
      <c r="AE49" s="52"/>
      <c r="AF49" s="1">
        <v>0.27</v>
      </c>
      <c r="AG49" s="1"/>
      <c r="AJ49" s="52" t="s">
        <v>60</v>
      </c>
      <c r="AK49" s="52"/>
      <c r="AL49" s="52"/>
      <c r="AM49" s="52"/>
      <c r="AN49" s="1">
        <f>(COS(20)*SIN(20)/2)*((AN$26/AN$23)/((AN$26/AN$23)+1))</f>
        <v>0.15240951009804862</v>
      </c>
      <c r="AO49" s="1"/>
      <c r="AP49" s="1"/>
      <c r="AQ49" s="1"/>
      <c r="AR49" s="52" t="s">
        <v>94</v>
      </c>
      <c r="AS49" s="52"/>
      <c r="AT49" s="52"/>
      <c r="AU49" s="52"/>
      <c r="AV49" s="1">
        <v>0.27</v>
      </c>
      <c r="AW49" s="1"/>
      <c r="AZ49" s="52" t="s">
        <v>60</v>
      </c>
      <c r="BA49" s="52"/>
      <c r="BB49" s="52"/>
      <c r="BC49" s="52"/>
      <c r="BD49" s="1">
        <f>(COS(20)*SIN(20)/2)*((BD$26/BD$23)/((BD$26/BD$23)+1))</f>
        <v>0.15240951009804862</v>
      </c>
      <c r="BE49" s="1"/>
      <c r="BF49" s="1"/>
      <c r="BG49" s="1"/>
      <c r="BH49" s="52" t="s">
        <v>94</v>
      </c>
      <c r="BI49" s="52"/>
      <c r="BJ49" s="52"/>
      <c r="BK49" s="52"/>
      <c r="BL49" s="1">
        <v>0.27</v>
      </c>
      <c r="BM49" s="1"/>
    </row>
    <row r="50" spans="2:65" x14ac:dyDescent="0.25">
      <c r="B50" s="52" t="s">
        <v>66</v>
      </c>
      <c r="C50" s="52"/>
      <c r="D50" s="52"/>
      <c r="E50" s="52"/>
      <c r="F50" s="1">
        <v>7</v>
      </c>
      <c r="G50" s="1"/>
      <c r="H50" s="1"/>
      <c r="I50" s="1"/>
      <c r="J50" s="52" t="s">
        <v>95</v>
      </c>
      <c r="K50" s="52"/>
      <c r="L50" s="52"/>
      <c r="M50" s="52"/>
      <c r="N50" s="1">
        <v>1</v>
      </c>
      <c r="O50" s="1"/>
      <c r="T50" s="52" t="s">
        <v>66</v>
      </c>
      <c r="U50" s="52"/>
      <c r="V50" s="52"/>
      <c r="W50" s="52"/>
      <c r="X50" s="1">
        <v>7</v>
      </c>
      <c r="Y50" s="1"/>
      <c r="Z50" s="1"/>
      <c r="AA50" s="1"/>
      <c r="AB50" s="52" t="s">
        <v>95</v>
      </c>
      <c r="AC50" s="52"/>
      <c r="AD50" s="52"/>
      <c r="AE50" s="52"/>
      <c r="AF50" s="1">
        <v>1</v>
      </c>
      <c r="AG50" s="1"/>
      <c r="AJ50" s="52" t="s">
        <v>66</v>
      </c>
      <c r="AK50" s="52"/>
      <c r="AL50" s="52"/>
      <c r="AM50" s="52"/>
      <c r="AN50" s="1">
        <v>7</v>
      </c>
      <c r="AO50" s="1"/>
      <c r="AP50" s="1"/>
      <c r="AQ50" s="1"/>
      <c r="AR50" s="52" t="s">
        <v>95</v>
      </c>
      <c r="AS50" s="52"/>
      <c r="AT50" s="52"/>
      <c r="AU50" s="52"/>
      <c r="AV50" s="1">
        <v>1</v>
      </c>
      <c r="AW50" s="1"/>
      <c r="AZ50" s="52" t="s">
        <v>66</v>
      </c>
      <c r="BA50" s="52"/>
      <c r="BB50" s="52"/>
      <c r="BC50" s="52"/>
      <c r="BD50" s="1">
        <v>7</v>
      </c>
      <c r="BE50" s="1"/>
      <c r="BF50" s="1"/>
      <c r="BG50" s="1"/>
      <c r="BH50" s="52" t="s">
        <v>95</v>
      </c>
      <c r="BI50" s="52"/>
      <c r="BJ50" s="52"/>
      <c r="BK50" s="52"/>
      <c r="BL50" s="1">
        <v>1</v>
      </c>
      <c r="BM50" s="1"/>
    </row>
    <row r="51" spans="2:65" x14ac:dyDescent="0.25">
      <c r="B51" s="52" t="s">
        <v>64</v>
      </c>
      <c r="C51" s="52"/>
      <c r="D51" s="52"/>
      <c r="E51" s="52"/>
      <c r="F51" s="1">
        <f>0.25*((12-F50)^(2/3))</f>
        <v>0.7310044345532164</v>
      </c>
      <c r="G51" s="1"/>
      <c r="H51" s="1"/>
      <c r="I51" s="1"/>
      <c r="J51" s="52" t="s">
        <v>96</v>
      </c>
      <c r="K51" s="52"/>
      <c r="L51" s="52"/>
      <c r="M51" s="52"/>
      <c r="N51" s="1">
        <v>0.9</v>
      </c>
      <c r="O51" s="1"/>
      <c r="T51" s="52" t="s">
        <v>64</v>
      </c>
      <c r="U51" s="52"/>
      <c r="V51" s="52"/>
      <c r="W51" s="52"/>
      <c r="X51" s="1">
        <f>0.25*((12-X50)^(2/3))</f>
        <v>0.7310044345532164</v>
      </c>
      <c r="Y51" s="1"/>
      <c r="Z51" s="1"/>
      <c r="AA51" s="1"/>
      <c r="AB51" s="52" t="s">
        <v>96</v>
      </c>
      <c r="AC51" s="52"/>
      <c r="AD51" s="52"/>
      <c r="AE51" s="52"/>
      <c r="AF51" s="1">
        <v>0.9</v>
      </c>
      <c r="AG51" s="1"/>
      <c r="AJ51" s="52" t="s">
        <v>64</v>
      </c>
      <c r="AK51" s="52"/>
      <c r="AL51" s="52"/>
      <c r="AM51" s="52"/>
      <c r="AN51" s="1">
        <f>0.25*((12-AN50)^(2/3))</f>
        <v>0.7310044345532164</v>
      </c>
      <c r="AO51" s="1"/>
      <c r="AP51" s="1"/>
      <c r="AQ51" s="1"/>
      <c r="AR51" s="52" t="s">
        <v>96</v>
      </c>
      <c r="AS51" s="52"/>
      <c r="AT51" s="52"/>
      <c r="AU51" s="52"/>
      <c r="AV51" s="1">
        <v>0.9</v>
      </c>
      <c r="AW51" s="1"/>
      <c r="AZ51" s="52" t="s">
        <v>64</v>
      </c>
      <c r="BA51" s="52"/>
      <c r="BB51" s="52"/>
      <c r="BC51" s="52"/>
      <c r="BD51" s="1">
        <f>0.25*((12-BD50)^(2/3))</f>
        <v>0.7310044345532164</v>
      </c>
      <c r="BE51" s="1"/>
      <c r="BF51" s="1"/>
      <c r="BG51" s="1"/>
      <c r="BH51" s="52" t="s">
        <v>96</v>
      </c>
      <c r="BI51" s="52"/>
      <c r="BJ51" s="52"/>
      <c r="BK51" s="52"/>
      <c r="BL51" s="1">
        <v>0.9</v>
      </c>
      <c r="BM51" s="1"/>
    </row>
    <row r="52" spans="2:65" x14ac:dyDescent="0.25">
      <c r="B52" s="52" t="s">
        <v>63</v>
      </c>
      <c r="C52" s="52"/>
      <c r="D52" s="52"/>
      <c r="E52" s="52"/>
      <c r="F52" s="1">
        <f>50+(56*(1-F51))</f>
        <v>65.063751665019879</v>
      </c>
      <c r="G52" s="1"/>
      <c r="H52" s="1"/>
      <c r="I52" s="1"/>
      <c r="J52" s="52" t="s">
        <v>77</v>
      </c>
      <c r="K52" s="52"/>
      <c r="L52" s="52"/>
      <c r="M52" s="52"/>
      <c r="N52" s="1">
        <f>F$44*F54*(F$35/F55)*(F61/N49)</f>
        <v>38642.814307008011</v>
      </c>
      <c r="O52" s="1" t="s">
        <v>82</v>
      </c>
      <c r="T52" s="52" t="s">
        <v>63</v>
      </c>
      <c r="U52" s="52"/>
      <c r="V52" s="52"/>
      <c r="W52" s="52"/>
      <c r="X52" s="1">
        <f>50+(56*(1-X51))</f>
        <v>65.063751665019879</v>
      </c>
      <c r="Y52" s="1"/>
      <c r="Z52" s="1"/>
      <c r="AA52" s="1"/>
      <c r="AB52" s="52" t="s">
        <v>77</v>
      </c>
      <c r="AC52" s="52"/>
      <c r="AD52" s="52"/>
      <c r="AE52" s="52"/>
      <c r="AF52" s="1">
        <f>X$44*X54*(X$35/X55)*(X61/AF49)</f>
        <v>39179.520061272022</v>
      </c>
      <c r="AG52" s="1" t="s">
        <v>82</v>
      </c>
      <c r="AJ52" s="52" t="s">
        <v>63</v>
      </c>
      <c r="AK52" s="52"/>
      <c r="AL52" s="52"/>
      <c r="AM52" s="52"/>
      <c r="AN52" s="1">
        <f>50+(56*(1-AN51))</f>
        <v>65.063751665019879</v>
      </c>
      <c r="AO52" s="1"/>
      <c r="AP52" s="1"/>
      <c r="AQ52" s="1"/>
      <c r="AR52" s="52" t="s">
        <v>77</v>
      </c>
      <c r="AS52" s="52"/>
      <c r="AT52" s="52"/>
      <c r="AU52" s="52"/>
      <c r="AV52" s="1">
        <f>AN$44*AN54*(AN$35/AN55)*(AN61/AV49)</f>
        <v>50462.319737204984</v>
      </c>
      <c r="AW52" s="1" t="s">
        <v>82</v>
      </c>
      <c r="AZ52" s="52" t="s">
        <v>63</v>
      </c>
      <c r="BA52" s="52"/>
      <c r="BB52" s="52"/>
      <c r="BC52" s="52"/>
      <c r="BD52" s="1">
        <f>50+(56*(1-BD51))</f>
        <v>65.063751665019879</v>
      </c>
      <c r="BE52" s="1"/>
      <c r="BF52" s="1"/>
      <c r="BG52" s="1"/>
      <c r="BH52" s="52" t="s">
        <v>77</v>
      </c>
      <c r="BI52" s="52"/>
      <c r="BJ52" s="52"/>
      <c r="BK52" s="52"/>
      <c r="BL52" s="1">
        <f>BD$44*BD54*(BD$35/BD55)*(BD61/BL49)</f>
        <v>37044.686870529367</v>
      </c>
      <c r="BM52" s="1" t="s">
        <v>82</v>
      </c>
    </row>
    <row r="53" spans="2:65" x14ac:dyDescent="0.25">
      <c r="B53" s="52" t="s">
        <v>65</v>
      </c>
      <c r="C53" s="52"/>
      <c r="D53" s="52"/>
      <c r="E53" s="52"/>
      <c r="F53" s="1">
        <f>(F52+(F50-3))^2</f>
        <v>4769.8017940475365</v>
      </c>
      <c r="G53" s="1"/>
      <c r="H53" s="1"/>
      <c r="I53" s="1"/>
      <c r="J53" s="52" t="s">
        <v>97</v>
      </c>
      <c r="K53" s="52"/>
      <c r="L53" s="52"/>
      <c r="M53" s="52"/>
      <c r="N53" s="1">
        <v>65000</v>
      </c>
      <c r="O53" s="1" t="s">
        <v>82</v>
      </c>
      <c r="T53" s="52" t="s">
        <v>65</v>
      </c>
      <c r="U53" s="52"/>
      <c r="V53" s="52"/>
      <c r="W53" s="52"/>
      <c r="X53" s="1">
        <f>(X52+(X50-3))^2</f>
        <v>4769.8017940475365</v>
      </c>
      <c r="Y53" s="1"/>
      <c r="Z53" s="1"/>
      <c r="AA53" s="1"/>
      <c r="AB53" s="52" t="s">
        <v>97</v>
      </c>
      <c r="AC53" s="52"/>
      <c r="AD53" s="52"/>
      <c r="AE53" s="52"/>
      <c r="AF53" s="1">
        <v>65000</v>
      </c>
      <c r="AG53" s="1" t="s">
        <v>82</v>
      </c>
      <c r="AJ53" s="52" t="s">
        <v>65</v>
      </c>
      <c r="AK53" s="52"/>
      <c r="AL53" s="52"/>
      <c r="AM53" s="52"/>
      <c r="AN53" s="1">
        <f>(AN52+(AN50-3))^2</f>
        <v>4769.8017940475365</v>
      </c>
      <c r="AO53" s="1"/>
      <c r="AP53" s="1"/>
      <c r="AQ53" s="1"/>
      <c r="AR53" s="52" t="s">
        <v>97</v>
      </c>
      <c r="AS53" s="52"/>
      <c r="AT53" s="52"/>
      <c r="AU53" s="52"/>
      <c r="AV53" s="1">
        <v>65000</v>
      </c>
      <c r="AW53" s="1" t="s">
        <v>82</v>
      </c>
      <c r="AZ53" s="52" t="s">
        <v>65</v>
      </c>
      <c r="BA53" s="52"/>
      <c r="BB53" s="52"/>
      <c r="BC53" s="52"/>
      <c r="BD53" s="1">
        <f>(BD52+(BD50-3))^2</f>
        <v>4769.8017940475365</v>
      </c>
      <c r="BE53" s="1"/>
      <c r="BF53" s="1"/>
      <c r="BG53" s="1"/>
      <c r="BH53" s="52" t="s">
        <v>97</v>
      </c>
      <c r="BI53" s="52"/>
      <c r="BJ53" s="52"/>
      <c r="BK53" s="52"/>
      <c r="BL53" s="1">
        <v>65000</v>
      </c>
      <c r="BM53" s="1" t="s">
        <v>82</v>
      </c>
    </row>
    <row r="54" spans="2:65" x14ac:dyDescent="0.25">
      <c r="B54" s="52" t="s">
        <v>67</v>
      </c>
      <c r="C54" s="52"/>
      <c r="D54" s="52"/>
      <c r="E54" s="52"/>
      <c r="F54" s="1">
        <f>MROUND(((F52+SQRT(F$42))/F52)^F51,0.01)</f>
        <v>1.18</v>
      </c>
      <c r="G54" s="1"/>
      <c r="H54" s="1"/>
      <c r="I54" s="1"/>
      <c r="J54" s="52" t="s">
        <v>98</v>
      </c>
      <c r="K54" s="52"/>
      <c r="L54" s="52"/>
      <c r="M54" s="52"/>
      <c r="N54" s="1">
        <f>N53*N51</f>
        <v>58500</v>
      </c>
      <c r="O54" s="1" t="s">
        <v>82</v>
      </c>
      <c r="T54" s="52" t="s">
        <v>67</v>
      </c>
      <c r="U54" s="52"/>
      <c r="V54" s="52"/>
      <c r="W54" s="52"/>
      <c r="X54" s="1">
        <f>MROUND(((X52+SQRT(X$42))/X52)^X51,0.01)</f>
        <v>1.18</v>
      </c>
      <c r="Y54" s="1"/>
      <c r="Z54" s="1"/>
      <c r="AA54" s="1"/>
      <c r="AB54" s="52" t="s">
        <v>98</v>
      </c>
      <c r="AC54" s="52"/>
      <c r="AD54" s="52"/>
      <c r="AE54" s="52"/>
      <c r="AF54" s="1">
        <f>AF53*AF51</f>
        <v>58500</v>
      </c>
      <c r="AG54" s="1" t="s">
        <v>82</v>
      </c>
      <c r="AJ54" s="52" t="s">
        <v>67</v>
      </c>
      <c r="AK54" s="52"/>
      <c r="AL54" s="52"/>
      <c r="AM54" s="52"/>
      <c r="AN54" s="1">
        <f>MROUND(((AN52+SQRT(AN$42))/AN52)^AN51,0.01)</f>
        <v>1.18</v>
      </c>
      <c r="AO54" s="1"/>
      <c r="AP54" s="1"/>
      <c r="AQ54" s="1"/>
      <c r="AR54" s="52" t="s">
        <v>98</v>
      </c>
      <c r="AS54" s="52"/>
      <c r="AT54" s="52"/>
      <c r="AU54" s="52"/>
      <c r="AV54" s="1">
        <f>AV53*AV51</f>
        <v>58500</v>
      </c>
      <c r="AW54" s="1" t="s">
        <v>82</v>
      </c>
      <c r="AZ54" s="52" t="s">
        <v>67</v>
      </c>
      <c r="BA54" s="52"/>
      <c r="BB54" s="52"/>
      <c r="BC54" s="52"/>
      <c r="BD54" s="1">
        <f>MROUND(((BD52+SQRT(BD$42))/BD52)^BD51,0.01)</f>
        <v>1.18</v>
      </c>
      <c r="BE54" s="1"/>
      <c r="BF54" s="1"/>
      <c r="BG54" s="1"/>
      <c r="BH54" s="52" t="s">
        <v>98</v>
      </c>
      <c r="BI54" s="52"/>
      <c r="BJ54" s="52"/>
      <c r="BK54" s="52"/>
      <c r="BL54" s="1">
        <f>BL53*BL51</f>
        <v>58500</v>
      </c>
      <c r="BM54" s="1" t="s">
        <v>82</v>
      </c>
    </row>
    <row r="55" spans="2:65" x14ac:dyDescent="0.25">
      <c r="B55" s="52" t="s">
        <v>68</v>
      </c>
      <c r="C55" s="52"/>
      <c r="D55" s="52"/>
      <c r="E55" s="52"/>
      <c r="F55" s="10">
        <f>INT(PI()*4/F$35)</f>
        <v>2</v>
      </c>
      <c r="G55" s="1"/>
      <c r="H55" s="1"/>
      <c r="I55" s="1"/>
      <c r="J55" s="52" t="s">
        <v>99</v>
      </c>
      <c r="K55" s="52"/>
      <c r="L55" s="52"/>
      <c r="M55" s="52"/>
      <c r="N55" s="8">
        <f>N54/N52</f>
        <v>1.5138648943948894</v>
      </c>
      <c r="O55" s="1" t="str">
        <f>IF(N55&gt;F73,$S$74,$S$75)</f>
        <v>Cumple</v>
      </c>
      <c r="T55" s="52" t="s">
        <v>68</v>
      </c>
      <c r="U55" s="52"/>
      <c r="V55" s="52"/>
      <c r="W55" s="52"/>
      <c r="X55" s="10">
        <f>INT(PI()*4/X$35)</f>
        <v>2</v>
      </c>
      <c r="Y55" s="1"/>
      <c r="Z55" s="1"/>
      <c r="AA55" s="1"/>
      <c r="AB55" s="52" t="s">
        <v>99</v>
      </c>
      <c r="AC55" s="52"/>
      <c r="AD55" s="52"/>
      <c r="AE55" s="52"/>
      <c r="AF55" s="8">
        <f>AF54/AF52</f>
        <v>1.4931270191292054</v>
      </c>
      <c r="AG55" s="1" t="str">
        <f>IF(AF55&gt;X73,$S$74,$S$75)</f>
        <v>Cumple</v>
      </c>
      <c r="AJ55" s="52" t="s">
        <v>68</v>
      </c>
      <c r="AK55" s="52"/>
      <c r="AL55" s="52"/>
      <c r="AM55" s="52"/>
      <c r="AN55" s="9">
        <v>1.5</v>
      </c>
      <c r="AO55" s="1"/>
      <c r="AP55" s="1"/>
      <c r="AQ55" s="1"/>
      <c r="AR55" s="52" t="s">
        <v>99</v>
      </c>
      <c r="AS55" s="52"/>
      <c r="AT55" s="52"/>
      <c r="AU55" s="52"/>
      <c r="AV55" s="8">
        <f>AV54/AV52</f>
        <v>1.1592808318098182</v>
      </c>
      <c r="AW55" s="1" t="str">
        <f>IF(AV55&gt;AN73,$S$74,$S$75)</f>
        <v>No cumple</v>
      </c>
      <c r="AZ55" s="52" t="s">
        <v>68</v>
      </c>
      <c r="BA55" s="52"/>
      <c r="BB55" s="52"/>
      <c r="BC55" s="52"/>
      <c r="BD55" s="8">
        <f>(PI()*4/BD$35)</f>
        <v>2.0943951023931953</v>
      </c>
      <c r="BE55" s="1"/>
      <c r="BF55" s="1"/>
      <c r="BG55" s="1"/>
      <c r="BH55" s="52" t="s">
        <v>99</v>
      </c>
      <c r="BI55" s="52"/>
      <c r="BJ55" s="52"/>
      <c r="BK55" s="52"/>
      <c r="BL55" s="8">
        <f>BL54/BL52</f>
        <v>1.5791738287451758</v>
      </c>
      <c r="BM55" s="1" t="str">
        <f>IF(BL55&gt;BD73,$S$74,$S$75)</f>
        <v>Cumple</v>
      </c>
    </row>
    <row r="56" spans="2:65" x14ac:dyDescent="0.25">
      <c r="B56" s="52" t="s">
        <v>70</v>
      </c>
      <c r="C56" s="52"/>
      <c r="D56" s="52"/>
      <c r="E56" s="52"/>
      <c r="F56" s="1">
        <v>1</v>
      </c>
      <c r="G56" s="1"/>
      <c r="H56" s="1"/>
      <c r="I56" s="1"/>
      <c r="J56" s="52"/>
      <c r="K56" s="52"/>
      <c r="L56" s="52"/>
      <c r="M56" s="52"/>
      <c r="N56" s="1"/>
      <c r="O56" s="1"/>
      <c r="T56" s="52" t="s">
        <v>70</v>
      </c>
      <c r="U56" s="52"/>
      <c r="V56" s="52"/>
      <c r="W56" s="52"/>
      <c r="X56" s="1">
        <v>1</v>
      </c>
      <c r="Y56" s="1"/>
      <c r="Z56" s="1"/>
      <c r="AA56" s="1"/>
      <c r="AB56" s="52"/>
      <c r="AC56" s="52"/>
      <c r="AD56" s="52"/>
      <c r="AE56" s="52"/>
      <c r="AF56" s="1"/>
      <c r="AG56" s="1"/>
      <c r="AJ56" s="52" t="s">
        <v>70</v>
      </c>
      <c r="AK56" s="52"/>
      <c r="AL56" s="52"/>
      <c r="AM56" s="52"/>
      <c r="AN56" s="1">
        <v>1</v>
      </c>
      <c r="AO56" s="1"/>
      <c r="AP56" s="1"/>
      <c r="AQ56" s="1"/>
      <c r="AR56" s="52"/>
      <c r="AS56" s="52"/>
      <c r="AT56" s="52"/>
      <c r="AU56" s="52"/>
      <c r="AV56" s="1"/>
      <c r="AW56" s="1"/>
      <c r="AZ56" s="52" t="s">
        <v>70</v>
      </c>
      <c r="BA56" s="52"/>
      <c r="BB56" s="52"/>
      <c r="BC56" s="52"/>
      <c r="BD56" s="1">
        <v>1</v>
      </c>
      <c r="BE56" s="1"/>
      <c r="BF56" s="1"/>
      <c r="BG56" s="1"/>
      <c r="BH56" s="52"/>
      <c r="BI56" s="52"/>
      <c r="BJ56" s="52"/>
      <c r="BK56" s="52"/>
      <c r="BL56" s="1"/>
      <c r="BM56" s="1"/>
    </row>
    <row r="57" spans="2:65" x14ac:dyDescent="0.25">
      <c r="B57" s="52" t="s">
        <v>71</v>
      </c>
      <c r="C57" s="52"/>
      <c r="D57" s="52"/>
      <c r="E57" s="52"/>
      <c r="F57" s="11">
        <f>(F55/(10*F$36))-0.0375+(0.0125*F55)</f>
        <v>6.2406367041198507E-2</v>
      </c>
      <c r="G57" s="1"/>
      <c r="H57" s="1"/>
      <c r="I57" s="1"/>
      <c r="J57" s="52"/>
      <c r="K57" s="52"/>
      <c r="L57" s="52"/>
      <c r="M57" s="52"/>
      <c r="N57" s="1"/>
      <c r="O57" s="1"/>
      <c r="T57" s="52" t="s">
        <v>71</v>
      </c>
      <c r="U57" s="52"/>
      <c r="V57" s="52"/>
      <c r="W57" s="52"/>
      <c r="X57" s="11">
        <f>(X55/(10*X$36))-0.0375+(0.0125*X55)</f>
        <v>6.2406367041198507E-2</v>
      </c>
      <c r="Y57" s="1"/>
      <c r="Z57" s="1"/>
      <c r="AA57" s="1"/>
      <c r="AB57" s="52"/>
      <c r="AC57" s="52"/>
      <c r="AD57" s="52"/>
      <c r="AE57" s="52"/>
      <c r="AF57" s="1"/>
      <c r="AG57" s="1"/>
      <c r="AJ57" s="52" t="s">
        <v>71</v>
      </c>
      <c r="AK57" s="52"/>
      <c r="AL57" s="52"/>
      <c r="AM57" s="52"/>
      <c r="AN57" s="11">
        <f>(AN55/(10*AN$36))-0.0375+(0.0125*AN55)</f>
        <v>3.7429775280898879E-2</v>
      </c>
      <c r="AO57" s="1"/>
      <c r="AP57" s="1"/>
      <c r="AQ57" s="1"/>
      <c r="AR57" s="52"/>
      <c r="AS57" s="52"/>
      <c r="AT57" s="52"/>
      <c r="AU57" s="52"/>
      <c r="AV57" s="1"/>
      <c r="AW57" s="1"/>
      <c r="AZ57" s="52" t="s">
        <v>71</v>
      </c>
      <c r="BA57" s="52"/>
      <c r="BB57" s="52"/>
      <c r="BC57" s="52"/>
      <c r="BD57" s="11">
        <f>(BD55/(10*BD$36))-0.0375+(0.0125*BD55)</f>
        <v>6.7121702914491543E-2</v>
      </c>
      <c r="BE57" s="1"/>
      <c r="BF57" s="1"/>
      <c r="BG57" s="1"/>
      <c r="BH57" s="52"/>
      <c r="BI57" s="52"/>
      <c r="BJ57" s="52"/>
      <c r="BK57" s="52"/>
      <c r="BL57" s="1"/>
      <c r="BM57" s="1"/>
    </row>
    <row r="58" spans="2:65" x14ac:dyDescent="0.25">
      <c r="B58" s="52" t="s">
        <v>72</v>
      </c>
      <c r="C58" s="52"/>
      <c r="D58" s="52"/>
      <c r="E58" s="52"/>
      <c r="F58" s="1">
        <v>1</v>
      </c>
      <c r="G58" s="1"/>
      <c r="H58" s="1"/>
      <c r="I58" s="1"/>
      <c r="J58" s="52"/>
      <c r="K58" s="52"/>
      <c r="L58" s="52"/>
      <c r="M58" s="52"/>
      <c r="N58" s="1"/>
      <c r="O58" s="1"/>
      <c r="T58" s="52" t="s">
        <v>72</v>
      </c>
      <c r="U58" s="52"/>
      <c r="V58" s="52"/>
      <c r="W58" s="52"/>
      <c r="X58" s="1">
        <v>1</v>
      </c>
      <c r="Y58" s="1"/>
      <c r="Z58" s="1"/>
      <c r="AA58" s="1"/>
      <c r="AB58" s="52"/>
      <c r="AC58" s="52"/>
      <c r="AD58" s="52"/>
      <c r="AE58" s="52"/>
      <c r="AF58" s="1"/>
      <c r="AG58" s="1"/>
      <c r="AJ58" s="52" t="s">
        <v>72</v>
      </c>
      <c r="AK58" s="52"/>
      <c r="AL58" s="52"/>
      <c r="AM58" s="52"/>
      <c r="AN58" s="1">
        <v>1</v>
      </c>
      <c r="AO58" s="1"/>
      <c r="AP58" s="1"/>
      <c r="AQ58" s="1"/>
      <c r="AR58" s="52"/>
      <c r="AS58" s="52"/>
      <c r="AT58" s="52"/>
      <c r="AU58" s="52"/>
      <c r="AV58" s="1"/>
      <c r="AW58" s="1"/>
      <c r="AZ58" s="52" t="s">
        <v>72</v>
      </c>
      <c r="BA58" s="52"/>
      <c r="BB58" s="52"/>
      <c r="BC58" s="52"/>
      <c r="BD58" s="1">
        <v>1</v>
      </c>
      <c r="BE58" s="1"/>
      <c r="BF58" s="1"/>
      <c r="BG58" s="1"/>
      <c r="BH58" s="52"/>
      <c r="BI58" s="52"/>
      <c r="BJ58" s="52"/>
      <c r="BK58" s="52"/>
      <c r="BL58" s="1"/>
      <c r="BM58" s="1"/>
    </row>
    <row r="59" spans="2:65" x14ac:dyDescent="0.25">
      <c r="B59" s="52" t="s">
        <v>73</v>
      </c>
      <c r="C59" s="52"/>
      <c r="D59" s="52"/>
      <c r="E59" s="52"/>
      <c r="F59" s="1">
        <v>0.15</v>
      </c>
      <c r="G59" s="1"/>
      <c r="H59" s="1"/>
      <c r="I59" s="1"/>
      <c r="J59" s="52"/>
      <c r="K59" s="52"/>
      <c r="L59" s="52"/>
      <c r="M59" s="52"/>
      <c r="N59" s="1"/>
      <c r="O59" s="1"/>
      <c r="T59" s="52" t="s">
        <v>73</v>
      </c>
      <c r="U59" s="52"/>
      <c r="V59" s="52"/>
      <c r="W59" s="52"/>
      <c r="X59" s="1">
        <v>0.15</v>
      </c>
      <c r="Y59" s="1"/>
      <c r="Z59" s="1"/>
      <c r="AA59" s="1"/>
      <c r="AB59" s="52"/>
      <c r="AC59" s="52"/>
      <c r="AD59" s="52"/>
      <c r="AE59" s="52"/>
      <c r="AF59" s="1"/>
      <c r="AG59" s="1"/>
      <c r="AJ59" s="52" t="s">
        <v>73</v>
      </c>
      <c r="AK59" s="52"/>
      <c r="AL59" s="52"/>
      <c r="AM59" s="52"/>
      <c r="AN59" s="1">
        <v>0.15</v>
      </c>
      <c r="AO59" s="1"/>
      <c r="AP59" s="1"/>
      <c r="AQ59" s="1"/>
      <c r="AR59" s="52"/>
      <c r="AS59" s="52"/>
      <c r="AT59" s="52"/>
      <c r="AU59" s="52"/>
      <c r="AV59" s="1"/>
      <c r="AW59" s="1"/>
      <c r="AZ59" s="52" t="s">
        <v>73</v>
      </c>
      <c r="BA59" s="52"/>
      <c r="BB59" s="52"/>
      <c r="BC59" s="52"/>
      <c r="BD59" s="1">
        <v>0.15</v>
      </c>
      <c r="BE59" s="1"/>
      <c r="BF59" s="1"/>
      <c r="BG59" s="1"/>
      <c r="BH59" s="52"/>
      <c r="BI59" s="52"/>
      <c r="BJ59" s="52"/>
      <c r="BK59" s="52"/>
      <c r="BL59" s="1"/>
      <c r="BM59" s="1"/>
    </row>
    <row r="60" spans="2:65" x14ac:dyDescent="0.25">
      <c r="B60" s="52" t="s">
        <v>74</v>
      </c>
      <c r="C60" s="52"/>
      <c r="D60" s="52"/>
      <c r="E60" s="52"/>
      <c r="F60" s="1">
        <v>1</v>
      </c>
      <c r="G60" s="1"/>
      <c r="H60" s="1"/>
      <c r="I60" s="1"/>
      <c r="J60" s="52"/>
      <c r="K60" s="52"/>
      <c r="L60" s="52"/>
      <c r="M60" s="52"/>
      <c r="N60" s="1"/>
      <c r="O60" s="1"/>
      <c r="T60" s="52" t="s">
        <v>74</v>
      </c>
      <c r="U60" s="52"/>
      <c r="V60" s="52"/>
      <c r="W60" s="52"/>
      <c r="X60" s="1">
        <v>1</v>
      </c>
      <c r="Y60" s="1"/>
      <c r="Z60" s="1"/>
      <c r="AA60" s="1"/>
      <c r="AB60" s="52"/>
      <c r="AC60" s="52"/>
      <c r="AD60" s="52"/>
      <c r="AE60" s="52"/>
      <c r="AF60" s="1"/>
      <c r="AG60" s="1"/>
      <c r="AJ60" s="52" t="s">
        <v>74</v>
      </c>
      <c r="AK60" s="52"/>
      <c r="AL60" s="52"/>
      <c r="AM60" s="52"/>
      <c r="AN60" s="1">
        <v>1</v>
      </c>
      <c r="AO60" s="1"/>
      <c r="AP60" s="1"/>
      <c r="AQ60" s="1"/>
      <c r="AR60" s="52"/>
      <c r="AS60" s="52"/>
      <c r="AT60" s="52"/>
      <c r="AU60" s="52"/>
      <c r="AV60" s="1"/>
      <c r="AW60" s="1"/>
      <c r="AZ60" s="52" t="s">
        <v>74</v>
      </c>
      <c r="BA60" s="52"/>
      <c r="BB60" s="52"/>
      <c r="BC60" s="52"/>
      <c r="BD60" s="1">
        <v>1</v>
      </c>
      <c r="BE60" s="1"/>
      <c r="BF60" s="1"/>
      <c r="BG60" s="1"/>
      <c r="BH60" s="52"/>
      <c r="BI60" s="52"/>
      <c r="BJ60" s="52"/>
      <c r="BK60" s="52"/>
      <c r="BL60" s="1"/>
      <c r="BM60" s="1"/>
    </row>
    <row r="61" spans="2:65" x14ac:dyDescent="0.25">
      <c r="B61" s="52" t="s">
        <v>69</v>
      </c>
      <c r="C61" s="52"/>
      <c r="D61" s="52"/>
      <c r="E61" s="52"/>
      <c r="F61" s="8">
        <f>1+(F56*((F57*F58)+(F59*F60)))</f>
        <v>1.2124063670411984</v>
      </c>
      <c r="G61" s="1"/>
      <c r="H61" s="1"/>
      <c r="I61" s="1"/>
      <c r="J61" s="52"/>
      <c r="K61" s="52"/>
      <c r="L61" s="52"/>
      <c r="M61" s="52"/>
      <c r="N61" s="1"/>
      <c r="O61" s="1"/>
      <c r="T61" s="52" t="s">
        <v>69</v>
      </c>
      <c r="U61" s="52"/>
      <c r="V61" s="52"/>
      <c r="W61" s="52"/>
      <c r="X61" s="8">
        <f>1+(X56*((X57*X58)+(X59*X60)))</f>
        <v>1.2124063670411984</v>
      </c>
      <c r="Y61" s="1"/>
      <c r="Z61" s="1"/>
      <c r="AA61" s="1"/>
      <c r="AB61" s="52"/>
      <c r="AC61" s="52"/>
      <c r="AD61" s="52"/>
      <c r="AE61" s="52"/>
      <c r="AF61" s="1"/>
      <c r="AG61" s="1"/>
      <c r="AJ61" s="52" t="s">
        <v>69</v>
      </c>
      <c r="AK61" s="52"/>
      <c r="AL61" s="52"/>
      <c r="AM61" s="52"/>
      <c r="AN61" s="8">
        <f>1+(AN56*((AN57*AN58)+(AN59*AN60)))</f>
        <v>1.1874297752808989</v>
      </c>
      <c r="AO61" s="1"/>
      <c r="AP61" s="1"/>
      <c r="AQ61" s="1"/>
      <c r="AR61" s="52"/>
      <c r="AS61" s="52"/>
      <c r="AT61" s="52"/>
      <c r="AU61" s="52"/>
      <c r="AV61" s="1"/>
      <c r="AW61" s="1"/>
      <c r="AZ61" s="52" t="s">
        <v>69</v>
      </c>
      <c r="BA61" s="52"/>
      <c r="BB61" s="52"/>
      <c r="BC61" s="52"/>
      <c r="BD61" s="8">
        <f>1+(BD56*((BD57*BD58)+(BD59*BD60)))</f>
        <v>1.2171217029144916</v>
      </c>
      <c r="BE61" s="1"/>
      <c r="BF61" s="1"/>
      <c r="BG61" s="1"/>
      <c r="BH61" s="52"/>
      <c r="BI61" s="52"/>
      <c r="BJ61" s="52"/>
      <c r="BK61" s="52"/>
      <c r="BL61" s="1"/>
      <c r="BM61" s="1"/>
    </row>
    <row r="62" spans="2:65" x14ac:dyDescent="0.25">
      <c r="B62" s="52" t="s">
        <v>90</v>
      </c>
      <c r="C62" s="52"/>
      <c r="D62" s="52"/>
      <c r="E62" s="52"/>
      <c r="F62" s="1">
        <v>2300</v>
      </c>
      <c r="G62" s="1"/>
      <c r="H62" s="1"/>
      <c r="I62" s="1"/>
      <c r="J62" s="52"/>
      <c r="K62" s="52"/>
      <c r="L62" s="52"/>
      <c r="M62" s="52"/>
      <c r="N62" s="1"/>
      <c r="O62" s="1"/>
      <c r="T62" s="52" t="s">
        <v>90</v>
      </c>
      <c r="U62" s="52"/>
      <c r="V62" s="52"/>
      <c r="W62" s="52"/>
      <c r="X62" s="1">
        <v>2300</v>
      </c>
      <c r="Y62" s="1"/>
      <c r="Z62" s="1"/>
      <c r="AA62" s="1"/>
      <c r="AB62" s="52"/>
      <c r="AC62" s="52"/>
      <c r="AD62" s="52"/>
      <c r="AE62" s="52"/>
      <c r="AF62" s="1"/>
      <c r="AG62" s="1"/>
      <c r="AJ62" s="52" t="s">
        <v>90</v>
      </c>
      <c r="AK62" s="52"/>
      <c r="AL62" s="52"/>
      <c r="AM62" s="52"/>
      <c r="AN62" s="1">
        <v>2300</v>
      </c>
      <c r="AO62" s="1"/>
      <c r="AP62" s="1"/>
      <c r="AQ62" s="1"/>
      <c r="AR62" s="52"/>
      <c r="AS62" s="52"/>
      <c r="AT62" s="52"/>
      <c r="AU62" s="52"/>
      <c r="AV62" s="1"/>
      <c r="AW62" s="1"/>
      <c r="AZ62" s="52" t="s">
        <v>90</v>
      </c>
      <c r="BA62" s="52"/>
      <c r="BB62" s="52"/>
      <c r="BC62" s="52"/>
      <c r="BD62" s="1">
        <v>2300</v>
      </c>
      <c r="BE62" s="1"/>
      <c r="BF62" s="1"/>
      <c r="BG62" s="1"/>
      <c r="BH62" s="52"/>
      <c r="BI62" s="52"/>
      <c r="BJ62" s="52"/>
      <c r="BK62" s="52"/>
      <c r="BL62" s="1"/>
      <c r="BM62" s="1"/>
    </row>
    <row r="63" spans="2:65" x14ac:dyDescent="0.25">
      <c r="B63" s="52" t="s">
        <v>75</v>
      </c>
      <c r="C63" s="52"/>
      <c r="D63" s="52"/>
      <c r="E63" s="52"/>
      <c r="F63" s="1">
        <v>1</v>
      </c>
      <c r="G63" s="1"/>
      <c r="H63" s="1"/>
      <c r="I63" s="1"/>
      <c r="J63" s="52"/>
      <c r="K63" s="52"/>
      <c r="L63" s="52"/>
      <c r="M63" s="52"/>
      <c r="N63" s="1"/>
      <c r="O63" s="1"/>
      <c r="T63" s="52" t="s">
        <v>75</v>
      </c>
      <c r="U63" s="52"/>
      <c r="V63" s="52"/>
      <c r="W63" s="52"/>
      <c r="X63" s="1">
        <v>1</v>
      </c>
      <c r="Y63" s="1"/>
      <c r="Z63" s="1"/>
      <c r="AA63" s="1"/>
      <c r="AB63" s="52"/>
      <c r="AC63" s="52"/>
      <c r="AD63" s="52"/>
      <c r="AE63" s="52"/>
      <c r="AF63" s="1"/>
      <c r="AG63" s="1"/>
      <c r="AJ63" s="52" t="s">
        <v>75</v>
      </c>
      <c r="AK63" s="52"/>
      <c r="AL63" s="52"/>
      <c r="AM63" s="52"/>
      <c r="AN63" s="1">
        <v>1</v>
      </c>
      <c r="AO63" s="1"/>
      <c r="AP63" s="1"/>
      <c r="AQ63" s="1"/>
      <c r="AR63" s="52"/>
      <c r="AS63" s="52"/>
      <c r="AT63" s="52"/>
      <c r="AU63" s="52"/>
      <c r="AV63" s="1"/>
      <c r="AW63" s="1"/>
      <c r="AZ63" s="52" t="s">
        <v>75</v>
      </c>
      <c r="BA63" s="52"/>
      <c r="BB63" s="52"/>
      <c r="BC63" s="52"/>
      <c r="BD63" s="1">
        <v>1</v>
      </c>
      <c r="BE63" s="1"/>
      <c r="BF63" s="1"/>
      <c r="BG63" s="1"/>
      <c r="BH63" s="52"/>
      <c r="BI63" s="52"/>
      <c r="BJ63" s="52"/>
      <c r="BK63" s="52"/>
      <c r="BL63" s="1"/>
      <c r="BM63" s="1"/>
    </row>
    <row r="64" spans="2:65" x14ac:dyDescent="0.25">
      <c r="B64" s="52" t="s">
        <v>76</v>
      </c>
      <c r="C64" s="52"/>
      <c r="D64" s="52"/>
      <c r="E64" s="52"/>
      <c r="F64" s="1">
        <v>1</v>
      </c>
      <c r="G64" s="1"/>
      <c r="H64" s="1"/>
      <c r="I64" s="1"/>
      <c r="J64" s="52"/>
      <c r="K64" s="52"/>
      <c r="L64" s="52"/>
      <c r="M64" s="52"/>
      <c r="N64" s="1"/>
      <c r="O64" s="1"/>
      <c r="T64" s="52" t="s">
        <v>76</v>
      </c>
      <c r="U64" s="52"/>
      <c r="V64" s="52"/>
      <c r="W64" s="52"/>
      <c r="X64" s="1">
        <v>1</v>
      </c>
      <c r="Y64" s="1"/>
      <c r="Z64" s="1"/>
      <c r="AA64" s="1"/>
      <c r="AB64" s="52"/>
      <c r="AC64" s="52"/>
      <c r="AD64" s="52"/>
      <c r="AE64" s="52"/>
      <c r="AF64" s="1"/>
      <c r="AG64" s="1"/>
      <c r="AJ64" s="52" t="s">
        <v>76</v>
      </c>
      <c r="AK64" s="52"/>
      <c r="AL64" s="52"/>
      <c r="AM64" s="52"/>
      <c r="AN64" s="1">
        <v>1</v>
      </c>
      <c r="AO64" s="1"/>
      <c r="AP64" s="1"/>
      <c r="AQ64" s="1"/>
      <c r="AR64" s="52"/>
      <c r="AS64" s="52"/>
      <c r="AT64" s="52"/>
      <c r="AU64" s="52"/>
      <c r="AV64" s="1"/>
      <c r="AW64" s="1"/>
      <c r="AZ64" s="52" t="s">
        <v>76</v>
      </c>
      <c r="BA64" s="52"/>
      <c r="BB64" s="52"/>
      <c r="BC64" s="52"/>
      <c r="BD64" s="1">
        <v>1</v>
      </c>
      <c r="BE64" s="1"/>
      <c r="BF64" s="1"/>
      <c r="BG64" s="1"/>
      <c r="BH64" s="52"/>
      <c r="BI64" s="52"/>
      <c r="BJ64" s="52"/>
      <c r="BK64" s="52"/>
      <c r="BL64" s="1"/>
      <c r="BM64" s="1"/>
    </row>
    <row r="65" spans="2:65" x14ac:dyDescent="0.25">
      <c r="B65" s="52" t="s">
        <v>78</v>
      </c>
      <c r="C65" s="52"/>
      <c r="D65" s="52"/>
      <c r="E65" s="52"/>
      <c r="F65" s="1">
        <v>1</v>
      </c>
      <c r="G65" s="1"/>
      <c r="H65" s="1"/>
      <c r="I65" s="1"/>
      <c r="J65" s="52"/>
      <c r="K65" s="52"/>
      <c r="L65" s="52"/>
      <c r="M65" s="52"/>
      <c r="N65" s="1"/>
      <c r="O65" s="1"/>
      <c r="T65" s="52" t="s">
        <v>78</v>
      </c>
      <c r="U65" s="52"/>
      <c r="V65" s="52"/>
      <c r="W65" s="52"/>
      <c r="X65" s="1">
        <v>1</v>
      </c>
      <c r="Y65" s="1"/>
      <c r="Z65" s="1"/>
      <c r="AA65" s="1"/>
      <c r="AB65" s="52"/>
      <c r="AC65" s="52"/>
      <c r="AD65" s="52"/>
      <c r="AE65" s="52"/>
      <c r="AF65" s="1"/>
      <c r="AG65" s="1"/>
      <c r="AJ65" s="52" t="s">
        <v>78</v>
      </c>
      <c r="AK65" s="52"/>
      <c r="AL65" s="52"/>
      <c r="AM65" s="52"/>
      <c r="AN65" s="1">
        <v>1</v>
      </c>
      <c r="AO65" s="1"/>
      <c r="AP65" s="1"/>
      <c r="AQ65" s="1"/>
      <c r="AR65" s="52"/>
      <c r="AS65" s="52"/>
      <c r="AT65" s="52"/>
      <c r="AU65" s="52"/>
      <c r="AV65" s="1"/>
      <c r="AW65" s="1"/>
      <c r="AZ65" s="52" t="s">
        <v>78</v>
      </c>
      <c r="BA65" s="52"/>
      <c r="BB65" s="52"/>
      <c r="BC65" s="52"/>
      <c r="BD65" s="1">
        <v>1</v>
      </c>
      <c r="BE65" s="1"/>
      <c r="BF65" s="1"/>
      <c r="BG65" s="1"/>
      <c r="BH65" s="52"/>
      <c r="BI65" s="52"/>
      <c r="BJ65" s="52"/>
      <c r="BK65" s="52"/>
      <c r="BL65" s="1"/>
      <c r="BM65" s="1"/>
    </row>
    <row r="66" spans="2:65" x14ac:dyDescent="0.25">
      <c r="B66" s="52" t="s">
        <v>77</v>
      </c>
      <c r="C66" s="52"/>
      <c r="D66" s="52"/>
      <c r="E66" s="52"/>
      <c r="F66" s="1">
        <f>F62*SQRT(F$44*F63*F54*F64*(F61/(F$36*F55))*(1/F49))</f>
        <v>150351.16676127218</v>
      </c>
      <c r="G66" s="1" t="s">
        <v>82</v>
      </c>
      <c r="H66" s="1"/>
      <c r="I66" s="1"/>
      <c r="J66" s="52"/>
      <c r="K66" s="52"/>
      <c r="L66" s="52"/>
      <c r="M66" s="52"/>
      <c r="N66" s="1"/>
      <c r="O66" s="1"/>
      <c r="T66" s="52" t="s">
        <v>77</v>
      </c>
      <c r="U66" s="52"/>
      <c r="V66" s="52"/>
      <c r="W66" s="52"/>
      <c r="X66" s="1">
        <f>X62*SQRT(X$44*X63*X54*X64*(X61/(X$36*X55))*(1/X49))</f>
        <v>151203.02154855608</v>
      </c>
      <c r="Y66" s="1" t="s">
        <v>82</v>
      </c>
      <c r="Z66" s="1"/>
      <c r="AA66" s="1"/>
      <c r="AB66" s="52"/>
      <c r="AC66" s="52"/>
      <c r="AD66" s="52"/>
      <c r="AE66" s="52"/>
      <c r="AF66" s="1"/>
      <c r="AG66" s="1"/>
      <c r="AJ66" s="52" t="s">
        <v>77</v>
      </c>
      <c r="AK66" s="52"/>
      <c r="AL66" s="52"/>
      <c r="AM66" s="52"/>
      <c r="AN66" s="1">
        <f>AN62*SQRT(AN$44*AN63*AN54*AN64*(AN61/(AN$36*AN55))*(1/AN49))</f>
        <v>171813.00519783547</v>
      </c>
      <c r="AO66" s="1" t="s">
        <v>82</v>
      </c>
      <c r="AP66" s="1"/>
      <c r="AQ66" s="1"/>
      <c r="AR66" s="52"/>
      <c r="AS66" s="52"/>
      <c r="AT66" s="52"/>
      <c r="AU66" s="52"/>
      <c r="AV66" s="1"/>
      <c r="AW66" s="1"/>
      <c r="AZ66" s="52" t="s">
        <v>77</v>
      </c>
      <c r="BA66" s="52"/>
      <c r="BB66" s="52"/>
      <c r="BC66" s="52"/>
      <c r="BD66" s="1">
        <f>BD62*SQRT(BD$44*BD63*BD54*BD64*(BD61/(BD$36*BD55))*(1/BD49))</f>
        <v>147209.3492082133</v>
      </c>
      <c r="BE66" s="1" t="s">
        <v>82</v>
      </c>
      <c r="BF66" s="1"/>
      <c r="BG66" s="1"/>
      <c r="BH66" s="52"/>
      <c r="BI66" s="52"/>
      <c r="BJ66" s="52"/>
      <c r="BK66" s="52"/>
      <c r="BL66" s="1"/>
      <c r="BM66" s="1"/>
    </row>
    <row r="67" spans="2:65" x14ac:dyDescent="0.25">
      <c r="B67" s="52" t="s">
        <v>80</v>
      </c>
      <c r="C67" s="52"/>
      <c r="D67" s="52"/>
      <c r="E67" s="52"/>
      <c r="F67" s="1">
        <v>12000</v>
      </c>
      <c r="G67" s="1" t="s">
        <v>81</v>
      </c>
      <c r="H67" s="4"/>
      <c r="I67" s="4"/>
      <c r="J67" s="54"/>
      <c r="K67" s="54"/>
      <c r="L67" s="54"/>
      <c r="M67" s="54"/>
      <c r="N67" s="4"/>
      <c r="O67" s="1"/>
      <c r="T67" s="52" t="s">
        <v>80</v>
      </c>
      <c r="U67" s="52"/>
      <c r="V67" s="52"/>
      <c r="W67" s="52"/>
      <c r="X67" s="1">
        <v>12000</v>
      </c>
      <c r="Y67" s="1" t="s">
        <v>81</v>
      </c>
      <c r="Z67" s="4"/>
      <c r="AA67" s="4"/>
      <c r="AB67" s="54"/>
      <c r="AC67" s="54"/>
      <c r="AD67" s="54"/>
      <c r="AE67" s="54"/>
      <c r="AF67" s="4"/>
      <c r="AG67" s="1"/>
      <c r="AJ67" s="52" t="s">
        <v>80</v>
      </c>
      <c r="AK67" s="52"/>
      <c r="AL67" s="52"/>
      <c r="AM67" s="52"/>
      <c r="AN67" s="1">
        <v>12000</v>
      </c>
      <c r="AO67" s="1" t="s">
        <v>81</v>
      </c>
      <c r="AP67" s="4"/>
      <c r="AQ67" s="4"/>
      <c r="AR67" s="54"/>
      <c r="AS67" s="54"/>
      <c r="AT67" s="54"/>
      <c r="AU67" s="54"/>
      <c r="AV67" s="4"/>
      <c r="AW67" s="1"/>
      <c r="AZ67" s="52" t="s">
        <v>80</v>
      </c>
      <c r="BA67" s="52"/>
      <c r="BB67" s="52"/>
      <c r="BC67" s="52"/>
      <c r="BD67" s="1">
        <v>12000</v>
      </c>
      <c r="BE67" s="1" t="s">
        <v>81</v>
      </c>
      <c r="BF67" s="4"/>
      <c r="BG67" s="4"/>
      <c r="BH67" s="54"/>
      <c r="BI67" s="54"/>
      <c r="BJ67" s="54"/>
      <c r="BK67" s="54"/>
      <c r="BL67" s="4"/>
      <c r="BM67" s="1"/>
    </row>
    <row r="68" spans="2:65" x14ac:dyDescent="0.25">
      <c r="B68" s="52" t="s">
        <v>79</v>
      </c>
      <c r="C68" s="52"/>
      <c r="D68" s="52"/>
      <c r="E68" s="52"/>
      <c r="F68" s="17">
        <f>F67*60*F$28</f>
        <v>280000000</v>
      </c>
      <c r="G68" s="1"/>
      <c r="H68" s="1"/>
      <c r="I68" s="1"/>
      <c r="J68" s="52"/>
      <c r="K68" s="52"/>
      <c r="L68" s="52"/>
      <c r="M68" s="52"/>
      <c r="N68" s="1"/>
      <c r="O68" s="1"/>
      <c r="T68" s="52" t="s">
        <v>79</v>
      </c>
      <c r="U68" s="52"/>
      <c r="V68" s="52"/>
      <c r="W68" s="52"/>
      <c r="X68" s="17">
        <f>X67*60*X$28</f>
        <v>276164383.56164378</v>
      </c>
      <c r="Y68" s="1"/>
      <c r="Z68" s="1"/>
      <c r="AA68" s="1"/>
      <c r="AB68" s="52"/>
      <c r="AC68" s="52"/>
      <c r="AD68" s="52"/>
      <c r="AE68" s="52"/>
      <c r="AF68" s="1"/>
      <c r="AG68" s="1"/>
      <c r="AJ68" s="52" t="s">
        <v>79</v>
      </c>
      <c r="AK68" s="52"/>
      <c r="AL68" s="52"/>
      <c r="AM68" s="52"/>
      <c r="AN68" s="17">
        <f>AN67*60*AN$28</f>
        <v>280000000</v>
      </c>
      <c r="AO68" s="1"/>
      <c r="AP68" s="1"/>
      <c r="AQ68" s="1"/>
      <c r="AR68" s="52"/>
      <c r="AS68" s="52"/>
      <c r="AT68" s="52"/>
      <c r="AU68" s="52"/>
      <c r="AV68" s="1"/>
      <c r="AW68" s="1"/>
      <c r="AZ68" s="52" t="s">
        <v>79</v>
      </c>
      <c r="BA68" s="52"/>
      <c r="BB68" s="52"/>
      <c r="BC68" s="52"/>
      <c r="BD68" s="17">
        <f>BD67*60*BD$28</f>
        <v>280000000</v>
      </c>
      <c r="BE68" s="1"/>
      <c r="BF68" s="1"/>
      <c r="BG68" s="1"/>
      <c r="BH68" s="52"/>
      <c r="BI68" s="52"/>
      <c r="BJ68" s="52"/>
      <c r="BK68" s="52"/>
      <c r="BL68" s="1"/>
      <c r="BM68" s="1"/>
    </row>
    <row r="69" spans="2:65" x14ac:dyDescent="0.25">
      <c r="B69" s="52" t="s">
        <v>83</v>
      </c>
      <c r="C69" s="52"/>
      <c r="D69" s="52"/>
      <c r="E69" s="52"/>
      <c r="F69" s="1">
        <v>0.92</v>
      </c>
      <c r="G69" s="1"/>
      <c r="H69" s="1"/>
      <c r="I69" s="1"/>
      <c r="J69" s="52"/>
      <c r="K69" s="52"/>
      <c r="L69" s="52"/>
      <c r="M69" s="52"/>
      <c r="N69" s="1"/>
      <c r="O69" s="1"/>
      <c r="T69" s="52" t="s">
        <v>83</v>
      </c>
      <c r="U69" s="52"/>
      <c r="V69" s="52"/>
      <c r="W69" s="52"/>
      <c r="X69" s="1">
        <v>0.92</v>
      </c>
      <c r="Y69" s="1"/>
      <c r="Z69" s="1"/>
      <c r="AA69" s="1"/>
      <c r="AB69" s="52"/>
      <c r="AC69" s="52"/>
      <c r="AD69" s="52"/>
      <c r="AE69" s="52"/>
      <c r="AF69" s="1"/>
      <c r="AG69" s="1"/>
      <c r="AJ69" s="52" t="s">
        <v>83</v>
      </c>
      <c r="AK69" s="52"/>
      <c r="AL69" s="52"/>
      <c r="AM69" s="52"/>
      <c r="AN69" s="1">
        <v>0.92</v>
      </c>
      <c r="AO69" s="1"/>
      <c r="AP69" s="1"/>
      <c r="AQ69" s="1"/>
      <c r="AR69" s="52"/>
      <c r="AS69" s="52"/>
      <c r="AT69" s="52"/>
      <c r="AU69" s="52"/>
      <c r="AV69" s="1"/>
      <c r="AW69" s="1"/>
      <c r="AZ69" s="52" t="s">
        <v>83</v>
      </c>
      <c r="BA69" s="52"/>
      <c r="BB69" s="52"/>
      <c r="BC69" s="52"/>
      <c r="BD69" s="1">
        <v>0.92</v>
      </c>
      <c r="BE69" s="1"/>
      <c r="BF69" s="1"/>
      <c r="BG69" s="1"/>
      <c r="BH69" s="52"/>
      <c r="BI69" s="52"/>
      <c r="BJ69" s="52"/>
      <c r="BK69" s="52"/>
      <c r="BL69" s="1"/>
      <c r="BM69" s="1"/>
    </row>
    <row r="70" spans="2:65" x14ac:dyDescent="0.25">
      <c r="B70" s="52" t="s">
        <v>84</v>
      </c>
      <c r="C70" s="52"/>
      <c r="D70" s="52"/>
      <c r="E70" s="52"/>
      <c r="F70" s="1">
        <v>1</v>
      </c>
      <c r="G70" s="1"/>
      <c r="H70" s="1"/>
      <c r="I70" s="1"/>
      <c r="J70" s="52"/>
      <c r="K70" s="52"/>
      <c r="L70" s="52"/>
      <c r="M70" s="52"/>
      <c r="N70" s="1"/>
      <c r="O70" s="1"/>
      <c r="T70" s="52" t="s">
        <v>84</v>
      </c>
      <c r="U70" s="52"/>
      <c r="V70" s="52"/>
      <c r="W70" s="52"/>
      <c r="X70" s="1">
        <v>1</v>
      </c>
      <c r="Y70" s="1"/>
      <c r="Z70" s="1"/>
      <c r="AA70" s="1"/>
      <c r="AB70" s="52"/>
      <c r="AC70" s="52"/>
      <c r="AD70" s="52"/>
      <c r="AE70" s="52"/>
      <c r="AF70" s="1"/>
      <c r="AG70" s="1"/>
      <c r="AJ70" s="52" t="s">
        <v>84</v>
      </c>
      <c r="AK70" s="52"/>
      <c r="AL70" s="52"/>
      <c r="AM70" s="52"/>
      <c r="AN70" s="1">
        <v>1</v>
      </c>
      <c r="AO70" s="1"/>
      <c r="AP70" s="1"/>
      <c r="AQ70" s="1"/>
      <c r="AR70" s="52"/>
      <c r="AS70" s="52"/>
      <c r="AT70" s="52"/>
      <c r="AU70" s="52"/>
      <c r="AV70" s="1"/>
      <c r="AW70" s="1"/>
      <c r="AZ70" s="52" t="s">
        <v>84</v>
      </c>
      <c r="BA70" s="52"/>
      <c r="BB70" s="52"/>
      <c r="BC70" s="52"/>
      <c r="BD70" s="1">
        <v>1</v>
      </c>
      <c r="BE70" s="1"/>
      <c r="BF70" s="1"/>
      <c r="BG70" s="1"/>
      <c r="BH70" s="52"/>
      <c r="BI70" s="52"/>
      <c r="BJ70" s="52"/>
      <c r="BK70" s="52"/>
      <c r="BL70" s="1"/>
      <c r="BM70" s="1"/>
    </row>
    <row r="71" spans="2:65" x14ac:dyDescent="0.25">
      <c r="B71" s="52" t="s">
        <v>85</v>
      </c>
      <c r="C71" s="52"/>
      <c r="D71" s="52"/>
      <c r="E71" s="52"/>
      <c r="F71" s="1">
        <v>1</v>
      </c>
      <c r="G71" s="1"/>
      <c r="H71" s="1"/>
      <c r="I71" s="1"/>
      <c r="J71" s="52"/>
      <c r="K71" s="52"/>
      <c r="L71" s="52"/>
      <c r="M71" s="52"/>
      <c r="N71" s="1"/>
      <c r="O71" s="1"/>
      <c r="T71" s="52" t="s">
        <v>85</v>
      </c>
      <c r="U71" s="52"/>
      <c r="V71" s="52"/>
      <c r="W71" s="52"/>
      <c r="X71" s="1">
        <v>1</v>
      </c>
      <c r="Y71" s="1"/>
      <c r="Z71" s="1"/>
      <c r="AA71" s="1"/>
      <c r="AB71" s="52"/>
      <c r="AC71" s="52"/>
      <c r="AD71" s="52"/>
      <c r="AE71" s="52"/>
      <c r="AF71" s="1"/>
      <c r="AG71" s="1"/>
      <c r="AJ71" s="52" t="s">
        <v>85</v>
      </c>
      <c r="AK71" s="52"/>
      <c r="AL71" s="52"/>
      <c r="AM71" s="52"/>
      <c r="AN71" s="1">
        <v>1</v>
      </c>
      <c r="AO71" s="1"/>
      <c r="AP71" s="1"/>
      <c r="AQ71" s="1"/>
      <c r="AR71" s="52"/>
      <c r="AS71" s="52"/>
      <c r="AT71" s="52"/>
      <c r="AU71" s="52"/>
      <c r="AV71" s="1"/>
      <c r="AW71" s="1"/>
      <c r="AZ71" s="52" t="s">
        <v>85</v>
      </c>
      <c r="BA71" s="52"/>
      <c r="BB71" s="52"/>
      <c r="BC71" s="52"/>
      <c r="BD71" s="1">
        <v>1</v>
      </c>
      <c r="BE71" s="1"/>
      <c r="BF71" s="1"/>
      <c r="BG71" s="1"/>
      <c r="BH71" s="52"/>
      <c r="BI71" s="52"/>
      <c r="BJ71" s="52"/>
      <c r="BK71" s="52"/>
      <c r="BL71" s="1"/>
      <c r="BM71" s="1"/>
    </row>
    <row r="72" spans="2:65" x14ac:dyDescent="0.25">
      <c r="B72" s="52" t="s">
        <v>86</v>
      </c>
      <c r="C72" s="52"/>
      <c r="D72" s="52"/>
      <c r="E72" s="52"/>
      <c r="F72" s="1">
        <v>1</v>
      </c>
      <c r="G72" s="1"/>
      <c r="H72" s="1"/>
      <c r="I72" s="1"/>
      <c r="J72" s="52"/>
      <c r="K72" s="52"/>
      <c r="L72" s="52"/>
      <c r="M72" s="52"/>
      <c r="N72" s="1"/>
      <c r="O72" s="1"/>
      <c r="T72" s="52" t="s">
        <v>86</v>
      </c>
      <c r="U72" s="52"/>
      <c r="V72" s="52"/>
      <c r="W72" s="52"/>
      <c r="X72" s="1">
        <v>1</v>
      </c>
      <c r="Y72" s="1"/>
      <c r="Z72" s="1"/>
      <c r="AA72" s="1"/>
      <c r="AB72" s="52"/>
      <c r="AC72" s="52"/>
      <c r="AD72" s="52"/>
      <c r="AE72" s="52"/>
      <c r="AF72" s="1"/>
      <c r="AG72" s="1"/>
      <c r="AJ72" s="52" t="s">
        <v>86</v>
      </c>
      <c r="AK72" s="52"/>
      <c r="AL72" s="52"/>
      <c r="AM72" s="52"/>
      <c r="AN72" s="1">
        <v>1</v>
      </c>
      <c r="AO72" s="1"/>
      <c r="AP72" s="1"/>
      <c r="AQ72" s="1"/>
      <c r="AR72" s="52"/>
      <c r="AS72" s="52"/>
      <c r="AT72" s="52"/>
      <c r="AU72" s="52"/>
      <c r="AV72" s="1"/>
      <c r="AW72" s="1"/>
      <c r="AZ72" s="52" t="s">
        <v>86</v>
      </c>
      <c r="BA72" s="52"/>
      <c r="BB72" s="52"/>
      <c r="BC72" s="52"/>
      <c r="BD72" s="1">
        <v>1</v>
      </c>
      <c r="BE72" s="1"/>
      <c r="BF72" s="1"/>
      <c r="BG72" s="1"/>
      <c r="BH72" s="52"/>
      <c r="BI72" s="52"/>
      <c r="BJ72" s="52"/>
      <c r="BK72" s="52"/>
      <c r="BL72" s="1"/>
      <c r="BM72" s="1"/>
    </row>
    <row r="73" spans="2:65" x14ac:dyDescent="0.25">
      <c r="B73" s="52" t="s">
        <v>87</v>
      </c>
      <c r="C73" s="52"/>
      <c r="D73" s="52"/>
      <c r="E73" s="52"/>
      <c r="F73" s="1">
        <v>1.2</v>
      </c>
      <c r="G73" s="1"/>
      <c r="H73" s="1"/>
      <c r="I73" s="1"/>
      <c r="J73" s="52"/>
      <c r="K73" s="52"/>
      <c r="L73" s="52"/>
      <c r="M73" s="52"/>
      <c r="N73" s="1"/>
      <c r="O73" s="1"/>
      <c r="T73" s="52" t="s">
        <v>87</v>
      </c>
      <c r="U73" s="52"/>
      <c r="V73" s="52"/>
      <c r="W73" s="52"/>
      <c r="X73" s="1">
        <v>1.2</v>
      </c>
      <c r="Y73" s="1"/>
      <c r="Z73" s="1"/>
      <c r="AA73" s="1"/>
      <c r="AB73" s="52"/>
      <c r="AC73" s="52"/>
      <c r="AD73" s="52"/>
      <c r="AE73" s="52"/>
      <c r="AF73" s="1"/>
      <c r="AG73" s="1"/>
      <c r="AJ73" s="52" t="s">
        <v>87</v>
      </c>
      <c r="AK73" s="52"/>
      <c r="AL73" s="52"/>
      <c r="AM73" s="52"/>
      <c r="AN73" s="1">
        <v>1.2</v>
      </c>
      <c r="AO73" s="1"/>
      <c r="AP73" s="1"/>
      <c r="AQ73" s="1"/>
      <c r="AR73" s="52"/>
      <c r="AS73" s="52"/>
      <c r="AT73" s="52"/>
      <c r="AU73" s="52"/>
      <c r="AV73" s="1"/>
      <c r="AW73" s="1"/>
      <c r="AZ73" s="52" t="s">
        <v>87</v>
      </c>
      <c r="BA73" s="52"/>
      <c r="BB73" s="52"/>
      <c r="BC73" s="52"/>
      <c r="BD73" s="1">
        <v>1.2</v>
      </c>
      <c r="BE73" s="1"/>
      <c r="BF73" s="1"/>
      <c r="BG73" s="1"/>
      <c r="BH73" s="52"/>
      <c r="BI73" s="52"/>
      <c r="BJ73" s="52"/>
      <c r="BK73" s="52"/>
      <c r="BL73" s="1"/>
      <c r="BM73" s="1"/>
    </row>
    <row r="74" spans="2:65" x14ac:dyDescent="0.25">
      <c r="B74" s="52" t="s">
        <v>88</v>
      </c>
      <c r="C74" s="52"/>
      <c r="D74" s="52"/>
      <c r="E74" s="52"/>
      <c r="F74" s="1">
        <f>(F66*F73)/F69</f>
        <v>196110.21751470285</v>
      </c>
      <c r="G74" s="1" t="s">
        <v>82</v>
      </c>
      <c r="H74" s="1"/>
      <c r="I74" s="1"/>
      <c r="J74" s="52"/>
      <c r="K74" s="52"/>
      <c r="L74" s="52"/>
      <c r="M74" s="52"/>
      <c r="N74" s="1"/>
      <c r="O74" s="1"/>
      <c r="S74" t="s">
        <v>92</v>
      </c>
      <c r="T74" s="52" t="s">
        <v>88</v>
      </c>
      <c r="U74" s="52"/>
      <c r="V74" s="52"/>
      <c r="W74" s="52"/>
      <c r="X74" s="1">
        <f>(X66*X73)/X69</f>
        <v>197221.33245463832</v>
      </c>
      <c r="Y74" s="1" t="s">
        <v>82</v>
      </c>
      <c r="Z74" s="1"/>
      <c r="AA74" s="1"/>
      <c r="AB74" s="52"/>
      <c r="AC74" s="52"/>
      <c r="AD74" s="52"/>
      <c r="AE74" s="52"/>
      <c r="AF74" s="1"/>
      <c r="AG74" s="1"/>
      <c r="AJ74" s="52" t="s">
        <v>88</v>
      </c>
      <c r="AK74" s="52"/>
      <c r="AL74" s="52"/>
      <c r="AM74" s="52"/>
      <c r="AN74" s="1">
        <f>(AN66*AN73)/AN69</f>
        <v>224103.91982326366</v>
      </c>
      <c r="AO74" s="1" t="s">
        <v>82</v>
      </c>
      <c r="AP74" s="1"/>
      <c r="AQ74" s="1"/>
      <c r="AR74" s="52"/>
      <c r="AS74" s="52"/>
      <c r="AT74" s="52"/>
      <c r="AU74" s="52"/>
      <c r="AV74" s="1"/>
      <c r="AW74" s="1"/>
      <c r="AZ74" s="52" t="s">
        <v>88</v>
      </c>
      <c r="BA74" s="52"/>
      <c r="BB74" s="52"/>
      <c r="BC74" s="52"/>
      <c r="BD74" s="1">
        <f>(BD66*BD73)/BD69</f>
        <v>192012.19461940863</v>
      </c>
      <c r="BE74" s="1" t="s">
        <v>82</v>
      </c>
      <c r="BF74" s="1"/>
      <c r="BG74" s="1"/>
      <c r="BH74" s="52"/>
      <c r="BI74" s="52"/>
      <c r="BJ74" s="52"/>
      <c r="BK74" s="52"/>
      <c r="BL74" s="1"/>
      <c r="BM74" s="1"/>
    </row>
    <row r="75" spans="2:65" x14ac:dyDescent="0.25">
      <c r="B75" s="52" t="s">
        <v>91</v>
      </c>
      <c r="C75" s="52"/>
      <c r="D75" s="52"/>
      <c r="E75" s="52"/>
      <c r="F75" s="1">
        <v>225000</v>
      </c>
      <c r="G75" s="1" t="s">
        <v>82</v>
      </c>
      <c r="H75" s="1" t="s">
        <v>104</v>
      </c>
      <c r="I75" s="1"/>
      <c r="J75" s="4"/>
      <c r="K75" s="4"/>
      <c r="L75" s="4"/>
      <c r="M75" s="4"/>
      <c r="N75" s="1"/>
      <c r="O75" s="1"/>
      <c r="S75" t="s">
        <v>93</v>
      </c>
      <c r="T75" s="52" t="s">
        <v>91</v>
      </c>
      <c r="U75" s="52"/>
      <c r="V75" s="52"/>
      <c r="W75" s="52"/>
      <c r="X75" s="1">
        <v>225000</v>
      </c>
      <c r="Y75" s="1" t="s">
        <v>82</v>
      </c>
      <c r="Z75" s="1" t="s">
        <v>104</v>
      </c>
      <c r="AA75" s="1"/>
      <c r="AB75" s="4"/>
      <c r="AC75" s="4"/>
      <c r="AD75" s="4"/>
      <c r="AE75" s="4"/>
      <c r="AF75" s="1"/>
      <c r="AG75" s="1"/>
      <c r="AJ75" s="52" t="s">
        <v>91</v>
      </c>
      <c r="AK75" s="52"/>
      <c r="AL75" s="52"/>
      <c r="AM75" s="52"/>
      <c r="AN75" s="1">
        <v>225000</v>
      </c>
      <c r="AO75" s="1" t="s">
        <v>82</v>
      </c>
      <c r="AP75" s="1" t="s">
        <v>104</v>
      </c>
      <c r="AQ75" s="1"/>
      <c r="AR75" s="4"/>
      <c r="AS75" s="4"/>
      <c r="AT75" s="4"/>
      <c r="AU75" s="4"/>
      <c r="AV75" s="1"/>
      <c r="AW75" s="1"/>
      <c r="AZ75" s="52" t="s">
        <v>91</v>
      </c>
      <c r="BA75" s="52"/>
      <c r="BB75" s="52"/>
      <c r="BC75" s="52"/>
      <c r="BD75" s="1">
        <v>225000</v>
      </c>
      <c r="BE75" s="1" t="s">
        <v>82</v>
      </c>
      <c r="BF75" s="1" t="s">
        <v>104</v>
      </c>
      <c r="BG75" s="1"/>
      <c r="BH75" s="4"/>
      <c r="BI75" s="4"/>
      <c r="BJ75" s="4"/>
      <c r="BK75" s="4"/>
      <c r="BL75" s="1"/>
      <c r="BM75" s="1"/>
    </row>
    <row r="76" spans="2:65" x14ac:dyDescent="0.25">
      <c r="B76" s="52" t="s">
        <v>89</v>
      </c>
      <c r="C76" s="52"/>
      <c r="D76" s="52"/>
      <c r="E76" s="52"/>
      <c r="F76" s="1">
        <f>(F75*F69)/F66</f>
        <v>1.3767768116404107</v>
      </c>
      <c r="G76" s="1" t="str">
        <f>IF(F76&gt;F73,$S$74,$S$75)</f>
        <v>Cumple</v>
      </c>
      <c r="H76" s="1"/>
      <c r="I76" s="1"/>
      <c r="J76" s="52"/>
      <c r="K76" s="52"/>
      <c r="L76" s="52"/>
      <c r="M76" s="52"/>
      <c r="N76" s="1"/>
      <c r="O76" s="1"/>
      <c r="T76" s="52" t="s">
        <v>89</v>
      </c>
      <c r="U76" s="52"/>
      <c r="V76" s="52"/>
      <c r="W76" s="52"/>
      <c r="X76" s="1">
        <f>(X75*X69)/X66</f>
        <v>1.3690202608386748</v>
      </c>
      <c r="Y76" s="1" t="str">
        <f>IF(X76&gt;X73,$S$74,$S$75)</f>
        <v>Cumple</v>
      </c>
      <c r="Z76" s="1"/>
      <c r="AA76" s="1"/>
      <c r="AB76" s="52"/>
      <c r="AC76" s="52"/>
      <c r="AD76" s="52"/>
      <c r="AE76" s="52"/>
      <c r="AF76" s="1"/>
      <c r="AG76" s="1"/>
      <c r="AJ76" s="52" t="s">
        <v>89</v>
      </c>
      <c r="AK76" s="52"/>
      <c r="AL76" s="52"/>
      <c r="AM76" s="52"/>
      <c r="AN76" s="1">
        <f>(AN75*AN69)/AN66</f>
        <v>1.2047982034983218</v>
      </c>
      <c r="AO76" s="1" t="str">
        <f>IF(AN76&gt;AN73,$S$74,$S$75)</f>
        <v>Cumple</v>
      </c>
      <c r="AP76" s="1"/>
      <c r="AQ76" s="1"/>
      <c r="AR76" s="52"/>
      <c r="AS76" s="52"/>
      <c r="AT76" s="52"/>
      <c r="AU76" s="52"/>
      <c r="AV76" s="1"/>
      <c r="AW76" s="1"/>
      <c r="AZ76" s="52" t="s">
        <v>89</v>
      </c>
      <c r="BA76" s="52"/>
      <c r="BB76" s="52"/>
      <c r="BC76" s="52"/>
      <c r="BD76" s="1">
        <f>(BD75*BD69)/BD66</f>
        <v>1.406160689612306</v>
      </c>
      <c r="BE76" s="1" t="str">
        <f>IF(BD76&gt;BD73,$S$74,$S$75)</f>
        <v>Cumple</v>
      </c>
      <c r="BF76" s="1"/>
      <c r="BG76" s="1"/>
      <c r="BH76" s="52"/>
      <c r="BI76" s="52"/>
      <c r="BJ76" s="52"/>
      <c r="BK76" s="52"/>
      <c r="BL76" s="1"/>
      <c r="BM76" s="1"/>
    </row>
    <row r="77" spans="2:65" x14ac:dyDescent="0.25">
      <c r="B77" s="52"/>
      <c r="C77" s="52"/>
      <c r="D77" s="52"/>
      <c r="E77" s="52"/>
      <c r="F77" s="1"/>
      <c r="G77" s="1"/>
      <c r="H77" s="1"/>
      <c r="I77" s="1"/>
      <c r="J77" s="1"/>
      <c r="K77" s="1"/>
      <c r="L77" s="1"/>
      <c r="M77" s="1"/>
      <c r="N77" s="1"/>
      <c r="O77" s="1"/>
      <c r="T77" s="52"/>
      <c r="U77" s="52"/>
      <c r="V77" s="52"/>
      <c r="W77" s="52"/>
      <c r="X77" s="1"/>
      <c r="Y77" s="1"/>
      <c r="Z77" s="1"/>
      <c r="AA77" s="1"/>
      <c r="AB77" s="1"/>
      <c r="AC77" s="1"/>
      <c r="AD77" s="1"/>
      <c r="AE77" s="1"/>
      <c r="AF77" s="1"/>
      <c r="AG77" s="1"/>
      <c r="AJ77" s="52"/>
      <c r="AK77" s="52"/>
      <c r="AL77" s="52"/>
      <c r="AM77" s="52"/>
      <c r="AN77" s="1"/>
      <c r="AO77" s="1"/>
      <c r="AP77" s="1"/>
      <c r="AQ77" s="1"/>
      <c r="AR77" s="1"/>
      <c r="AS77" s="1"/>
      <c r="AT77" s="1"/>
      <c r="AU77" s="1"/>
      <c r="AV77" s="1"/>
      <c r="AW77" s="1"/>
      <c r="AZ77" s="52"/>
      <c r="BA77" s="52"/>
      <c r="BB77" s="52"/>
      <c r="BC77" s="52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2:65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2:65" x14ac:dyDescent="0.25">
      <c r="B79" s="53" t="s">
        <v>100</v>
      </c>
      <c r="C79" s="53"/>
      <c r="D79" s="53"/>
      <c r="E79" s="53"/>
      <c r="F79" s="53"/>
      <c r="G79" s="53"/>
      <c r="H79" s="53"/>
      <c r="I79" s="53" t="s">
        <v>101</v>
      </c>
      <c r="J79" s="53"/>
      <c r="K79" s="53"/>
      <c r="L79" s="53"/>
      <c r="M79" s="53"/>
      <c r="N79" s="53"/>
      <c r="O79" s="53"/>
      <c r="T79" s="53" t="s">
        <v>100</v>
      </c>
      <c r="U79" s="53"/>
      <c r="V79" s="53"/>
      <c r="W79" s="53"/>
      <c r="X79" s="53"/>
      <c r="Y79" s="53"/>
      <c r="Z79" s="53"/>
      <c r="AA79" s="53" t="s">
        <v>101</v>
      </c>
      <c r="AB79" s="53"/>
      <c r="AC79" s="53"/>
      <c r="AD79" s="53"/>
      <c r="AE79" s="53"/>
      <c r="AF79" s="53"/>
      <c r="AG79" s="53"/>
      <c r="AJ79" s="53" t="s">
        <v>100</v>
      </c>
      <c r="AK79" s="53"/>
      <c r="AL79" s="53"/>
      <c r="AM79" s="53"/>
      <c r="AN79" s="53"/>
      <c r="AO79" s="53"/>
      <c r="AP79" s="53"/>
      <c r="AQ79" s="53" t="s">
        <v>101</v>
      </c>
      <c r="AR79" s="53"/>
      <c r="AS79" s="53"/>
      <c r="AT79" s="53"/>
      <c r="AU79" s="53"/>
      <c r="AV79" s="53"/>
      <c r="AW79" s="53"/>
      <c r="AZ79" s="53" t="s">
        <v>100</v>
      </c>
      <c r="BA79" s="53"/>
      <c r="BB79" s="53"/>
      <c r="BC79" s="53"/>
      <c r="BD79" s="53"/>
      <c r="BE79" s="53"/>
      <c r="BF79" s="53"/>
      <c r="BG79" s="53" t="s">
        <v>101</v>
      </c>
      <c r="BH79" s="53"/>
      <c r="BI79" s="53"/>
      <c r="BJ79" s="53"/>
      <c r="BK79" s="53"/>
      <c r="BL79" s="53"/>
      <c r="BM79" s="53"/>
    </row>
    <row r="80" spans="2:65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2:65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2:65" x14ac:dyDescent="0.25">
      <c r="B82" s="52" t="s">
        <v>60</v>
      </c>
      <c r="C82" s="52"/>
      <c r="D82" s="52"/>
      <c r="E82" s="52"/>
      <c r="F82" s="1">
        <f>(COS(20)*SIN(20)/2)*((F$26/F$23)/((F$26/F$23)+1))</f>
        <v>0.15240951009804862</v>
      </c>
      <c r="G82" s="1"/>
      <c r="H82" s="1"/>
      <c r="I82" s="1"/>
      <c r="J82" s="52" t="s">
        <v>94</v>
      </c>
      <c r="K82" s="52"/>
      <c r="L82" s="52"/>
      <c r="M82" s="52"/>
      <c r="N82" s="1">
        <v>0.41</v>
      </c>
      <c r="O82" s="1"/>
      <c r="T82" s="52" t="s">
        <v>60</v>
      </c>
      <c r="U82" s="52"/>
      <c r="V82" s="52"/>
      <c r="W82" s="52"/>
      <c r="X82" s="1">
        <f>(COS(20)*SIN(20)/2)*((X$26/X$23)/((X$26/X$23)+1))</f>
        <v>0.15279005818818106</v>
      </c>
      <c r="Y82" s="1"/>
      <c r="Z82" s="1"/>
      <c r="AA82" s="1"/>
      <c r="AB82" s="52" t="s">
        <v>94</v>
      </c>
      <c r="AC82" s="52"/>
      <c r="AD82" s="52"/>
      <c r="AE82" s="52"/>
      <c r="AF82" s="1">
        <v>0.41</v>
      </c>
      <c r="AG82" s="1"/>
      <c r="AJ82" s="52" t="s">
        <v>60</v>
      </c>
      <c r="AK82" s="52"/>
      <c r="AL82" s="52"/>
      <c r="AM82" s="52"/>
      <c r="AN82" s="1">
        <f>(COS(20)*SIN(20)/2)*((AN$26/AN$23)/((AN$26/AN$23)+1))</f>
        <v>0.15240951009804862</v>
      </c>
      <c r="AO82" s="1"/>
      <c r="AP82" s="1"/>
      <c r="AQ82" s="1"/>
      <c r="AR82" s="52" t="s">
        <v>94</v>
      </c>
      <c r="AS82" s="52"/>
      <c r="AT82" s="52"/>
      <c r="AU82" s="52"/>
      <c r="AV82" s="1">
        <v>0.41</v>
      </c>
      <c r="AW82" s="1"/>
      <c r="AZ82" s="52" t="s">
        <v>60</v>
      </c>
      <c r="BA82" s="52"/>
      <c r="BB82" s="52"/>
      <c r="BC82" s="52"/>
      <c r="BD82" s="1">
        <f>(COS(20)*SIN(20)/2)*((BD$26/BD$23)/((BD$26/BD$23)+1))</f>
        <v>0.15240951009804862</v>
      </c>
      <c r="BE82" s="1"/>
      <c r="BF82" s="1"/>
      <c r="BG82" s="1"/>
      <c r="BH82" s="52" t="s">
        <v>94</v>
      </c>
      <c r="BI82" s="52"/>
      <c r="BJ82" s="52"/>
      <c r="BK82" s="52"/>
      <c r="BL82" s="1">
        <v>0.41</v>
      </c>
      <c r="BM82" s="1"/>
    </row>
    <row r="83" spans="2:65" x14ac:dyDescent="0.25">
      <c r="B83" s="52" t="s">
        <v>66</v>
      </c>
      <c r="C83" s="52"/>
      <c r="D83" s="52"/>
      <c r="E83" s="52"/>
      <c r="F83" s="1">
        <v>7</v>
      </c>
      <c r="G83" s="1"/>
      <c r="H83" s="1"/>
      <c r="I83" s="1"/>
      <c r="J83" s="52" t="s">
        <v>95</v>
      </c>
      <c r="K83" s="52"/>
      <c r="L83" s="52"/>
      <c r="M83" s="52"/>
      <c r="N83" s="1">
        <v>1</v>
      </c>
      <c r="O83" s="1"/>
      <c r="T83" s="52" t="s">
        <v>66</v>
      </c>
      <c r="U83" s="52"/>
      <c r="V83" s="52"/>
      <c r="W83" s="52"/>
      <c r="X83" s="1">
        <v>7</v>
      </c>
      <c r="Y83" s="1"/>
      <c r="Z83" s="1"/>
      <c r="AA83" s="1"/>
      <c r="AB83" s="52" t="s">
        <v>95</v>
      </c>
      <c r="AC83" s="52"/>
      <c r="AD83" s="52"/>
      <c r="AE83" s="52"/>
      <c r="AF83" s="1">
        <v>1</v>
      </c>
      <c r="AG83" s="1"/>
      <c r="AJ83" s="52" t="s">
        <v>66</v>
      </c>
      <c r="AK83" s="52"/>
      <c r="AL83" s="52"/>
      <c r="AM83" s="52"/>
      <c r="AN83" s="1">
        <v>7</v>
      </c>
      <c r="AO83" s="1"/>
      <c r="AP83" s="1"/>
      <c r="AQ83" s="1"/>
      <c r="AR83" s="52" t="s">
        <v>95</v>
      </c>
      <c r="AS83" s="52"/>
      <c r="AT83" s="52"/>
      <c r="AU83" s="52"/>
      <c r="AV83" s="1">
        <v>1</v>
      </c>
      <c r="AW83" s="1"/>
      <c r="AZ83" s="52" t="s">
        <v>66</v>
      </c>
      <c r="BA83" s="52"/>
      <c r="BB83" s="52"/>
      <c r="BC83" s="52"/>
      <c r="BD83" s="1">
        <v>7</v>
      </c>
      <c r="BE83" s="1"/>
      <c r="BF83" s="1"/>
      <c r="BG83" s="1"/>
      <c r="BH83" s="52" t="s">
        <v>95</v>
      </c>
      <c r="BI83" s="52"/>
      <c r="BJ83" s="52"/>
      <c r="BK83" s="52"/>
      <c r="BL83" s="1">
        <v>1</v>
      </c>
      <c r="BM83" s="1"/>
    </row>
    <row r="84" spans="2:65" x14ac:dyDescent="0.25">
      <c r="B84" s="52" t="s">
        <v>64</v>
      </c>
      <c r="C84" s="52"/>
      <c r="D84" s="52"/>
      <c r="E84" s="52"/>
      <c r="F84" s="1">
        <f>0.25*((12-F83)^(2/3))</f>
        <v>0.7310044345532164</v>
      </c>
      <c r="G84" s="1"/>
      <c r="H84" s="1"/>
      <c r="I84" s="1"/>
      <c r="J84" s="52" t="s">
        <v>96</v>
      </c>
      <c r="K84" s="52"/>
      <c r="L84" s="52"/>
      <c r="M84" s="52"/>
      <c r="N84" s="1">
        <v>0.94</v>
      </c>
      <c r="O84" s="1"/>
      <c r="T84" s="52" t="s">
        <v>64</v>
      </c>
      <c r="U84" s="52"/>
      <c r="V84" s="52"/>
      <c r="W84" s="52"/>
      <c r="X84" s="1">
        <f>0.25*((12-X83)^(2/3))</f>
        <v>0.7310044345532164</v>
      </c>
      <c r="Y84" s="1"/>
      <c r="Z84" s="1"/>
      <c r="AA84" s="1"/>
      <c r="AB84" s="52" t="s">
        <v>96</v>
      </c>
      <c r="AC84" s="52"/>
      <c r="AD84" s="52"/>
      <c r="AE84" s="52"/>
      <c r="AF84" s="1">
        <v>0.94</v>
      </c>
      <c r="AG84" s="1"/>
      <c r="AJ84" s="52" t="s">
        <v>64</v>
      </c>
      <c r="AK84" s="52"/>
      <c r="AL84" s="52"/>
      <c r="AM84" s="52"/>
      <c r="AN84" s="1">
        <f>0.25*((12-AN83)^(2/3))</f>
        <v>0.7310044345532164</v>
      </c>
      <c r="AO84" s="1"/>
      <c r="AP84" s="1"/>
      <c r="AQ84" s="1"/>
      <c r="AR84" s="52" t="s">
        <v>96</v>
      </c>
      <c r="AS84" s="52"/>
      <c r="AT84" s="52"/>
      <c r="AU84" s="52"/>
      <c r="AV84" s="1">
        <v>0.94</v>
      </c>
      <c r="AW84" s="1"/>
      <c r="AZ84" s="52" t="s">
        <v>64</v>
      </c>
      <c r="BA84" s="52"/>
      <c r="BB84" s="52"/>
      <c r="BC84" s="52"/>
      <c r="BD84" s="1">
        <f>0.25*((12-BD83)^(2/3))</f>
        <v>0.7310044345532164</v>
      </c>
      <c r="BE84" s="1"/>
      <c r="BF84" s="1"/>
      <c r="BG84" s="1"/>
      <c r="BH84" s="52" t="s">
        <v>96</v>
      </c>
      <c r="BI84" s="52"/>
      <c r="BJ84" s="52"/>
      <c r="BK84" s="52"/>
      <c r="BL84" s="1">
        <v>0.94</v>
      </c>
      <c r="BM84" s="1"/>
    </row>
    <row r="85" spans="2:65" x14ac:dyDescent="0.25">
      <c r="B85" s="52" t="s">
        <v>63</v>
      </c>
      <c r="C85" s="52"/>
      <c r="D85" s="52"/>
      <c r="E85" s="52"/>
      <c r="F85" s="1">
        <f>50+(56*(1-F84))</f>
        <v>65.063751665019879</v>
      </c>
      <c r="G85" s="1"/>
      <c r="H85" s="1"/>
      <c r="I85" s="1"/>
      <c r="J85" s="52" t="s">
        <v>77</v>
      </c>
      <c r="K85" s="52"/>
      <c r="L85" s="52"/>
      <c r="M85" s="52"/>
      <c r="N85" s="1">
        <f>F$44*F87*(F$35/F88)*(F94/N82)</f>
        <v>24225.289425169372</v>
      </c>
      <c r="O85" s="1" t="s">
        <v>82</v>
      </c>
      <c r="T85" s="52" t="s">
        <v>63</v>
      </c>
      <c r="U85" s="52"/>
      <c r="V85" s="52"/>
      <c r="W85" s="52"/>
      <c r="X85" s="1">
        <f>50+(56*(1-X84))</f>
        <v>65.063751665019879</v>
      </c>
      <c r="Y85" s="1"/>
      <c r="Z85" s="1"/>
      <c r="AA85" s="1"/>
      <c r="AB85" s="52" t="s">
        <v>77</v>
      </c>
      <c r="AC85" s="52"/>
      <c r="AD85" s="52"/>
      <c r="AE85" s="52"/>
      <c r="AF85" s="1">
        <f>X$44*X87*(X$35/X88)*(X94/AF82)</f>
        <v>24556.893116157706</v>
      </c>
      <c r="AG85" s="1" t="s">
        <v>82</v>
      </c>
      <c r="AJ85" s="52" t="s">
        <v>63</v>
      </c>
      <c r="AK85" s="52"/>
      <c r="AL85" s="52"/>
      <c r="AM85" s="52"/>
      <c r="AN85" s="1">
        <f>50+(56*(1-AN84))</f>
        <v>65.063751665019879</v>
      </c>
      <c r="AO85" s="1"/>
      <c r="AP85" s="1"/>
      <c r="AQ85" s="1"/>
      <c r="AR85" s="52" t="s">
        <v>77</v>
      </c>
      <c r="AS85" s="52"/>
      <c r="AT85" s="52"/>
      <c r="AU85" s="52"/>
      <c r="AV85" s="1">
        <f>AN$44*AN87*(AN$35/AN88)*(AN94/AV82)</f>
        <v>32008.866171884445</v>
      </c>
      <c r="AW85" s="1" t="s">
        <v>82</v>
      </c>
      <c r="AZ85" s="52" t="s">
        <v>63</v>
      </c>
      <c r="BA85" s="52"/>
      <c r="BB85" s="52"/>
      <c r="BC85" s="52"/>
      <c r="BD85" s="1">
        <f>50+(56*(1-BD84))</f>
        <v>65.063751665019879</v>
      </c>
      <c r="BE85" s="1"/>
      <c r="BF85" s="1"/>
      <c r="BG85" s="1"/>
      <c r="BH85" s="52" t="s">
        <v>77</v>
      </c>
      <c r="BI85" s="52"/>
      <c r="BJ85" s="52"/>
      <c r="BK85" s="52"/>
      <c r="BL85" s="1">
        <f>BD$44*BD87*(BD$35/BD88)*(BD94/BL82)</f>
        <v>23172.864040171233</v>
      </c>
      <c r="BM85" s="1" t="s">
        <v>82</v>
      </c>
    </row>
    <row r="86" spans="2:65" x14ac:dyDescent="0.25">
      <c r="B86" s="52" t="s">
        <v>65</v>
      </c>
      <c r="C86" s="52"/>
      <c r="D86" s="52"/>
      <c r="E86" s="52"/>
      <c r="F86" s="1">
        <f>(F85+(F83-3))^2</f>
        <v>4769.8017940475365</v>
      </c>
      <c r="G86" s="1"/>
      <c r="H86" s="1"/>
      <c r="I86" s="1"/>
      <c r="J86" s="52" t="s">
        <v>97</v>
      </c>
      <c r="K86" s="52"/>
      <c r="L86" s="52"/>
      <c r="M86" s="52"/>
      <c r="N86" s="1">
        <v>65000</v>
      </c>
      <c r="O86" s="1" t="s">
        <v>82</v>
      </c>
      <c r="T86" s="52" t="s">
        <v>65</v>
      </c>
      <c r="U86" s="52"/>
      <c r="V86" s="52"/>
      <c r="W86" s="52"/>
      <c r="X86" s="1">
        <f>(X85+(X83-3))^2</f>
        <v>4769.8017940475365</v>
      </c>
      <c r="Y86" s="1"/>
      <c r="Z86" s="1"/>
      <c r="AA86" s="1"/>
      <c r="AB86" s="52" t="s">
        <v>97</v>
      </c>
      <c r="AC86" s="52"/>
      <c r="AD86" s="52"/>
      <c r="AE86" s="52"/>
      <c r="AF86" s="1">
        <v>65000</v>
      </c>
      <c r="AG86" s="1" t="s">
        <v>82</v>
      </c>
      <c r="AJ86" s="52" t="s">
        <v>65</v>
      </c>
      <c r="AK86" s="52"/>
      <c r="AL86" s="52"/>
      <c r="AM86" s="52"/>
      <c r="AN86" s="1">
        <f>(AN85+(AN83-3))^2</f>
        <v>4769.8017940475365</v>
      </c>
      <c r="AO86" s="1"/>
      <c r="AP86" s="1"/>
      <c r="AQ86" s="1"/>
      <c r="AR86" s="52" t="s">
        <v>97</v>
      </c>
      <c r="AS86" s="52"/>
      <c r="AT86" s="52"/>
      <c r="AU86" s="52"/>
      <c r="AV86" s="1">
        <v>65000</v>
      </c>
      <c r="AW86" s="1" t="s">
        <v>82</v>
      </c>
      <c r="AZ86" s="52" t="s">
        <v>65</v>
      </c>
      <c r="BA86" s="52"/>
      <c r="BB86" s="52"/>
      <c r="BC86" s="52"/>
      <c r="BD86" s="1">
        <f>(BD85+(BD83-3))^2</f>
        <v>4769.8017940475365</v>
      </c>
      <c r="BE86" s="1"/>
      <c r="BF86" s="1"/>
      <c r="BG86" s="1"/>
      <c r="BH86" s="52" t="s">
        <v>97</v>
      </c>
      <c r="BI86" s="52"/>
      <c r="BJ86" s="52"/>
      <c r="BK86" s="52"/>
      <c r="BL86" s="1">
        <v>65000</v>
      </c>
      <c r="BM86" s="1" t="s">
        <v>82</v>
      </c>
    </row>
    <row r="87" spans="2:65" x14ac:dyDescent="0.25">
      <c r="B87" s="52" t="s">
        <v>67</v>
      </c>
      <c r="C87" s="52"/>
      <c r="D87" s="52"/>
      <c r="E87" s="52"/>
      <c r="F87" s="1">
        <f>MROUND(((F85+SQRT(F$42))/F85)^F84,0.01)</f>
        <v>1.18</v>
      </c>
      <c r="G87" s="1"/>
      <c r="H87" s="1"/>
      <c r="I87" s="1"/>
      <c r="J87" s="52" t="s">
        <v>98</v>
      </c>
      <c r="K87" s="52"/>
      <c r="L87" s="52"/>
      <c r="M87" s="52"/>
      <c r="N87" s="1">
        <f>N86*N84</f>
        <v>61100</v>
      </c>
      <c r="O87" s="1" t="s">
        <v>82</v>
      </c>
      <c r="T87" s="52" t="s">
        <v>67</v>
      </c>
      <c r="U87" s="52"/>
      <c r="V87" s="52"/>
      <c r="W87" s="52"/>
      <c r="X87" s="1">
        <f>MROUND(((X85+SQRT(X$42))/X85)^X84,0.01)</f>
        <v>1.18</v>
      </c>
      <c r="Y87" s="1"/>
      <c r="Z87" s="1"/>
      <c r="AA87" s="1"/>
      <c r="AB87" s="52" t="s">
        <v>98</v>
      </c>
      <c r="AC87" s="52"/>
      <c r="AD87" s="52"/>
      <c r="AE87" s="52"/>
      <c r="AF87" s="1">
        <f>AF86*AF84</f>
        <v>61100</v>
      </c>
      <c r="AG87" s="1" t="s">
        <v>82</v>
      </c>
      <c r="AJ87" s="52" t="s">
        <v>67</v>
      </c>
      <c r="AK87" s="52"/>
      <c r="AL87" s="52"/>
      <c r="AM87" s="52"/>
      <c r="AN87" s="1">
        <f>MROUND(((AN85+SQRT(AN$42))/AN85)^AN84,0.01)</f>
        <v>1.18</v>
      </c>
      <c r="AO87" s="1"/>
      <c r="AP87" s="1"/>
      <c r="AQ87" s="1"/>
      <c r="AR87" s="52" t="s">
        <v>98</v>
      </c>
      <c r="AS87" s="52"/>
      <c r="AT87" s="52"/>
      <c r="AU87" s="52"/>
      <c r="AV87" s="1">
        <f>AV86*AV84</f>
        <v>61100</v>
      </c>
      <c r="AW87" s="1" t="s">
        <v>82</v>
      </c>
      <c r="AZ87" s="52" t="s">
        <v>67</v>
      </c>
      <c r="BA87" s="52"/>
      <c r="BB87" s="52"/>
      <c r="BC87" s="52"/>
      <c r="BD87" s="1">
        <f>MROUND(((BD85+SQRT(BD$42))/BD85)^BD84,0.01)</f>
        <v>1.18</v>
      </c>
      <c r="BE87" s="1"/>
      <c r="BF87" s="1"/>
      <c r="BG87" s="1"/>
      <c r="BH87" s="52" t="s">
        <v>98</v>
      </c>
      <c r="BI87" s="52"/>
      <c r="BJ87" s="52"/>
      <c r="BK87" s="52"/>
      <c r="BL87" s="1">
        <f>BL86*BL84</f>
        <v>61100</v>
      </c>
      <c r="BM87" s="1" t="s">
        <v>82</v>
      </c>
    </row>
    <row r="88" spans="2:65" x14ac:dyDescent="0.25">
      <c r="B88" s="52" t="s">
        <v>68</v>
      </c>
      <c r="C88" s="52"/>
      <c r="D88" s="52"/>
      <c r="E88" s="52"/>
      <c r="F88" s="10">
        <f>INT(PI()*4/F$35)</f>
        <v>2</v>
      </c>
      <c r="G88" s="1"/>
      <c r="H88" s="1"/>
      <c r="I88" s="1"/>
      <c r="J88" s="52" t="s">
        <v>99</v>
      </c>
      <c r="K88" s="52"/>
      <c r="L88" s="52"/>
      <c r="M88" s="52"/>
      <c r="N88" s="8">
        <f>N87/N85</f>
        <v>2.5221576893326554</v>
      </c>
      <c r="O88" s="1" t="str">
        <f>IF(N88&gt;F106,$S$74,$S$75)</f>
        <v>Cumple</v>
      </c>
      <c r="T88" s="52" t="s">
        <v>68</v>
      </c>
      <c r="U88" s="52"/>
      <c r="V88" s="52"/>
      <c r="W88" s="52"/>
      <c r="X88" s="10">
        <f>INT(PI()*4/X$35)</f>
        <v>2</v>
      </c>
      <c r="Y88" s="1"/>
      <c r="Z88" s="1"/>
      <c r="AA88" s="1"/>
      <c r="AB88" s="52" t="s">
        <v>99</v>
      </c>
      <c r="AC88" s="52"/>
      <c r="AD88" s="52"/>
      <c r="AE88" s="52"/>
      <c r="AF88" s="8">
        <f>AF87/AF85</f>
        <v>2.4880997653484926</v>
      </c>
      <c r="AG88" s="1" t="str">
        <f>IF(AF88&gt;X106,$S$74,$S$75)</f>
        <v>Cumple</v>
      </c>
      <c r="AJ88" s="52" t="s">
        <v>68</v>
      </c>
      <c r="AK88" s="52"/>
      <c r="AL88" s="52"/>
      <c r="AM88" s="52"/>
      <c r="AN88" s="9">
        <v>1.5</v>
      </c>
      <c r="AO88" s="1"/>
      <c r="AP88" s="1"/>
      <c r="AQ88" s="1"/>
      <c r="AR88" s="52" t="s">
        <v>99</v>
      </c>
      <c r="AS88" s="52"/>
      <c r="AT88" s="52"/>
      <c r="AU88" s="52"/>
      <c r="AV88" s="8">
        <f>AV87/AV85</f>
        <v>1.9088461200687037</v>
      </c>
      <c r="AW88" s="1" t="str">
        <f>IF(AV88&gt;AN106,$S$74,$S$75)</f>
        <v>Cumple</v>
      </c>
      <c r="AZ88" s="52" t="s">
        <v>68</v>
      </c>
      <c r="BA88" s="52"/>
      <c r="BB88" s="52"/>
      <c r="BC88" s="52"/>
      <c r="BD88" s="8">
        <f>(PI()*4/BD$35)</f>
        <v>2.0943951023931953</v>
      </c>
      <c r="BE88" s="1"/>
      <c r="BF88" s="1"/>
      <c r="BG88" s="1"/>
      <c r="BH88" s="52" t="s">
        <v>99</v>
      </c>
      <c r="BI88" s="52"/>
      <c r="BJ88" s="52"/>
      <c r="BK88" s="52"/>
      <c r="BL88" s="8">
        <f>BL87/BL85</f>
        <v>2.6367047204040173</v>
      </c>
      <c r="BM88" s="1" t="str">
        <f>IF(BL88&gt;BD106,$S$74,$S$75)</f>
        <v>Cumple</v>
      </c>
    </row>
    <row r="89" spans="2:65" x14ac:dyDescent="0.25">
      <c r="B89" s="52" t="s">
        <v>70</v>
      </c>
      <c r="C89" s="52"/>
      <c r="D89" s="52"/>
      <c r="E89" s="52"/>
      <c r="F89" s="1">
        <v>1</v>
      </c>
      <c r="G89" s="1"/>
      <c r="H89" s="1"/>
      <c r="I89" s="1"/>
      <c r="J89" s="52"/>
      <c r="K89" s="52"/>
      <c r="L89" s="52"/>
      <c r="M89" s="52"/>
      <c r="N89" s="1"/>
      <c r="O89" s="1"/>
      <c r="T89" s="52" t="s">
        <v>70</v>
      </c>
      <c r="U89" s="52"/>
      <c r="V89" s="52"/>
      <c r="W89" s="52"/>
      <c r="X89" s="1">
        <v>1</v>
      </c>
      <c r="Y89" s="1"/>
      <c r="Z89" s="1"/>
      <c r="AA89" s="1"/>
      <c r="AB89" s="52"/>
      <c r="AC89" s="52"/>
      <c r="AD89" s="52"/>
      <c r="AE89" s="52"/>
      <c r="AF89" s="1"/>
      <c r="AG89" s="1"/>
      <c r="AJ89" s="52" t="s">
        <v>70</v>
      </c>
      <c r="AK89" s="52"/>
      <c r="AL89" s="52"/>
      <c r="AM89" s="52"/>
      <c r="AN89" s="1">
        <v>1</v>
      </c>
      <c r="AO89" s="1"/>
      <c r="AP89" s="1"/>
      <c r="AQ89" s="1"/>
      <c r="AR89" s="52"/>
      <c r="AS89" s="52"/>
      <c r="AT89" s="52"/>
      <c r="AU89" s="52"/>
      <c r="AV89" s="1"/>
      <c r="AW89" s="1"/>
      <c r="AZ89" s="52" t="s">
        <v>70</v>
      </c>
      <c r="BA89" s="52"/>
      <c r="BB89" s="52"/>
      <c r="BC89" s="52"/>
      <c r="BD89" s="1">
        <v>1</v>
      </c>
      <c r="BE89" s="1"/>
      <c r="BF89" s="1"/>
      <c r="BG89" s="1"/>
      <c r="BH89" s="52"/>
      <c r="BI89" s="52"/>
      <c r="BJ89" s="52"/>
      <c r="BK89" s="52"/>
      <c r="BL89" s="1"/>
      <c r="BM89" s="1"/>
    </row>
    <row r="90" spans="2:65" x14ac:dyDescent="0.25">
      <c r="B90" s="52" t="s">
        <v>71</v>
      </c>
      <c r="C90" s="52"/>
      <c r="D90" s="52"/>
      <c r="E90" s="52"/>
      <c r="F90" s="11">
        <f>(F88/(10*F$37))-0.0375+(0.0125*F88)</f>
        <v>4.1666666666666692E-3</v>
      </c>
      <c r="G90" s="1"/>
      <c r="H90" s="1"/>
      <c r="I90" s="1"/>
      <c r="J90" s="52"/>
      <c r="K90" s="52"/>
      <c r="L90" s="52"/>
      <c r="M90" s="52"/>
      <c r="N90" s="1"/>
      <c r="O90" s="1"/>
      <c r="T90" s="52" t="s">
        <v>71</v>
      </c>
      <c r="U90" s="52"/>
      <c r="V90" s="52"/>
      <c r="W90" s="52"/>
      <c r="X90" s="11">
        <f>(X88/(10*X$37))-0.0375+(0.0125*X88)</f>
        <v>3.9383561643835663E-3</v>
      </c>
      <c r="Y90" s="1"/>
      <c r="Z90" s="1"/>
      <c r="AA90" s="1"/>
      <c r="AB90" s="52"/>
      <c r="AC90" s="52"/>
      <c r="AD90" s="52"/>
      <c r="AE90" s="52"/>
      <c r="AF90" s="1"/>
      <c r="AG90" s="1"/>
      <c r="AJ90" s="52" t="s">
        <v>71</v>
      </c>
      <c r="AK90" s="52"/>
      <c r="AL90" s="52"/>
      <c r="AM90" s="52"/>
      <c r="AN90" s="11">
        <f>(AN88/(10*AN$37))-0.0375+(0.0125*AN88)</f>
        <v>-6.2499999999999951E-3</v>
      </c>
      <c r="AO90" s="1"/>
      <c r="AP90" s="1"/>
      <c r="AQ90" s="1"/>
      <c r="AR90" s="52"/>
      <c r="AS90" s="52"/>
      <c r="AT90" s="52"/>
      <c r="AU90" s="52"/>
      <c r="AV90" s="1"/>
      <c r="AW90" s="1"/>
      <c r="AZ90" s="52" t="s">
        <v>71</v>
      </c>
      <c r="BA90" s="52"/>
      <c r="BB90" s="52"/>
      <c r="BC90" s="52"/>
      <c r="BD90" s="11">
        <f>(BD88/(10*BD$37))-0.0375+(0.0125*BD88)</f>
        <v>6.1332312998582383E-3</v>
      </c>
      <c r="BE90" s="1"/>
      <c r="BF90" s="1"/>
      <c r="BG90" s="1"/>
      <c r="BH90" s="52"/>
      <c r="BI90" s="52"/>
      <c r="BJ90" s="52"/>
      <c r="BK90" s="52"/>
      <c r="BL90" s="1"/>
      <c r="BM90" s="1"/>
    </row>
    <row r="91" spans="2:65" x14ac:dyDescent="0.25">
      <c r="B91" s="52" t="s">
        <v>72</v>
      </c>
      <c r="C91" s="52"/>
      <c r="D91" s="52"/>
      <c r="E91" s="52"/>
      <c r="F91" s="1">
        <v>1</v>
      </c>
      <c r="G91" s="1"/>
      <c r="H91" s="1"/>
      <c r="I91" s="1"/>
      <c r="J91" s="52"/>
      <c r="K91" s="52"/>
      <c r="L91" s="52"/>
      <c r="M91" s="52"/>
      <c r="N91" s="1"/>
      <c r="O91" s="1"/>
      <c r="T91" s="52" t="s">
        <v>72</v>
      </c>
      <c r="U91" s="52"/>
      <c r="V91" s="52"/>
      <c r="W91" s="52"/>
      <c r="X91" s="1">
        <v>1</v>
      </c>
      <c r="Y91" s="1"/>
      <c r="Z91" s="1"/>
      <c r="AA91" s="1"/>
      <c r="AB91" s="52"/>
      <c r="AC91" s="52"/>
      <c r="AD91" s="52"/>
      <c r="AE91" s="52"/>
      <c r="AF91" s="1"/>
      <c r="AG91" s="1"/>
      <c r="AJ91" s="52" t="s">
        <v>72</v>
      </c>
      <c r="AK91" s="52"/>
      <c r="AL91" s="52"/>
      <c r="AM91" s="52"/>
      <c r="AN91" s="1">
        <v>1</v>
      </c>
      <c r="AO91" s="1"/>
      <c r="AP91" s="1"/>
      <c r="AQ91" s="1"/>
      <c r="AR91" s="52"/>
      <c r="AS91" s="52"/>
      <c r="AT91" s="52"/>
      <c r="AU91" s="52"/>
      <c r="AV91" s="1"/>
      <c r="AW91" s="1"/>
      <c r="AZ91" s="52" t="s">
        <v>72</v>
      </c>
      <c r="BA91" s="52"/>
      <c r="BB91" s="52"/>
      <c r="BC91" s="52"/>
      <c r="BD91" s="1">
        <v>1</v>
      </c>
      <c r="BE91" s="1"/>
      <c r="BF91" s="1"/>
      <c r="BG91" s="1"/>
      <c r="BH91" s="52"/>
      <c r="BI91" s="52"/>
      <c r="BJ91" s="52"/>
      <c r="BK91" s="52"/>
      <c r="BL91" s="1"/>
      <c r="BM91" s="1"/>
    </row>
    <row r="92" spans="2:65" x14ac:dyDescent="0.25">
      <c r="B92" s="52" t="s">
        <v>73</v>
      </c>
      <c r="C92" s="52"/>
      <c r="D92" s="52"/>
      <c r="E92" s="52"/>
      <c r="F92" s="1">
        <v>0.15</v>
      </c>
      <c r="G92" s="1"/>
      <c r="H92" s="1"/>
      <c r="I92" s="1"/>
      <c r="J92" s="52"/>
      <c r="K92" s="52"/>
      <c r="L92" s="52"/>
      <c r="M92" s="52"/>
      <c r="N92" s="1"/>
      <c r="O92" s="1"/>
      <c r="T92" s="52" t="s">
        <v>73</v>
      </c>
      <c r="U92" s="52"/>
      <c r="V92" s="52"/>
      <c r="W92" s="52"/>
      <c r="X92" s="1">
        <v>0.15</v>
      </c>
      <c r="Y92" s="1"/>
      <c r="Z92" s="1"/>
      <c r="AA92" s="1"/>
      <c r="AB92" s="52"/>
      <c r="AC92" s="52"/>
      <c r="AD92" s="52"/>
      <c r="AE92" s="52"/>
      <c r="AF92" s="1"/>
      <c r="AG92" s="1"/>
      <c r="AJ92" s="52" t="s">
        <v>73</v>
      </c>
      <c r="AK92" s="52"/>
      <c r="AL92" s="52"/>
      <c r="AM92" s="52"/>
      <c r="AN92" s="1">
        <v>0.15</v>
      </c>
      <c r="AO92" s="1"/>
      <c r="AP92" s="1"/>
      <c r="AQ92" s="1"/>
      <c r="AR92" s="52"/>
      <c r="AS92" s="52"/>
      <c r="AT92" s="52"/>
      <c r="AU92" s="52"/>
      <c r="AV92" s="1"/>
      <c r="AW92" s="1"/>
      <c r="AZ92" s="52" t="s">
        <v>73</v>
      </c>
      <c r="BA92" s="52"/>
      <c r="BB92" s="52"/>
      <c r="BC92" s="52"/>
      <c r="BD92" s="1">
        <v>0.15</v>
      </c>
      <c r="BE92" s="1"/>
      <c r="BF92" s="1"/>
      <c r="BG92" s="1"/>
      <c r="BH92" s="52"/>
      <c r="BI92" s="52"/>
      <c r="BJ92" s="52"/>
      <c r="BK92" s="52"/>
      <c r="BL92" s="1"/>
      <c r="BM92" s="1"/>
    </row>
    <row r="93" spans="2:65" x14ac:dyDescent="0.25">
      <c r="B93" s="52" t="s">
        <v>74</v>
      </c>
      <c r="C93" s="52"/>
      <c r="D93" s="52"/>
      <c r="E93" s="52"/>
      <c r="F93" s="1">
        <v>1</v>
      </c>
      <c r="G93" s="1"/>
      <c r="H93" s="1"/>
      <c r="I93" s="1"/>
      <c r="J93" s="52"/>
      <c r="K93" s="52"/>
      <c r="L93" s="52"/>
      <c r="M93" s="52"/>
      <c r="N93" s="1"/>
      <c r="O93" s="1"/>
      <c r="T93" s="52" t="s">
        <v>74</v>
      </c>
      <c r="U93" s="52"/>
      <c r="V93" s="52"/>
      <c r="W93" s="52"/>
      <c r="X93" s="1">
        <v>1</v>
      </c>
      <c r="Y93" s="1"/>
      <c r="Z93" s="1"/>
      <c r="AA93" s="1"/>
      <c r="AB93" s="52"/>
      <c r="AC93" s="52"/>
      <c r="AD93" s="52"/>
      <c r="AE93" s="52"/>
      <c r="AF93" s="1"/>
      <c r="AG93" s="1"/>
      <c r="AJ93" s="52" t="s">
        <v>74</v>
      </c>
      <c r="AK93" s="52"/>
      <c r="AL93" s="52"/>
      <c r="AM93" s="52"/>
      <c r="AN93" s="1">
        <v>1</v>
      </c>
      <c r="AO93" s="1"/>
      <c r="AP93" s="1"/>
      <c r="AQ93" s="1"/>
      <c r="AR93" s="52"/>
      <c r="AS93" s="52"/>
      <c r="AT93" s="52"/>
      <c r="AU93" s="52"/>
      <c r="AV93" s="1"/>
      <c r="AW93" s="1"/>
      <c r="AZ93" s="52" t="s">
        <v>74</v>
      </c>
      <c r="BA93" s="52"/>
      <c r="BB93" s="52"/>
      <c r="BC93" s="52"/>
      <c r="BD93" s="1">
        <v>1</v>
      </c>
      <c r="BE93" s="1"/>
      <c r="BF93" s="1"/>
      <c r="BG93" s="1"/>
      <c r="BH93" s="52"/>
      <c r="BI93" s="52"/>
      <c r="BJ93" s="52"/>
      <c r="BK93" s="52"/>
      <c r="BL93" s="1"/>
      <c r="BM93" s="1"/>
    </row>
    <row r="94" spans="2:65" x14ac:dyDescent="0.25">
      <c r="B94" s="52" t="s">
        <v>69</v>
      </c>
      <c r="C94" s="52"/>
      <c r="D94" s="52"/>
      <c r="E94" s="52"/>
      <c r="F94" s="8">
        <f>1+(F89*((F90*F91)+(F92*F93)))</f>
        <v>1.1541666666666668</v>
      </c>
      <c r="G94" s="1"/>
      <c r="H94" s="1"/>
      <c r="I94" s="1"/>
      <c r="J94" s="52"/>
      <c r="K94" s="52"/>
      <c r="L94" s="52"/>
      <c r="M94" s="52"/>
      <c r="N94" s="1"/>
      <c r="O94" s="1"/>
      <c r="T94" s="52" t="s">
        <v>69</v>
      </c>
      <c r="U94" s="52"/>
      <c r="V94" s="52"/>
      <c r="W94" s="52"/>
      <c r="X94" s="8">
        <f>1+(X89*((X90*X91)+(X92*X93)))</f>
        <v>1.1539383561643834</v>
      </c>
      <c r="Y94" s="1"/>
      <c r="Z94" s="1"/>
      <c r="AA94" s="1"/>
      <c r="AB94" s="52"/>
      <c r="AC94" s="52"/>
      <c r="AD94" s="52"/>
      <c r="AE94" s="52"/>
      <c r="AF94" s="1"/>
      <c r="AG94" s="1"/>
      <c r="AJ94" s="52" t="s">
        <v>69</v>
      </c>
      <c r="AK94" s="52"/>
      <c r="AL94" s="52"/>
      <c r="AM94" s="52"/>
      <c r="AN94" s="8">
        <f>1+(AN89*((AN90*AN91)+(AN92*AN93)))</f>
        <v>1.14375</v>
      </c>
      <c r="AO94" s="1"/>
      <c r="AP94" s="1"/>
      <c r="AQ94" s="1"/>
      <c r="AR94" s="52"/>
      <c r="AS94" s="52"/>
      <c r="AT94" s="52"/>
      <c r="AU94" s="52"/>
      <c r="AV94" s="1"/>
      <c r="AW94" s="1"/>
      <c r="AZ94" s="52" t="s">
        <v>69</v>
      </c>
      <c r="BA94" s="52"/>
      <c r="BB94" s="52"/>
      <c r="BC94" s="52"/>
      <c r="BD94" s="8">
        <f>1+(BD89*((BD90*BD91)+(BD92*BD93)))</f>
        <v>1.1561332312998582</v>
      </c>
      <c r="BE94" s="1"/>
      <c r="BF94" s="1"/>
      <c r="BG94" s="1"/>
      <c r="BH94" s="52"/>
      <c r="BI94" s="52"/>
      <c r="BJ94" s="52"/>
      <c r="BK94" s="52"/>
      <c r="BL94" s="1"/>
      <c r="BM94" s="1"/>
    </row>
    <row r="95" spans="2:65" x14ac:dyDescent="0.25">
      <c r="B95" s="52" t="s">
        <v>90</v>
      </c>
      <c r="C95" s="52"/>
      <c r="D95" s="52"/>
      <c r="E95" s="52"/>
      <c r="F95" s="1">
        <v>2300</v>
      </c>
      <c r="G95" s="1"/>
      <c r="H95" s="1"/>
      <c r="I95" s="1"/>
      <c r="J95" s="52"/>
      <c r="K95" s="52"/>
      <c r="L95" s="52"/>
      <c r="M95" s="52"/>
      <c r="N95" s="1"/>
      <c r="O95" s="1"/>
      <c r="T95" s="52" t="s">
        <v>90</v>
      </c>
      <c r="U95" s="52"/>
      <c r="V95" s="52"/>
      <c r="W95" s="52"/>
      <c r="X95" s="1">
        <v>2300</v>
      </c>
      <c r="Y95" s="1"/>
      <c r="Z95" s="1"/>
      <c r="AA95" s="1"/>
      <c r="AB95" s="52"/>
      <c r="AC95" s="52"/>
      <c r="AD95" s="52"/>
      <c r="AE95" s="52"/>
      <c r="AF95" s="1"/>
      <c r="AG95" s="1"/>
      <c r="AJ95" s="52" t="s">
        <v>90</v>
      </c>
      <c r="AK95" s="52"/>
      <c r="AL95" s="52"/>
      <c r="AM95" s="52"/>
      <c r="AN95" s="1">
        <v>2300</v>
      </c>
      <c r="AO95" s="1"/>
      <c r="AP95" s="1"/>
      <c r="AQ95" s="1"/>
      <c r="AR95" s="52"/>
      <c r="AS95" s="52"/>
      <c r="AT95" s="52"/>
      <c r="AU95" s="52"/>
      <c r="AV95" s="1"/>
      <c r="AW95" s="1"/>
      <c r="AZ95" s="52" t="s">
        <v>90</v>
      </c>
      <c r="BA95" s="52"/>
      <c r="BB95" s="52"/>
      <c r="BC95" s="52"/>
      <c r="BD95" s="1">
        <v>2300</v>
      </c>
      <c r="BE95" s="1"/>
      <c r="BF95" s="1"/>
      <c r="BG95" s="1"/>
      <c r="BH95" s="52"/>
      <c r="BI95" s="52"/>
      <c r="BJ95" s="52"/>
      <c r="BK95" s="52"/>
      <c r="BL95" s="1"/>
      <c r="BM95" s="1"/>
    </row>
    <row r="96" spans="2:65" x14ac:dyDescent="0.25">
      <c r="B96" s="52" t="s">
        <v>75</v>
      </c>
      <c r="C96" s="52"/>
      <c r="D96" s="52"/>
      <c r="E96" s="52"/>
      <c r="F96" s="1">
        <v>1</v>
      </c>
      <c r="G96" s="1"/>
      <c r="H96" s="1"/>
      <c r="I96" s="1"/>
      <c r="J96" s="52"/>
      <c r="K96" s="52"/>
      <c r="L96" s="52"/>
      <c r="M96" s="52"/>
      <c r="N96" s="1"/>
      <c r="O96" s="1"/>
      <c r="T96" s="52" t="s">
        <v>75</v>
      </c>
      <c r="U96" s="52"/>
      <c r="V96" s="52"/>
      <c r="W96" s="52"/>
      <c r="X96" s="1">
        <v>1</v>
      </c>
      <c r="Y96" s="1"/>
      <c r="Z96" s="1"/>
      <c r="AA96" s="1"/>
      <c r="AB96" s="52"/>
      <c r="AC96" s="52"/>
      <c r="AD96" s="52"/>
      <c r="AE96" s="52"/>
      <c r="AF96" s="1"/>
      <c r="AG96" s="1"/>
      <c r="AJ96" s="52" t="s">
        <v>75</v>
      </c>
      <c r="AK96" s="52"/>
      <c r="AL96" s="52"/>
      <c r="AM96" s="52"/>
      <c r="AN96" s="1">
        <v>1</v>
      </c>
      <c r="AO96" s="1"/>
      <c r="AP96" s="1"/>
      <c r="AQ96" s="1"/>
      <c r="AR96" s="52"/>
      <c r="AS96" s="52"/>
      <c r="AT96" s="52"/>
      <c r="AU96" s="52"/>
      <c r="AV96" s="1"/>
      <c r="AW96" s="1"/>
      <c r="AZ96" s="52" t="s">
        <v>75</v>
      </c>
      <c r="BA96" s="52"/>
      <c r="BB96" s="52"/>
      <c r="BC96" s="52"/>
      <c r="BD96" s="1">
        <v>1</v>
      </c>
      <c r="BE96" s="1"/>
      <c r="BF96" s="1"/>
      <c r="BG96" s="1"/>
      <c r="BH96" s="52"/>
      <c r="BI96" s="52"/>
      <c r="BJ96" s="52"/>
      <c r="BK96" s="52"/>
      <c r="BL96" s="1"/>
      <c r="BM96" s="1"/>
    </row>
    <row r="97" spans="2:65" x14ac:dyDescent="0.25">
      <c r="B97" s="52" t="s">
        <v>76</v>
      </c>
      <c r="C97" s="52"/>
      <c r="D97" s="52"/>
      <c r="E97" s="52"/>
      <c r="F97" s="1">
        <v>1</v>
      </c>
      <c r="G97" s="1"/>
      <c r="H97" s="1"/>
      <c r="I97" s="1"/>
      <c r="J97" s="52"/>
      <c r="K97" s="52"/>
      <c r="L97" s="52"/>
      <c r="M97" s="52"/>
      <c r="N97" s="1"/>
      <c r="O97" s="1"/>
      <c r="T97" s="52" t="s">
        <v>76</v>
      </c>
      <c r="U97" s="52"/>
      <c r="V97" s="52"/>
      <c r="W97" s="52"/>
      <c r="X97" s="1">
        <v>1</v>
      </c>
      <c r="Y97" s="1"/>
      <c r="Z97" s="1"/>
      <c r="AA97" s="1"/>
      <c r="AB97" s="52"/>
      <c r="AC97" s="52"/>
      <c r="AD97" s="52"/>
      <c r="AE97" s="52"/>
      <c r="AF97" s="1"/>
      <c r="AG97" s="1"/>
      <c r="AJ97" s="52" t="s">
        <v>76</v>
      </c>
      <c r="AK97" s="52"/>
      <c r="AL97" s="52"/>
      <c r="AM97" s="52"/>
      <c r="AN97" s="1">
        <v>1</v>
      </c>
      <c r="AO97" s="1"/>
      <c r="AP97" s="1"/>
      <c r="AQ97" s="1"/>
      <c r="AR97" s="52"/>
      <c r="AS97" s="52"/>
      <c r="AT97" s="52"/>
      <c r="AU97" s="52"/>
      <c r="AV97" s="1"/>
      <c r="AW97" s="1"/>
      <c r="AZ97" s="52" t="s">
        <v>76</v>
      </c>
      <c r="BA97" s="52"/>
      <c r="BB97" s="52"/>
      <c r="BC97" s="52"/>
      <c r="BD97" s="1">
        <v>1</v>
      </c>
      <c r="BE97" s="1"/>
      <c r="BF97" s="1"/>
      <c r="BG97" s="1"/>
      <c r="BH97" s="52"/>
      <c r="BI97" s="52"/>
      <c r="BJ97" s="52"/>
      <c r="BK97" s="52"/>
      <c r="BL97" s="1"/>
      <c r="BM97" s="1"/>
    </row>
    <row r="98" spans="2:65" x14ac:dyDescent="0.25">
      <c r="B98" s="52" t="s">
        <v>78</v>
      </c>
      <c r="C98" s="52"/>
      <c r="D98" s="52"/>
      <c r="E98" s="52"/>
      <c r="F98" s="1">
        <v>1</v>
      </c>
      <c r="G98" s="1"/>
      <c r="H98" s="1"/>
      <c r="I98" s="1"/>
      <c r="J98" s="52"/>
      <c r="K98" s="52"/>
      <c r="L98" s="52"/>
      <c r="M98" s="52"/>
      <c r="N98" s="1"/>
      <c r="O98" s="1"/>
      <c r="T98" s="52" t="s">
        <v>78</v>
      </c>
      <c r="U98" s="52"/>
      <c r="V98" s="52"/>
      <c r="W98" s="52"/>
      <c r="X98" s="1">
        <v>1</v>
      </c>
      <c r="Y98" s="1"/>
      <c r="Z98" s="1"/>
      <c r="AA98" s="1"/>
      <c r="AB98" s="52"/>
      <c r="AC98" s="52"/>
      <c r="AD98" s="52"/>
      <c r="AE98" s="52"/>
      <c r="AF98" s="1"/>
      <c r="AG98" s="1"/>
      <c r="AJ98" s="52" t="s">
        <v>78</v>
      </c>
      <c r="AK98" s="52"/>
      <c r="AL98" s="52"/>
      <c r="AM98" s="52"/>
      <c r="AN98" s="1">
        <v>1</v>
      </c>
      <c r="AO98" s="1"/>
      <c r="AP98" s="1"/>
      <c r="AQ98" s="1"/>
      <c r="AR98" s="52"/>
      <c r="AS98" s="52"/>
      <c r="AT98" s="52"/>
      <c r="AU98" s="52"/>
      <c r="AV98" s="1"/>
      <c r="AW98" s="1"/>
      <c r="AZ98" s="52" t="s">
        <v>78</v>
      </c>
      <c r="BA98" s="52"/>
      <c r="BB98" s="52"/>
      <c r="BC98" s="52"/>
      <c r="BD98" s="1">
        <v>1</v>
      </c>
      <c r="BE98" s="1"/>
      <c r="BF98" s="1"/>
      <c r="BG98" s="1"/>
      <c r="BH98" s="52"/>
      <c r="BI98" s="52"/>
      <c r="BJ98" s="52"/>
      <c r="BK98" s="52"/>
      <c r="BL98" s="1"/>
      <c r="BM98" s="1"/>
    </row>
    <row r="99" spans="2:65" x14ac:dyDescent="0.25">
      <c r="B99" s="52" t="s">
        <v>77</v>
      </c>
      <c r="C99" s="52"/>
      <c r="D99" s="52"/>
      <c r="E99" s="52"/>
      <c r="F99" s="1">
        <f>F95*SQRT(F$44*F96*F87*F97*(F94/(F$37*F88))*(1/F82))</f>
        <v>69196.156110582728</v>
      </c>
      <c r="G99" s="1" t="s">
        <v>82</v>
      </c>
      <c r="H99" s="1"/>
      <c r="I99" s="1"/>
      <c r="J99" s="52"/>
      <c r="K99" s="52"/>
      <c r="L99" s="52"/>
      <c r="M99" s="52"/>
      <c r="N99" s="1"/>
      <c r="O99" s="1"/>
      <c r="T99" s="52" t="s">
        <v>77</v>
      </c>
      <c r="U99" s="52"/>
      <c r="V99" s="52"/>
      <c r="W99" s="52"/>
      <c r="X99" s="1">
        <f>X95*SQRT(X$44*X96*X87*X97*(X94/(X$37*X88))*(1/X82))</f>
        <v>69103.094538128978</v>
      </c>
      <c r="Y99" s="1" t="s">
        <v>82</v>
      </c>
      <c r="Z99" s="1"/>
      <c r="AA99" s="1"/>
      <c r="AB99" s="52"/>
      <c r="AC99" s="52"/>
      <c r="AD99" s="52"/>
      <c r="AE99" s="52"/>
      <c r="AF99" s="1"/>
      <c r="AG99" s="1"/>
      <c r="AJ99" s="52" t="s">
        <v>77</v>
      </c>
      <c r="AK99" s="52"/>
      <c r="AL99" s="52"/>
      <c r="AM99" s="52"/>
      <c r="AN99" s="1">
        <f>AN95*SQRT(AN$44*AN96*AN87*AN97*(AN94/(AN$37*AN88))*(1/AN82))</f>
        <v>79539.458125521254</v>
      </c>
      <c r="AO99" s="1" t="s">
        <v>82</v>
      </c>
      <c r="AP99" s="1"/>
      <c r="AQ99" s="1"/>
      <c r="AR99" s="52"/>
      <c r="AS99" s="52"/>
      <c r="AT99" s="52"/>
      <c r="AU99" s="52"/>
      <c r="AV99" s="1"/>
      <c r="AW99" s="1"/>
      <c r="AZ99" s="52" t="s">
        <v>77</v>
      </c>
      <c r="BA99" s="52"/>
      <c r="BB99" s="52"/>
      <c r="BC99" s="52"/>
      <c r="BD99" s="1">
        <f>BD95*SQRT(BD$44*BD96*BD87*BD97*(BD94/(BD$37*BD88))*(1/BD82))</f>
        <v>67676.414140173423</v>
      </c>
      <c r="BE99" s="1" t="s">
        <v>82</v>
      </c>
      <c r="BF99" s="1"/>
      <c r="BG99" s="1"/>
      <c r="BH99" s="52"/>
      <c r="BI99" s="52"/>
      <c r="BJ99" s="52"/>
      <c r="BK99" s="52"/>
      <c r="BL99" s="1"/>
      <c r="BM99" s="1"/>
    </row>
    <row r="100" spans="2:65" x14ac:dyDescent="0.25">
      <c r="B100" s="52" t="s">
        <v>80</v>
      </c>
      <c r="C100" s="52"/>
      <c r="D100" s="52"/>
      <c r="E100" s="52"/>
      <c r="F100" s="1">
        <v>12000</v>
      </c>
      <c r="G100" s="1" t="s">
        <v>81</v>
      </c>
      <c r="H100" s="4"/>
      <c r="I100" s="4"/>
      <c r="J100" s="54"/>
      <c r="K100" s="54"/>
      <c r="L100" s="54"/>
      <c r="M100" s="54"/>
      <c r="N100" s="4"/>
      <c r="O100" s="1"/>
      <c r="T100" s="52" t="s">
        <v>80</v>
      </c>
      <c r="U100" s="52"/>
      <c r="V100" s="52"/>
      <c r="W100" s="52"/>
      <c r="X100" s="1">
        <v>12000</v>
      </c>
      <c r="Y100" s="1" t="s">
        <v>81</v>
      </c>
      <c r="Z100" s="4"/>
      <c r="AA100" s="4"/>
      <c r="AB100" s="54"/>
      <c r="AC100" s="54"/>
      <c r="AD100" s="54"/>
      <c r="AE100" s="54"/>
      <c r="AF100" s="4"/>
      <c r="AG100" s="1"/>
      <c r="AJ100" s="52" t="s">
        <v>80</v>
      </c>
      <c r="AK100" s="52"/>
      <c r="AL100" s="52"/>
      <c r="AM100" s="52"/>
      <c r="AN100" s="1">
        <v>12000</v>
      </c>
      <c r="AO100" s="1" t="s">
        <v>81</v>
      </c>
      <c r="AP100" s="4"/>
      <c r="AQ100" s="4"/>
      <c r="AR100" s="54"/>
      <c r="AS100" s="54"/>
      <c r="AT100" s="54"/>
      <c r="AU100" s="54"/>
      <c r="AV100" s="4"/>
      <c r="AW100" s="1"/>
      <c r="AZ100" s="52" t="s">
        <v>80</v>
      </c>
      <c r="BA100" s="52"/>
      <c r="BB100" s="52"/>
      <c r="BC100" s="52"/>
      <c r="BD100" s="1">
        <v>12000</v>
      </c>
      <c r="BE100" s="1" t="s">
        <v>81</v>
      </c>
      <c r="BF100" s="4"/>
      <c r="BG100" s="4"/>
      <c r="BH100" s="54"/>
      <c r="BI100" s="54"/>
      <c r="BJ100" s="54"/>
      <c r="BK100" s="54"/>
      <c r="BL100" s="4"/>
      <c r="BM100" s="1"/>
    </row>
    <row r="101" spans="2:65" x14ac:dyDescent="0.25">
      <c r="B101" s="52" t="s">
        <v>79</v>
      </c>
      <c r="C101" s="52"/>
      <c r="D101" s="52"/>
      <c r="E101" s="52"/>
      <c r="F101" s="17">
        <f>F100*60*F$27</f>
        <v>62222222.222222216</v>
      </c>
      <c r="G101" s="1"/>
      <c r="H101" s="1"/>
      <c r="I101" s="1"/>
      <c r="J101" s="52"/>
      <c r="K101" s="52"/>
      <c r="L101" s="52"/>
      <c r="M101" s="52"/>
      <c r="N101" s="1"/>
      <c r="O101" s="1"/>
      <c r="T101" s="52" t="s">
        <v>79</v>
      </c>
      <c r="U101" s="52"/>
      <c r="V101" s="52"/>
      <c r="W101" s="52"/>
      <c r="X101" s="17">
        <f>X100*60*X$27</f>
        <v>60529179.958716452</v>
      </c>
      <c r="Y101" s="1"/>
      <c r="Z101" s="1"/>
      <c r="AA101" s="1"/>
      <c r="AB101" s="52"/>
      <c r="AC101" s="52"/>
      <c r="AD101" s="52"/>
      <c r="AE101" s="52"/>
      <c r="AF101" s="1"/>
      <c r="AG101" s="1"/>
      <c r="AJ101" s="52" t="s">
        <v>79</v>
      </c>
      <c r="AK101" s="52"/>
      <c r="AL101" s="52"/>
      <c r="AM101" s="52"/>
      <c r="AN101" s="17">
        <f>AN100*60*AN$27</f>
        <v>62222222.222222216</v>
      </c>
      <c r="AO101" s="1"/>
      <c r="AP101" s="1"/>
      <c r="AQ101" s="1"/>
      <c r="AR101" s="52"/>
      <c r="AS101" s="52"/>
      <c r="AT101" s="52"/>
      <c r="AU101" s="52"/>
      <c r="AV101" s="1"/>
      <c r="AW101" s="1"/>
      <c r="AZ101" s="52" t="s">
        <v>79</v>
      </c>
      <c r="BA101" s="52"/>
      <c r="BB101" s="52"/>
      <c r="BC101" s="52"/>
      <c r="BD101" s="17">
        <f>BD100*60*BD$27</f>
        <v>62222222.222222216</v>
      </c>
      <c r="BE101" s="1"/>
      <c r="BF101" s="1"/>
      <c r="BG101" s="1"/>
      <c r="BH101" s="52"/>
      <c r="BI101" s="52"/>
      <c r="BJ101" s="52"/>
      <c r="BK101" s="52"/>
      <c r="BL101" s="1"/>
      <c r="BM101" s="1"/>
    </row>
    <row r="102" spans="2:65" x14ac:dyDescent="0.25">
      <c r="B102" s="52" t="s">
        <v>83</v>
      </c>
      <c r="C102" s="52"/>
      <c r="D102" s="52"/>
      <c r="E102" s="52"/>
      <c r="F102" s="1">
        <v>0.96</v>
      </c>
      <c r="G102" s="1"/>
      <c r="H102" s="1"/>
      <c r="I102" s="1"/>
      <c r="J102" s="52"/>
      <c r="K102" s="52"/>
      <c r="L102" s="52"/>
      <c r="M102" s="52"/>
      <c r="N102" s="1"/>
      <c r="O102" s="1"/>
      <c r="T102" s="52" t="s">
        <v>83</v>
      </c>
      <c r="U102" s="52"/>
      <c r="V102" s="52"/>
      <c r="W102" s="52"/>
      <c r="X102" s="1">
        <v>0.96</v>
      </c>
      <c r="Y102" s="1"/>
      <c r="Z102" s="1"/>
      <c r="AA102" s="1"/>
      <c r="AB102" s="52"/>
      <c r="AC102" s="52"/>
      <c r="AD102" s="52"/>
      <c r="AE102" s="52"/>
      <c r="AF102" s="1"/>
      <c r="AG102" s="1"/>
      <c r="AJ102" s="52" t="s">
        <v>83</v>
      </c>
      <c r="AK102" s="52"/>
      <c r="AL102" s="52"/>
      <c r="AM102" s="52"/>
      <c r="AN102" s="1">
        <v>0.96</v>
      </c>
      <c r="AO102" s="1"/>
      <c r="AP102" s="1"/>
      <c r="AQ102" s="1"/>
      <c r="AR102" s="52"/>
      <c r="AS102" s="52"/>
      <c r="AT102" s="52"/>
      <c r="AU102" s="52"/>
      <c r="AV102" s="1"/>
      <c r="AW102" s="1"/>
      <c r="AZ102" s="52" t="s">
        <v>83</v>
      </c>
      <c r="BA102" s="52"/>
      <c r="BB102" s="52"/>
      <c r="BC102" s="52"/>
      <c r="BD102" s="1">
        <v>0.96</v>
      </c>
      <c r="BE102" s="1"/>
      <c r="BF102" s="1"/>
      <c r="BG102" s="1"/>
      <c r="BH102" s="52"/>
      <c r="BI102" s="52"/>
      <c r="BJ102" s="52"/>
      <c r="BK102" s="52"/>
      <c r="BL102" s="1"/>
      <c r="BM102" s="1"/>
    </row>
    <row r="103" spans="2:65" x14ac:dyDescent="0.25">
      <c r="B103" s="52" t="s">
        <v>84</v>
      </c>
      <c r="C103" s="52"/>
      <c r="D103" s="52"/>
      <c r="E103" s="52"/>
      <c r="F103" s="1">
        <v>1</v>
      </c>
      <c r="G103" s="1"/>
      <c r="H103" s="1"/>
      <c r="I103" s="1"/>
      <c r="J103" s="52"/>
      <c r="K103" s="52"/>
      <c r="L103" s="52"/>
      <c r="M103" s="52"/>
      <c r="N103" s="1"/>
      <c r="O103" s="1"/>
      <c r="T103" s="52" t="s">
        <v>84</v>
      </c>
      <c r="U103" s="52"/>
      <c r="V103" s="52"/>
      <c r="W103" s="52"/>
      <c r="X103" s="1">
        <v>1</v>
      </c>
      <c r="Y103" s="1"/>
      <c r="Z103" s="1"/>
      <c r="AA103" s="1"/>
      <c r="AB103" s="52"/>
      <c r="AC103" s="52"/>
      <c r="AD103" s="52"/>
      <c r="AE103" s="52"/>
      <c r="AF103" s="1"/>
      <c r="AG103" s="1"/>
      <c r="AJ103" s="52" t="s">
        <v>84</v>
      </c>
      <c r="AK103" s="52"/>
      <c r="AL103" s="52"/>
      <c r="AM103" s="52"/>
      <c r="AN103" s="1">
        <v>1</v>
      </c>
      <c r="AO103" s="1"/>
      <c r="AP103" s="1"/>
      <c r="AQ103" s="1"/>
      <c r="AR103" s="52"/>
      <c r="AS103" s="52"/>
      <c r="AT103" s="52"/>
      <c r="AU103" s="52"/>
      <c r="AV103" s="1"/>
      <c r="AW103" s="1"/>
      <c r="AZ103" s="52" t="s">
        <v>84</v>
      </c>
      <c r="BA103" s="52"/>
      <c r="BB103" s="52"/>
      <c r="BC103" s="52"/>
      <c r="BD103" s="1">
        <v>1</v>
      </c>
      <c r="BE103" s="1"/>
      <c r="BF103" s="1"/>
      <c r="BG103" s="1"/>
      <c r="BH103" s="52"/>
      <c r="BI103" s="52"/>
      <c r="BJ103" s="52"/>
      <c r="BK103" s="52"/>
      <c r="BL103" s="1"/>
      <c r="BM103" s="1"/>
    </row>
    <row r="104" spans="2:65" x14ac:dyDescent="0.25">
      <c r="B104" s="52" t="s">
        <v>85</v>
      </c>
      <c r="C104" s="52"/>
      <c r="D104" s="52"/>
      <c r="E104" s="52"/>
      <c r="F104" s="1">
        <v>1</v>
      </c>
      <c r="G104" s="1"/>
      <c r="H104" s="1"/>
      <c r="I104" s="1"/>
      <c r="J104" s="52"/>
      <c r="K104" s="52"/>
      <c r="L104" s="52"/>
      <c r="M104" s="52"/>
      <c r="N104" s="1"/>
      <c r="O104" s="1"/>
      <c r="T104" s="52" t="s">
        <v>85</v>
      </c>
      <c r="U104" s="52"/>
      <c r="V104" s="52"/>
      <c r="W104" s="52"/>
      <c r="X104" s="1">
        <v>1</v>
      </c>
      <c r="Y104" s="1"/>
      <c r="Z104" s="1"/>
      <c r="AA104" s="1"/>
      <c r="AB104" s="52"/>
      <c r="AC104" s="52"/>
      <c r="AD104" s="52"/>
      <c r="AE104" s="52"/>
      <c r="AF104" s="1"/>
      <c r="AG104" s="1"/>
      <c r="AJ104" s="52" t="s">
        <v>85</v>
      </c>
      <c r="AK104" s="52"/>
      <c r="AL104" s="52"/>
      <c r="AM104" s="52"/>
      <c r="AN104" s="1">
        <v>1</v>
      </c>
      <c r="AO104" s="1"/>
      <c r="AP104" s="1"/>
      <c r="AQ104" s="1"/>
      <c r="AR104" s="52"/>
      <c r="AS104" s="52"/>
      <c r="AT104" s="52"/>
      <c r="AU104" s="52"/>
      <c r="AV104" s="1"/>
      <c r="AW104" s="1"/>
      <c r="AZ104" s="52" t="s">
        <v>85</v>
      </c>
      <c r="BA104" s="52"/>
      <c r="BB104" s="52"/>
      <c r="BC104" s="52"/>
      <c r="BD104" s="1">
        <v>1</v>
      </c>
      <c r="BE104" s="1"/>
      <c r="BF104" s="1"/>
      <c r="BG104" s="1"/>
      <c r="BH104" s="52"/>
      <c r="BI104" s="52"/>
      <c r="BJ104" s="52"/>
      <c r="BK104" s="52"/>
      <c r="BL104" s="1"/>
      <c r="BM104" s="1"/>
    </row>
    <row r="105" spans="2:65" x14ac:dyDescent="0.25">
      <c r="B105" s="52" t="s">
        <v>86</v>
      </c>
      <c r="C105" s="52"/>
      <c r="D105" s="52"/>
      <c r="E105" s="52"/>
      <c r="F105" s="1">
        <v>1</v>
      </c>
      <c r="G105" s="1"/>
      <c r="H105" s="1"/>
      <c r="I105" s="1"/>
      <c r="J105" s="52"/>
      <c r="K105" s="52"/>
      <c r="L105" s="52"/>
      <c r="M105" s="52"/>
      <c r="N105" s="1"/>
      <c r="O105" s="1"/>
      <c r="T105" s="52" t="s">
        <v>86</v>
      </c>
      <c r="U105" s="52"/>
      <c r="V105" s="52"/>
      <c r="W105" s="52"/>
      <c r="X105" s="1">
        <v>1</v>
      </c>
      <c r="Y105" s="1"/>
      <c r="Z105" s="1"/>
      <c r="AA105" s="1"/>
      <c r="AB105" s="52"/>
      <c r="AC105" s="52"/>
      <c r="AD105" s="52"/>
      <c r="AE105" s="52"/>
      <c r="AF105" s="1"/>
      <c r="AG105" s="1"/>
      <c r="AJ105" s="52" t="s">
        <v>86</v>
      </c>
      <c r="AK105" s="52"/>
      <c r="AL105" s="52"/>
      <c r="AM105" s="52"/>
      <c r="AN105" s="1">
        <v>1</v>
      </c>
      <c r="AO105" s="1"/>
      <c r="AP105" s="1"/>
      <c r="AQ105" s="1"/>
      <c r="AR105" s="52"/>
      <c r="AS105" s="52"/>
      <c r="AT105" s="52"/>
      <c r="AU105" s="52"/>
      <c r="AV105" s="1"/>
      <c r="AW105" s="1"/>
      <c r="AZ105" s="52" t="s">
        <v>86</v>
      </c>
      <c r="BA105" s="52"/>
      <c r="BB105" s="52"/>
      <c r="BC105" s="52"/>
      <c r="BD105" s="1">
        <v>1</v>
      </c>
      <c r="BE105" s="1"/>
      <c r="BF105" s="1"/>
      <c r="BG105" s="1"/>
      <c r="BH105" s="52"/>
      <c r="BI105" s="52"/>
      <c r="BJ105" s="52"/>
      <c r="BK105" s="52"/>
      <c r="BL105" s="1"/>
      <c r="BM105" s="1"/>
    </row>
    <row r="106" spans="2:65" x14ac:dyDescent="0.25">
      <c r="B106" s="52" t="s">
        <v>87</v>
      </c>
      <c r="C106" s="52"/>
      <c r="D106" s="52"/>
      <c r="E106" s="52"/>
      <c r="F106" s="1">
        <v>1.2</v>
      </c>
      <c r="G106" s="1"/>
      <c r="H106" s="1"/>
      <c r="I106" s="1"/>
      <c r="J106" s="52"/>
      <c r="K106" s="52"/>
      <c r="L106" s="52"/>
      <c r="M106" s="52"/>
      <c r="N106" s="1"/>
      <c r="O106" s="1"/>
      <c r="T106" s="52" t="s">
        <v>87</v>
      </c>
      <c r="U106" s="52"/>
      <c r="V106" s="52"/>
      <c r="W106" s="52"/>
      <c r="X106" s="1">
        <v>1.2</v>
      </c>
      <c r="Y106" s="1"/>
      <c r="Z106" s="1"/>
      <c r="AA106" s="1"/>
      <c r="AB106" s="52"/>
      <c r="AC106" s="52"/>
      <c r="AD106" s="52"/>
      <c r="AE106" s="52"/>
      <c r="AF106" s="1"/>
      <c r="AG106" s="1"/>
      <c r="AJ106" s="52" t="s">
        <v>87</v>
      </c>
      <c r="AK106" s="52"/>
      <c r="AL106" s="52"/>
      <c r="AM106" s="52"/>
      <c r="AN106" s="1">
        <v>1.2</v>
      </c>
      <c r="AO106" s="1"/>
      <c r="AP106" s="1"/>
      <c r="AQ106" s="1"/>
      <c r="AR106" s="52"/>
      <c r="AS106" s="52"/>
      <c r="AT106" s="52"/>
      <c r="AU106" s="52"/>
      <c r="AV106" s="1"/>
      <c r="AW106" s="1"/>
      <c r="AZ106" s="52" t="s">
        <v>87</v>
      </c>
      <c r="BA106" s="52"/>
      <c r="BB106" s="52"/>
      <c r="BC106" s="52"/>
      <c r="BD106" s="1">
        <v>1.2</v>
      </c>
      <c r="BE106" s="1"/>
      <c r="BF106" s="1"/>
      <c r="BG106" s="1"/>
      <c r="BH106" s="52"/>
      <c r="BI106" s="52"/>
      <c r="BJ106" s="52"/>
      <c r="BK106" s="52"/>
      <c r="BL106" s="1"/>
      <c r="BM106" s="1"/>
    </row>
    <row r="107" spans="2:65" x14ac:dyDescent="0.25">
      <c r="B107" s="52" t="s">
        <v>88</v>
      </c>
      <c r="C107" s="52"/>
      <c r="D107" s="52"/>
      <c r="E107" s="52"/>
      <c r="F107" s="1">
        <f>(F99*F106)/F102</f>
        <v>86495.195138228417</v>
      </c>
      <c r="G107" s="1" t="s">
        <v>82</v>
      </c>
      <c r="H107" s="1"/>
      <c r="I107" s="1"/>
      <c r="J107" s="52"/>
      <c r="K107" s="52"/>
      <c r="L107" s="52"/>
      <c r="M107" s="52"/>
      <c r="N107" s="1"/>
      <c r="O107" s="1"/>
      <c r="T107" s="52" t="s">
        <v>88</v>
      </c>
      <c r="U107" s="52"/>
      <c r="V107" s="52"/>
      <c r="W107" s="52"/>
      <c r="X107" s="1">
        <f>(X99*X106)/X102</f>
        <v>86378.868172661212</v>
      </c>
      <c r="Y107" s="1" t="s">
        <v>82</v>
      </c>
      <c r="Z107" s="1"/>
      <c r="AA107" s="1"/>
      <c r="AB107" s="52"/>
      <c r="AC107" s="52"/>
      <c r="AD107" s="52"/>
      <c r="AE107" s="52"/>
      <c r="AF107" s="1"/>
      <c r="AG107" s="1"/>
      <c r="AJ107" s="52" t="s">
        <v>88</v>
      </c>
      <c r="AK107" s="52"/>
      <c r="AL107" s="52"/>
      <c r="AM107" s="52"/>
      <c r="AN107" s="1">
        <f>(AN99*AN106)/AN102</f>
        <v>99424.322656901568</v>
      </c>
      <c r="AO107" s="1" t="s">
        <v>82</v>
      </c>
      <c r="AP107" s="1"/>
      <c r="AQ107" s="1"/>
      <c r="AR107" s="52"/>
      <c r="AS107" s="52"/>
      <c r="AT107" s="52"/>
      <c r="AU107" s="52"/>
      <c r="AV107" s="1"/>
      <c r="AW107" s="1"/>
      <c r="AZ107" s="52" t="s">
        <v>88</v>
      </c>
      <c r="BA107" s="52"/>
      <c r="BB107" s="52"/>
      <c r="BC107" s="52"/>
      <c r="BD107" s="1">
        <f>(BD99*BD106)/BD102</f>
        <v>84595.51767521679</v>
      </c>
      <c r="BE107" s="1" t="s">
        <v>82</v>
      </c>
      <c r="BF107" s="1"/>
      <c r="BG107" s="1"/>
      <c r="BH107" s="52"/>
      <c r="BI107" s="52"/>
      <c r="BJ107" s="52"/>
      <c r="BK107" s="52"/>
      <c r="BL107" s="1"/>
      <c r="BM107" s="1"/>
    </row>
    <row r="108" spans="2:65" x14ac:dyDescent="0.25">
      <c r="B108" s="52" t="s">
        <v>91</v>
      </c>
      <c r="C108" s="52"/>
      <c r="D108" s="52"/>
      <c r="E108" s="52"/>
      <c r="F108" s="1">
        <v>225000</v>
      </c>
      <c r="G108" s="1" t="s">
        <v>82</v>
      </c>
      <c r="H108" s="1" t="s">
        <v>104</v>
      </c>
      <c r="I108" s="1"/>
      <c r="J108" s="4"/>
      <c r="K108" s="4"/>
      <c r="L108" s="4"/>
      <c r="M108" s="4"/>
      <c r="N108" s="1"/>
      <c r="O108" s="1"/>
      <c r="T108" s="52" t="s">
        <v>91</v>
      </c>
      <c r="U108" s="52"/>
      <c r="V108" s="52"/>
      <c r="W108" s="52"/>
      <c r="X108" s="1">
        <v>225000</v>
      </c>
      <c r="Y108" s="1" t="s">
        <v>82</v>
      </c>
      <c r="Z108" s="1" t="s">
        <v>104</v>
      </c>
      <c r="AA108" s="1"/>
      <c r="AB108" s="4"/>
      <c r="AC108" s="4"/>
      <c r="AD108" s="4"/>
      <c r="AE108" s="4"/>
      <c r="AF108" s="1"/>
      <c r="AG108" s="1"/>
      <c r="AJ108" s="52" t="s">
        <v>91</v>
      </c>
      <c r="AK108" s="52"/>
      <c r="AL108" s="52"/>
      <c r="AM108" s="52"/>
      <c r="AN108" s="1">
        <v>225000</v>
      </c>
      <c r="AO108" s="1" t="s">
        <v>82</v>
      </c>
      <c r="AP108" s="1" t="s">
        <v>104</v>
      </c>
      <c r="AQ108" s="1"/>
      <c r="AR108" s="4"/>
      <c r="AS108" s="4"/>
      <c r="AT108" s="4"/>
      <c r="AU108" s="4"/>
      <c r="AV108" s="1"/>
      <c r="AW108" s="1"/>
      <c r="AZ108" s="52" t="s">
        <v>91</v>
      </c>
      <c r="BA108" s="52"/>
      <c r="BB108" s="52"/>
      <c r="BC108" s="52"/>
      <c r="BD108" s="1">
        <v>225000</v>
      </c>
      <c r="BE108" s="1" t="s">
        <v>82</v>
      </c>
      <c r="BF108" s="1" t="s">
        <v>104</v>
      </c>
      <c r="BG108" s="1"/>
      <c r="BH108" s="4"/>
      <c r="BI108" s="4"/>
      <c r="BJ108" s="4"/>
      <c r="BK108" s="4"/>
      <c r="BL108" s="1"/>
      <c r="BM108" s="1"/>
    </row>
    <row r="109" spans="2:65" x14ac:dyDescent="0.25">
      <c r="B109" s="52" t="s">
        <v>89</v>
      </c>
      <c r="C109" s="52"/>
      <c r="D109" s="52"/>
      <c r="E109" s="52"/>
      <c r="F109" s="1">
        <f>(F108*F102)/F99</f>
        <v>3.12156067823781</v>
      </c>
      <c r="G109" s="1" t="str">
        <f>IF(F109&gt;F106,$S$74,$S$75)</f>
        <v>Cumple</v>
      </c>
      <c r="H109" s="1"/>
      <c r="I109" s="1"/>
      <c r="J109" s="52"/>
      <c r="K109" s="52"/>
      <c r="L109" s="52"/>
      <c r="M109" s="52"/>
      <c r="N109" s="1"/>
      <c r="O109" s="1"/>
      <c r="T109" s="52" t="s">
        <v>89</v>
      </c>
      <c r="U109" s="52"/>
      <c r="V109" s="52"/>
      <c r="W109" s="52"/>
      <c r="X109" s="1">
        <f>(X108*X102)/X99</f>
        <v>3.1257645036550108</v>
      </c>
      <c r="Y109" s="1" t="str">
        <f>IF(X109&gt;X106,$S$74,$S$75)</f>
        <v>Cumple</v>
      </c>
      <c r="Z109" s="1"/>
      <c r="AA109" s="1"/>
      <c r="AB109" s="52"/>
      <c r="AC109" s="52"/>
      <c r="AD109" s="52"/>
      <c r="AE109" s="52"/>
      <c r="AF109" s="1"/>
      <c r="AG109" s="1"/>
      <c r="AJ109" s="52" t="s">
        <v>89</v>
      </c>
      <c r="AK109" s="52"/>
      <c r="AL109" s="52"/>
      <c r="AM109" s="52"/>
      <c r="AN109" s="1">
        <f>(AN108*AN102)/AN99</f>
        <v>2.7156332855465308</v>
      </c>
      <c r="AO109" s="1" t="str">
        <f>IF(AN109&gt;AN106,$S$74,$S$75)</f>
        <v>Cumple</v>
      </c>
      <c r="AP109" s="1"/>
      <c r="AQ109" s="1"/>
      <c r="AR109" s="52"/>
      <c r="AS109" s="52"/>
      <c r="AT109" s="52"/>
      <c r="AU109" s="52"/>
      <c r="AV109" s="1"/>
      <c r="AW109" s="1"/>
      <c r="AZ109" s="52" t="s">
        <v>89</v>
      </c>
      <c r="BA109" s="52"/>
      <c r="BB109" s="52"/>
      <c r="BC109" s="52"/>
      <c r="BD109" s="1">
        <f>(BD108*BD102)/BD99</f>
        <v>3.1916584639460108</v>
      </c>
      <c r="BE109" s="1" t="str">
        <f>IF(BD109&gt;BD106,$S$74,$S$75)</f>
        <v>Cumple</v>
      </c>
      <c r="BF109" s="1"/>
      <c r="BG109" s="1"/>
      <c r="BH109" s="52"/>
      <c r="BI109" s="52"/>
      <c r="BJ109" s="52"/>
      <c r="BK109" s="52"/>
      <c r="BL109" s="1"/>
      <c r="BM109" s="1"/>
    </row>
    <row r="110" spans="2:65" x14ac:dyDescent="0.25">
      <c r="B110" s="52"/>
      <c r="C110" s="52"/>
      <c r="D110" s="52"/>
      <c r="E110" s="52"/>
      <c r="F110" s="1"/>
      <c r="G110" s="1"/>
      <c r="H110" s="1"/>
      <c r="I110" s="1"/>
      <c r="J110" s="1"/>
      <c r="K110" s="1"/>
      <c r="L110" s="1"/>
      <c r="M110" s="1"/>
      <c r="N110" s="1"/>
      <c r="O110" s="1"/>
      <c r="T110" s="52"/>
      <c r="U110" s="52"/>
      <c r="V110" s="52"/>
      <c r="W110" s="52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J110" s="52"/>
      <c r="AK110" s="52"/>
      <c r="AL110" s="52"/>
      <c r="AM110" s="52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Z110" s="52"/>
      <c r="BA110" s="52"/>
      <c r="BB110" s="52"/>
      <c r="BC110" s="52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2:65" x14ac:dyDescent="0.25">
      <c r="B111" s="53" t="s">
        <v>102</v>
      </c>
      <c r="C111" s="53"/>
      <c r="D111" s="53"/>
      <c r="E111" s="53"/>
      <c r="F111" s="53"/>
      <c r="G111" s="53"/>
      <c r="H111" s="53"/>
      <c r="I111" s="53" t="s">
        <v>107</v>
      </c>
      <c r="J111" s="53"/>
      <c r="K111" s="53"/>
      <c r="L111" s="53"/>
      <c r="M111" s="53"/>
      <c r="N111" s="53"/>
      <c r="O111" s="53"/>
      <c r="T111" s="53" t="s">
        <v>102</v>
      </c>
      <c r="U111" s="53"/>
      <c r="V111" s="53"/>
      <c r="W111" s="53"/>
      <c r="X111" s="53"/>
      <c r="Y111" s="53"/>
      <c r="Z111" s="53"/>
      <c r="AA111" s="53" t="s">
        <v>107</v>
      </c>
      <c r="AB111" s="53"/>
      <c r="AC111" s="53"/>
      <c r="AD111" s="53"/>
      <c r="AE111" s="53"/>
      <c r="AF111" s="53"/>
      <c r="AG111" s="53"/>
      <c r="AJ111" s="53" t="s">
        <v>102</v>
      </c>
      <c r="AK111" s="53"/>
      <c r="AL111" s="53"/>
      <c r="AM111" s="53"/>
      <c r="AN111" s="53"/>
      <c r="AO111" s="53"/>
      <c r="AP111" s="53"/>
      <c r="AQ111" s="53" t="s">
        <v>107</v>
      </c>
      <c r="AR111" s="53"/>
      <c r="AS111" s="53"/>
      <c r="AT111" s="53"/>
      <c r="AU111" s="53"/>
      <c r="AV111" s="53"/>
      <c r="AW111" s="53"/>
      <c r="AZ111" s="53" t="s">
        <v>102</v>
      </c>
      <c r="BA111" s="53"/>
      <c r="BB111" s="53"/>
      <c r="BC111" s="53"/>
      <c r="BD111" s="53"/>
      <c r="BE111" s="53"/>
      <c r="BF111" s="53"/>
      <c r="BG111" s="53" t="s">
        <v>107</v>
      </c>
      <c r="BH111" s="53"/>
      <c r="BI111" s="53"/>
      <c r="BJ111" s="53"/>
      <c r="BK111" s="53"/>
      <c r="BL111" s="53"/>
      <c r="BM111" s="53"/>
    </row>
    <row r="112" spans="2:65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2:65" x14ac:dyDescent="0.25">
      <c r="B113" s="52" t="s">
        <v>60</v>
      </c>
      <c r="C113" s="52"/>
      <c r="D113" s="52"/>
      <c r="E113" s="52"/>
      <c r="F113" s="1">
        <f>(COS(20)*SIN(20)/2)*((F$26/F$23)/((F$26/F$23)+1))</f>
        <v>0.15240951009804862</v>
      </c>
      <c r="G113" s="1"/>
      <c r="H113" s="1"/>
      <c r="I113" s="1"/>
      <c r="J113" s="52" t="s">
        <v>94</v>
      </c>
      <c r="K113" s="52"/>
      <c r="L113" s="52"/>
      <c r="M113" s="52"/>
      <c r="N113" s="1">
        <v>0.27</v>
      </c>
      <c r="O113" s="1"/>
      <c r="T113" s="52" t="s">
        <v>60</v>
      </c>
      <c r="U113" s="52"/>
      <c r="V113" s="52"/>
      <c r="W113" s="52"/>
      <c r="X113" s="1">
        <f>(COS(20)*SIN(20)/2)*((X$26/X$23)/((X$26/X$23)+1))</f>
        <v>0.15279005818818106</v>
      </c>
      <c r="Y113" s="1"/>
      <c r="Z113" s="1"/>
      <c r="AA113" s="1"/>
      <c r="AB113" s="52" t="s">
        <v>94</v>
      </c>
      <c r="AC113" s="52"/>
      <c r="AD113" s="52"/>
      <c r="AE113" s="52"/>
      <c r="AF113" s="1">
        <v>0.27</v>
      </c>
      <c r="AG113" s="1"/>
      <c r="AJ113" s="52" t="s">
        <v>60</v>
      </c>
      <c r="AK113" s="52"/>
      <c r="AL113" s="52"/>
      <c r="AM113" s="52"/>
      <c r="AN113" s="1">
        <f>(COS(20)*SIN(20)/2)*((AN$26/AN$23)/((AN$26/AN$23)+1))</f>
        <v>0.15240951009804862</v>
      </c>
      <c r="AO113" s="1"/>
      <c r="AP113" s="1"/>
      <c r="AQ113" s="1"/>
      <c r="AR113" s="52" t="s">
        <v>94</v>
      </c>
      <c r="AS113" s="52"/>
      <c r="AT113" s="52"/>
      <c r="AU113" s="52"/>
      <c r="AV113" s="1">
        <v>0.27</v>
      </c>
      <c r="AW113" s="1"/>
      <c r="AZ113" s="52" t="s">
        <v>60</v>
      </c>
      <c r="BA113" s="52"/>
      <c r="BB113" s="52"/>
      <c r="BC113" s="52"/>
      <c r="BD113" s="1">
        <f>(COS(20)*SIN(20)/2)*((BD$26/BD$23)/((BD$26/BD$23)+1))</f>
        <v>0.15240951009804862</v>
      </c>
      <c r="BE113" s="1"/>
      <c r="BF113" s="1"/>
      <c r="BG113" s="1"/>
      <c r="BH113" s="52" t="s">
        <v>94</v>
      </c>
      <c r="BI113" s="52"/>
      <c r="BJ113" s="52"/>
      <c r="BK113" s="52"/>
      <c r="BL113" s="1">
        <v>0.27</v>
      </c>
      <c r="BM113" s="1"/>
    </row>
    <row r="114" spans="2:65" x14ac:dyDescent="0.25">
      <c r="B114" s="52" t="s">
        <v>66</v>
      </c>
      <c r="C114" s="52"/>
      <c r="D114" s="52"/>
      <c r="E114" s="52"/>
      <c r="F114" s="1">
        <v>7</v>
      </c>
      <c r="G114" s="1"/>
      <c r="H114" s="1"/>
      <c r="I114" s="1"/>
      <c r="J114" s="52" t="s">
        <v>95</v>
      </c>
      <c r="K114" s="52"/>
      <c r="L114" s="52"/>
      <c r="M114" s="52"/>
      <c r="N114" s="1">
        <v>1</v>
      </c>
      <c r="O114" s="1"/>
      <c r="T114" s="52" t="s">
        <v>66</v>
      </c>
      <c r="U114" s="52"/>
      <c r="V114" s="52"/>
      <c r="W114" s="52"/>
      <c r="X114" s="1">
        <v>7</v>
      </c>
      <c r="Y114" s="1"/>
      <c r="Z114" s="1"/>
      <c r="AA114" s="1"/>
      <c r="AB114" s="52" t="s">
        <v>95</v>
      </c>
      <c r="AC114" s="52"/>
      <c r="AD114" s="52"/>
      <c r="AE114" s="52"/>
      <c r="AF114" s="1">
        <v>1</v>
      </c>
      <c r="AG114" s="1"/>
      <c r="AJ114" s="52" t="s">
        <v>66</v>
      </c>
      <c r="AK114" s="52"/>
      <c r="AL114" s="52"/>
      <c r="AM114" s="52"/>
      <c r="AN114" s="1">
        <v>7</v>
      </c>
      <c r="AO114" s="1"/>
      <c r="AP114" s="1"/>
      <c r="AQ114" s="1"/>
      <c r="AR114" s="52" t="s">
        <v>95</v>
      </c>
      <c r="AS114" s="52"/>
      <c r="AT114" s="52"/>
      <c r="AU114" s="52"/>
      <c r="AV114" s="1">
        <v>1</v>
      </c>
      <c r="AW114" s="1"/>
      <c r="AZ114" s="52" t="s">
        <v>66</v>
      </c>
      <c r="BA114" s="52"/>
      <c r="BB114" s="52"/>
      <c r="BC114" s="52"/>
      <c r="BD114" s="1">
        <v>7</v>
      </c>
      <c r="BE114" s="1"/>
      <c r="BF114" s="1"/>
      <c r="BG114" s="1"/>
      <c r="BH114" s="52" t="s">
        <v>95</v>
      </c>
      <c r="BI114" s="52"/>
      <c r="BJ114" s="52"/>
      <c r="BK114" s="52"/>
      <c r="BL114" s="1">
        <v>1</v>
      </c>
      <c r="BM114" s="1"/>
    </row>
    <row r="115" spans="2:65" x14ac:dyDescent="0.25">
      <c r="B115" s="52" t="s">
        <v>64</v>
      </c>
      <c r="C115" s="52"/>
      <c r="D115" s="52"/>
      <c r="E115" s="52"/>
      <c r="F115" s="1">
        <f>0.25*((12-F114)^(2/3))</f>
        <v>0.7310044345532164</v>
      </c>
      <c r="G115" s="1"/>
      <c r="H115" s="1"/>
      <c r="I115" s="1"/>
      <c r="J115" s="52" t="s">
        <v>96</v>
      </c>
      <c r="K115" s="52"/>
      <c r="L115" s="52"/>
      <c r="M115" s="52"/>
      <c r="N115" s="1">
        <v>0.88</v>
      </c>
      <c r="O115" s="1"/>
      <c r="T115" s="52" t="s">
        <v>64</v>
      </c>
      <c r="U115" s="52"/>
      <c r="V115" s="52"/>
      <c r="W115" s="52"/>
      <c r="X115" s="1">
        <f>0.25*((12-X114)^(2/3))</f>
        <v>0.7310044345532164</v>
      </c>
      <c r="Y115" s="1"/>
      <c r="Z115" s="1"/>
      <c r="AA115" s="1"/>
      <c r="AB115" s="52" t="s">
        <v>96</v>
      </c>
      <c r="AC115" s="52"/>
      <c r="AD115" s="52"/>
      <c r="AE115" s="52"/>
      <c r="AF115" s="1">
        <v>0.88</v>
      </c>
      <c r="AG115" s="1"/>
      <c r="AJ115" s="52" t="s">
        <v>64</v>
      </c>
      <c r="AK115" s="52"/>
      <c r="AL115" s="52"/>
      <c r="AM115" s="52"/>
      <c r="AN115" s="1">
        <f>0.25*((12-AN114)^(2/3))</f>
        <v>0.7310044345532164</v>
      </c>
      <c r="AO115" s="1"/>
      <c r="AP115" s="1"/>
      <c r="AQ115" s="1"/>
      <c r="AR115" s="52" t="s">
        <v>96</v>
      </c>
      <c r="AS115" s="52"/>
      <c r="AT115" s="52"/>
      <c r="AU115" s="52"/>
      <c r="AV115" s="1">
        <v>0.88</v>
      </c>
      <c r="AW115" s="1"/>
      <c r="AZ115" s="52" t="s">
        <v>64</v>
      </c>
      <c r="BA115" s="52"/>
      <c r="BB115" s="52"/>
      <c r="BC115" s="52"/>
      <c r="BD115" s="1">
        <f>0.25*((12-BD114)^(2/3))</f>
        <v>0.7310044345532164</v>
      </c>
      <c r="BE115" s="1"/>
      <c r="BF115" s="1"/>
      <c r="BG115" s="1"/>
      <c r="BH115" s="52" t="s">
        <v>96</v>
      </c>
      <c r="BI115" s="52"/>
      <c r="BJ115" s="52"/>
      <c r="BK115" s="52"/>
      <c r="BL115" s="1">
        <v>0.88</v>
      </c>
      <c r="BM115" s="1"/>
    </row>
    <row r="116" spans="2:65" x14ac:dyDescent="0.25">
      <c r="B116" s="52" t="s">
        <v>63</v>
      </c>
      <c r="C116" s="52"/>
      <c r="D116" s="52"/>
      <c r="E116" s="52"/>
      <c r="F116" s="1">
        <f>50+(56*(1-F115))</f>
        <v>65.063751665019879</v>
      </c>
      <c r="G116" s="1"/>
      <c r="H116" s="1"/>
      <c r="I116" s="1"/>
      <c r="J116" s="52" t="s">
        <v>77</v>
      </c>
      <c r="K116" s="52"/>
      <c r="L116" s="52"/>
      <c r="M116" s="52"/>
      <c r="N116" s="1">
        <f>F$43*F118*(F$35/F119)*(F125/N113)</f>
        <v>13003.214539259228</v>
      </c>
      <c r="O116" s="1" t="s">
        <v>82</v>
      </c>
      <c r="T116" s="52" t="s">
        <v>63</v>
      </c>
      <c r="U116" s="52"/>
      <c r="V116" s="52"/>
      <c r="W116" s="52"/>
      <c r="X116" s="1">
        <f>50+(56*(1-X115))</f>
        <v>65.063751665019879</v>
      </c>
      <c r="Y116" s="1"/>
      <c r="Z116" s="1"/>
      <c r="AA116" s="1"/>
      <c r="AB116" s="52" t="s">
        <v>77</v>
      </c>
      <c r="AC116" s="52"/>
      <c r="AD116" s="52"/>
      <c r="AE116" s="52"/>
      <c r="AF116" s="1">
        <f>X$43*X118*(X$35/X119)*(X125/AF113)</f>
        <v>9957.5447076467026</v>
      </c>
      <c r="AG116" s="1" t="s">
        <v>82</v>
      </c>
      <c r="AJ116" s="52" t="s">
        <v>63</v>
      </c>
      <c r="AK116" s="52"/>
      <c r="AL116" s="52"/>
      <c r="AM116" s="52"/>
      <c r="AN116" s="1">
        <f>50+(56*(1-AN115))</f>
        <v>65.063751665019879</v>
      </c>
      <c r="AO116" s="1"/>
      <c r="AP116" s="1"/>
      <c r="AQ116" s="1"/>
      <c r="AR116" s="52" t="s">
        <v>77</v>
      </c>
      <c r="AS116" s="52"/>
      <c r="AT116" s="52"/>
      <c r="AU116" s="52"/>
      <c r="AV116" s="1">
        <f>AN$43*AN118*(AN$35/AN119)*(AN125/AV113)</f>
        <v>13003.214539259228</v>
      </c>
      <c r="AW116" s="1" t="s">
        <v>82</v>
      </c>
      <c r="AZ116" s="52" t="s">
        <v>63</v>
      </c>
      <c r="BA116" s="52"/>
      <c r="BB116" s="52"/>
      <c r="BC116" s="52"/>
      <c r="BD116" s="1">
        <f>50+(56*(1-BD115))</f>
        <v>65.063751665019879</v>
      </c>
      <c r="BE116" s="1"/>
      <c r="BF116" s="1"/>
      <c r="BG116" s="1"/>
      <c r="BH116" s="52" t="s">
        <v>77</v>
      </c>
      <c r="BI116" s="52"/>
      <c r="BJ116" s="52"/>
      <c r="BK116" s="52"/>
      <c r="BL116" s="1">
        <f>BD$43*BD118*(BD$35/BD119)*(BD125/BL113)</f>
        <v>9545.7365698950198</v>
      </c>
      <c r="BM116" s="1" t="s">
        <v>82</v>
      </c>
    </row>
    <row r="117" spans="2:65" x14ac:dyDescent="0.25">
      <c r="B117" s="52" t="s">
        <v>65</v>
      </c>
      <c r="C117" s="52"/>
      <c r="D117" s="52"/>
      <c r="E117" s="52"/>
      <c r="F117" s="1">
        <f>(F116+(F114-3))^2</f>
        <v>4769.8017940475365</v>
      </c>
      <c r="G117" s="1"/>
      <c r="H117" s="1"/>
      <c r="I117" s="1"/>
      <c r="J117" s="52" t="s">
        <v>97</v>
      </c>
      <c r="K117" s="52"/>
      <c r="L117" s="52"/>
      <c r="M117" s="52"/>
      <c r="N117" s="1">
        <v>45000</v>
      </c>
      <c r="O117" s="1" t="s">
        <v>82</v>
      </c>
      <c r="T117" s="52" t="s">
        <v>65</v>
      </c>
      <c r="U117" s="52"/>
      <c r="V117" s="52"/>
      <c r="W117" s="52"/>
      <c r="X117" s="1">
        <f>(X116+(X114-3))^2</f>
        <v>4769.8017940475365</v>
      </c>
      <c r="Y117" s="1"/>
      <c r="Z117" s="1"/>
      <c r="AA117" s="1"/>
      <c r="AB117" s="52" t="s">
        <v>97</v>
      </c>
      <c r="AC117" s="52"/>
      <c r="AD117" s="52"/>
      <c r="AE117" s="52"/>
      <c r="AF117" s="1">
        <v>45000</v>
      </c>
      <c r="AG117" s="1" t="s">
        <v>82</v>
      </c>
      <c r="AJ117" s="52" t="s">
        <v>65</v>
      </c>
      <c r="AK117" s="52"/>
      <c r="AL117" s="52"/>
      <c r="AM117" s="52"/>
      <c r="AN117" s="1">
        <f>(AN116+(AN114-3))^2</f>
        <v>4769.8017940475365</v>
      </c>
      <c r="AO117" s="1"/>
      <c r="AP117" s="1"/>
      <c r="AQ117" s="1"/>
      <c r="AR117" s="52" t="s">
        <v>97</v>
      </c>
      <c r="AS117" s="52"/>
      <c r="AT117" s="52"/>
      <c r="AU117" s="52"/>
      <c r="AV117" s="1">
        <v>45000</v>
      </c>
      <c r="AW117" s="1" t="s">
        <v>82</v>
      </c>
      <c r="AZ117" s="52" t="s">
        <v>65</v>
      </c>
      <c r="BA117" s="52"/>
      <c r="BB117" s="52"/>
      <c r="BC117" s="52"/>
      <c r="BD117" s="1">
        <f>(BD116+(BD114-3))^2</f>
        <v>4769.8017940475365</v>
      </c>
      <c r="BE117" s="1"/>
      <c r="BF117" s="1"/>
      <c r="BG117" s="1"/>
      <c r="BH117" s="52" t="s">
        <v>97</v>
      </c>
      <c r="BI117" s="52"/>
      <c r="BJ117" s="52"/>
      <c r="BK117" s="52"/>
      <c r="BL117" s="1">
        <v>45000</v>
      </c>
      <c r="BM117" s="1" t="s">
        <v>82</v>
      </c>
    </row>
    <row r="118" spans="2:65" x14ac:dyDescent="0.25">
      <c r="B118" s="52" t="s">
        <v>67</v>
      </c>
      <c r="C118" s="52"/>
      <c r="D118" s="52"/>
      <c r="E118" s="52"/>
      <c r="F118" s="1">
        <f>MROUND(((F116+SQRT(F$41))/F116)^F115,0.01)</f>
        <v>1.37</v>
      </c>
      <c r="G118" s="1"/>
      <c r="H118" s="1"/>
      <c r="I118" s="1"/>
      <c r="J118" s="52" t="s">
        <v>98</v>
      </c>
      <c r="K118" s="52"/>
      <c r="L118" s="52"/>
      <c r="M118" s="52"/>
      <c r="N118" s="1">
        <f>N117*N115</f>
        <v>39600</v>
      </c>
      <c r="O118" s="1" t="s">
        <v>82</v>
      </c>
      <c r="T118" s="52" t="s">
        <v>67</v>
      </c>
      <c r="U118" s="52"/>
      <c r="V118" s="52"/>
      <c r="W118" s="52"/>
      <c r="X118" s="1">
        <f>MROUND(((X116+SQRT(X$41))/X116)^X115,0.01)</f>
        <v>1.37</v>
      </c>
      <c r="Y118" s="1"/>
      <c r="Z118" s="1"/>
      <c r="AA118" s="1"/>
      <c r="AB118" s="52" t="s">
        <v>98</v>
      </c>
      <c r="AC118" s="52"/>
      <c r="AD118" s="52"/>
      <c r="AE118" s="52"/>
      <c r="AF118" s="1">
        <f>AF117*AF115</f>
        <v>39600</v>
      </c>
      <c r="AG118" s="1" t="s">
        <v>82</v>
      </c>
      <c r="AJ118" s="52" t="s">
        <v>67</v>
      </c>
      <c r="AK118" s="52"/>
      <c r="AL118" s="52"/>
      <c r="AM118" s="52"/>
      <c r="AN118" s="1">
        <f>MROUND(((AN116+SQRT(AN$41))/AN116)^AN115,0.01)</f>
        <v>1.37</v>
      </c>
      <c r="AO118" s="1"/>
      <c r="AP118" s="1"/>
      <c r="AQ118" s="1"/>
      <c r="AR118" s="52" t="s">
        <v>98</v>
      </c>
      <c r="AS118" s="52"/>
      <c r="AT118" s="52"/>
      <c r="AU118" s="52"/>
      <c r="AV118" s="1">
        <f>AV117*AV115</f>
        <v>39600</v>
      </c>
      <c r="AW118" s="1" t="s">
        <v>82</v>
      </c>
      <c r="AZ118" s="52" t="s">
        <v>67</v>
      </c>
      <c r="BA118" s="52"/>
      <c r="BB118" s="52"/>
      <c r="BC118" s="52"/>
      <c r="BD118" s="1">
        <f>MROUND(((BD116+SQRT(BD$41))/BD116)^BD115,0.01)</f>
        <v>1.37</v>
      </c>
      <c r="BE118" s="1"/>
      <c r="BF118" s="1"/>
      <c r="BG118" s="1"/>
      <c r="BH118" s="52" t="s">
        <v>98</v>
      </c>
      <c r="BI118" s="52"/>
      <c r="BJ118" s="52"/>
      <c r="BK118" s="52"/>
      <c r="BL118" s="1">
        <f>BL117*BL115</f>
        <v>39600</v>
      </c>
      <c r="BM118" s="1" t="s">
        <v>82</v>
      </c>
    </row>
    <row r="119" spans="2:65" x14ac:dyDescent="0.25">
      <c r="B119" s="52" t="s">
        <v>68</v>
      </c>
      <c r="C119" s="52"/>
      <c r="D119" s="52"/>
      <c r="E119" s="52"/>
      <c r="F119" s="9">
        <v>1.5</v>
      </c>
      <c r="G119" s="1"/>
      <c r="H119" s="1"/>
      <c r="I119" s="1"/>
      <c r="J119" s="52" t="s">
        <v>99</v>
      </c>
      <c r="K119" s="52"/>
      <c r="L119" s="52"/>
      <c r="M119" s="52"/>
      <c r="N119" s="8">
        <f>N118/N116</f>
        <v>3.045400803042964</v>
      </c>
      <c r="O119" s="1" t="str">
        <f>IF(N119&gt;F137,$S$74,$S$75)</f>
        <v>Cumple</v>
      </c>
      <c r="T119" s="52" t="s">
        <v>68</v>
      </c>
      <c r="U119" s="52"/>
      <c r="V119" s="52"/>
      <c r="W119" s="52"/>
      <c r="X119" s="10">
        <f>INT(PI()*4/X$35)</f>
        <v>2</v>
      </c>
      <c r="Y119" s="1"/>
      <c r="Z119" s="1"/>
      <c r="AA119" s="1"/>
      <c r="AB119" s="52" t="s">
        <v>99</v>
      </c>
      <c r="AC119" s="52"/>
      <c r="AD119" s="52"/>
      <c r="AE119" s="52"/>
      <c r="AF119" s="8">
        <f>AF118/AF116</f>
        <v>3.9768839771906777</v>
      </c>
      <c r="AG119" s="1" t="str">
        <f>IF(AF119&gt;X137,$S$74,$S$75)</f>
        <v>Cumple</v>
      </c>
      <c r="AJ119" s="52" t="s">
        <v>68</v>
      </c>
      <c r="AK119" s="52"/>
      <c r="AL119" s="52"/>
      <c r="AM119" s="52"/>
      <c r="AN119" s="9">
        <v>1.5</v>
      </c>
      <c r="AO119" s="1"/>
      <c r="AP119" s="1"/>
      <c r="AQ119" s="1"/>
      <c r="AR119" s="52" t="s">
        <v>99</v>
      </c>
      <c r="AS119" s="52"/>
      <c r="AT119" s="52"/>
      <c r="AU119" s="52"/>
      <c r="AV119" s="8">
        <f>AV118/AV116</f>
        <v>3.045400803042964</v>
      </c>
      <c r="AW119" s="1" t="str">
        <f>IF(AV119&gt;AN137,$S$74,$S$75)</f>
        <v>Cumple</v>
      </c>
      <c r="AZ119" s="52" t="s">
        <v>68</v>
      </c>
      <c r="BA119" s="52"/>
      <c r="BB119" s="52"/>
      <c r="BC119" s="52"/>
      <c r="BD119" s="8">
        <f>(PI()*4/BD$35)</f>
        <v>2.0943951023931953</v>
      </c>
      <c r="BE119" s="1"/>
      <c r="BF119" s="1"/>
      <c r="BG119" s="1"/>
      <c r="BH119" s="52" t="s">
        <v>99</v>
      </c>
      <c r="BI119" s="52"/>
      <c r="BJ119" s="52"/>
      <c r="BK119" s="52"/>
      <c r="BL119" s="8">
        <f>BL118/BL116</f>
        <v>4.1484488609175507</v>
      </c>
      <c r="BM119" s="1" t="str">
        <f>IF(BL119&gt;BD137,$S$74,$S$75)</f>
        <v>Cumple</v>
      </c>
    </row>
    <row r="120" spans="2:65" x14ac:dyDescent="0.25">
      <c r="B120" s="52" t="s">
        <v>70</v>
      </c>
      <c r="C120" s="52"/>
      <c r="D120" s="52"/>
      <c r="E120" s="52"/>
      <c r="F120" s="1">
        <v>1</v>
      </c>
      <c r="G120" s="1"/>
      <c r="H120" s="1"/>
      <c r="I120" s="1"/>
      <c r="J120" s="52"/>
      <c r="K120" s="52"/>
      <c r="L120" s="52"/>
      <c r="M120" s="52"/>
      <c r="N120" s="1"/>
      <c r="O120" s="1"/>
      <c r="T120" s="52" t="s">
        <v>70</v>
      </c>
      <c r="U120" s="52"/>
      <c r="V120" s="52"/>
      <c r="W120" s="52"/>
      <c r="X120" s="1">
        <v>1</v>
      </c>
      <c r="Y120" s="1"/>
      <c r="Z120" s="1"/>
      <c r="AA120" s="1"/>
      <c r="AB120" s="52"/>
      <c r="AC120" s="52"/>
      <c r="AD120" s="52"/>
      <c r="AE120" s="52"/>
      <c r="AF120" s="1"/>
      <c r="AG120" s="1"/>
      <c r="AJ120" s="52" t="s">
        <v>70</v>
      </c>
      <c r="AK120" s="52"/>
      <c r="AL120" s="52"/>
      <c r="AM120" s="52"/>
      <c r="AN120" s="1">
        <v>1</v>
      </c>
      <c r="AO120" s="1"/>
      <c r="AP120" s="1"/>
      <c r="AQ120" s="1"/>
      <c r="AR120" s="52"/>
      <c r="AS120" s="52"/>
      <c r="AT120" s="52"/>
      <c r="AU120" s="52"/>
      <c r="AV120" s="1"/>
      <c r="AW120" s="1"/>
      <c r="AZ120" s="52" t="s">
        <v>70</v>
      </c>
      <c r="BA120" s="52"/>
      <c r="BB120" s="52"/>
      <c r="BC120" s="52"/>
      <c r="BD120" s="1">
        <v>1</v>
      </c>
      <c r="BE120" s="1"/>
      <c r="BF120" s="1"/>
      <c r="BG120" s="1"/>
      <c r="BH120" s="52"/>
      <c r="BI120" s="52"/>
      <c r="BJ120" s="52"/>
      <c r="BK120" s="52"/>
      <c r="BL120" s="1"/>
      <c r="BM120" s="1"/>
    </row>
    <row r="121" spans="2:65" x14ac:dyDescent="0.25">
      <c r="B121" s="52" t="s">
        <v>71</v>
      </c>
      <c r="C121" s="52"/>
      <c r="D121" s="52"/>
      <c r="E121" s="52"/>
      <c r="F121" s="11">
        <f>(F119/(10*F$36))-0.0375+(0.0125*F119)</f>
        <v>3.7429775280898879E-2</v>
      </c>
      <c r="G121" s="1"/>
      <c r="H121" s="1"/>
      <c r="I121" s="1"/>
      <c r="J121" s="52"/>
      <c r="K121" s="52"/>
      <c r="L121" s="52"/>
      <c r="M121" s="52"/>
      <c r="N121" s="1"/>
      <c r="O121" s="1"/>
      <c r="T121" s="52" t="s">
        <v>71</v>
      </c>
      <c r="U121" s="52"/>
      <c r="V121" s="52"/>
      <c r="W121" s="52"/>
      <c r="X121" s="11">
        <f>(X119/(10*X$36))-0.0375+(0.0125*X119)</f>
        <v>6.2406367041198507E-2</v>
      </c>
      <c r="Y121" s="1"/>
      <c r="Z121" s="1"/>
      <c r="AA121" s="1"/>
      <c r="AB121" s="52"/>
      <c r="AC121" s="52"/>
      <c r="AD121" s="52"/>
      <c r="AE121" s="52"/>
      <c r="AF121" s="1"/>
      <c r="AG121" s="1"/>
      <c r="AJ121" s="52" t="s">
        <v>71</v>
      </c>
      <c r="AK121" s="52"/>
      <c r="AL121" s="52"/>
      <c r="AM121" s="52"/>
      <c r="AN121" s="11">
        <f>(AN119/(10*AN$36))-0.0375+(0.0125*AN119)</f>
        <v>3.7429775280898879E-2</v>
      </c>
      <c r="AO121" s="1"/>
      <c r="AP121" s="1"/>
      <c r="AQ121" s="1"/>
      <c r="AR121" s="52"/>
      <c r="AS121" s="52"/>
      <c r="AT121" s="52"/>
      <c r="AU121" s="52"/>
      <c r="AV121" s="1"/>
      <c r="AW121" s="1"/>
      <c r="AZ121" s="52" t="s">
        <v>71</v>
      </c>
      <c r="BA121" s="52"/>
      <c r="BB121" s="52"/>
      <c r="BC121" s="52"/>
      <c r="BD121" s="11">
        <f>(BD119/(10*BD$36))-0.0375+(0.0125*BD119)</f>
        <v>6.7121702914491543E-2</v>
      </c>
      <c r="BE121" s="1"/>
      <c r="BF121" s="1"/>
      <c r="BG121" s="1"/>
      <c r="BH121" s="52"/>
      <c r="BI121" s="52"/>
      <c r="BJ121" s="52"/>
      <c r="BK121" s="52"/>
      <c r="BL121" s="1"/>
      <c r="BM121" s="1"/>
    </row>
    <row r="122" spans="2:65" x14ac:dyDescent="0.25">
      <c r="B122" s="52" t="s">
        <v>72</v>
      </c>
      <c r="C122" s="52"/>
      <c r="D122" s="52"/>
      <c r="E122" s="52"/>
      <c r="F122" s="1">
        <v>1</v>
      </c>
      <c r="G122" s="1"/>
      <c r="H122" s="1"/>
      <c r="I122" s="1"/>
      <c r="J122" s="52"/>
      <c r="K122" s="52"/>
      <c r="L122" s="52"/>
      <c r="M122" s="52"/>
      <c r="N122" s="1"/>
      <c r="O122" s="1"/>
      <c r="T122" s="52" t="s">
        <v>72</v>
      </c>
      <c r="U122" s="52"/>
      <c r="V122" s="52"/>
      <c r="W122" s="52"/>
      <c r="X122" s="1">
        <v>1</v>
      </c>
      <c r="Y122" s="1"/>
      <c r="Z122" s="1"/>
      <c r="AA122" s="1"/>
      <c r="AB122" s="52"/>
      <c r="AC122" s="52"/>
      <c r="AD122" s="52"/>
      <c r="AE122" s="52"/>
      <c r="AF122" s="1"/>
      <c r="AG122" s="1"/>
      <c r="AJ122" s="52" t="s">
        <v>72</v>
      </c>
      <c r="AK122" s="52"/>
      <c r="AL122" s="52"/>
      <c r="AM122" s="52"/>
      <c r="AN122" s="1">
        <v>1</v>
      </c>
      <c r="AO122" s="1"/>
      <c r="AP122" s="1"/>
      <c r="AQ122" s="1"/>
      <c r="AR122" s="52"/>
      <c r="AS122" s="52"/>
      <c r="AT122" s="52"/>
      <c r="AU122" s="52"/>
      <c r="AV122" s="1"/>
      <c r="AW122" s="1"/>
      <c r="AZ122" s="52" t="s">
        <v>72</v>
      </c>
      <c r="BA122" s="52"/>
      <c r="BB122" s="52"/>
      <c r="BC122" s="52"/>
      <c r="BD122" s="1">
        <v>1</v>
      </c>
      <c r="BE122" s="1"/>
      <c r="BF122" s="1"/>
      <c r="BG122" s="1"/>
      <c r="BH122" s="52"/>
      <c r="BI122" s="52"/>
      <c r="BJ122" s="52"/>
      <c r="BK122" s="52"/>
      <c r="BL122" s="1"/>
      <c r="BM122" s="1"/>
    </row>
    <row r="123" spans="2:65" x14ac:dyDescent="0.25">
      <c r="B123" s="52" t="s">
        <v>73</v>
      </c>
      <c r="C123" s="52"/>
      <c r="D123" s="52"/>
      <c r="E123" s="52"/>
      <c r="F123" s="1">
        <v>0.15</v>
      </c>
      <c r="G123" s="1"/>
      <c r="H123" s="1"/>
      <c r="I123" s="1"/>
      <c r="J123" s="52"/>
      <c r="K123" s="52"/>
      <c r="L123" s="52"/>
      <c r="M123" s="52"/>
      <c r="N123" s="1"/>
      <c r="O123" s="1"/>
      <c r="T123" s="52" t="s">
        <v>73</v>
      </c>
      <c r="U123" s="52"/>
      <c r="V123" s="52"/>
      <c r="W123" s="52"/>
      <c r="X123" s="1">
        <v>0.15</v>
      </c>
      <c r="Y123" s="1"/>
      <c r="Z123" s="1"/>
      <c r="AA123" s="1"/>
      <c r="AB123" s="52"/>
      <c r="AC123" s="52"/>
      <c r="AD123" s="52"/>
      <c r="AE123" s="52"/>
      <c r="AF123" s="1"/>
      <c r="AG123" s="1"/>
      <c r="AJ123" s="52" t="s">
        <v>73</v>
      </c>
      <c r="AK123" s="52"/>
      <c r="AL123" s="52"/>
      <c r="AM123" s="52"/>
      <c r="AN123" s="1">
        <v>0.15</v>
      </c>
      <c r="AO123" s="1"/>
      <c r="AP123" s="1"/>
      <c r="AQ123" s="1"/>
      <c r="AR123" s="52"/>
      <c r="AS123" s="52"/>
      <c r="AT123" s="52"/>
      <c r="AU123" s="52"/>
      <c r="AV123" s="1"/>
      <c r="AW123" s="1"/>
      <c r="AZ123" s="52" t="s">
        <v>73</v>
      </c>
      <c r="BA123" s="52"/>
      <c r="BB123" s="52"/>
      <c r="BC123" s="52"/>
      <c r="BD123" s="1">
        <v>0.15</v>
      </c>
      <c r="BE123" s="1"/>
      <c r="BF123" s="1"/>
      <c r="BG123" s="1"/>
      <c r="BH123" s="52"/>
      <c r="BI123" s="52"/>
      <c r="BJ123" s="52"/>
      <c r="BK123" s="52"/>
      <c r="BL123" s="1"/>
      <c r="BM123" s="1"/>
    </row>
    <row r="124" spans="2:65" x14ac:dyDescent="0.25">
      <c r="B124" s="52" t="s">
        <v>74</v>
      </c>
      <c r="C124" s="52"/>
      <c r="D124" s="52"/>
      <c r="E124" s="52"/>
      <c r="F124" s="1">
        <v>1</v>
      </c>
      <c r="G124" s="1"/>
      <c r="H124" s="1"/>
      <c r="I124" s="1"/>
      <c r="J124" s="52"/>
      <c r="K124" s="52"/>
      <c r="L124" s="52"/>
      <c r="M124" s="52"/>
      <c r="N124" s="1"/>
      <c r="O124" s="1"/>
      <c r="T124" s="52" t="s">
        <v>74</v>
      </c>
      <c r="U124" s="52"/>
      <c r="V124" s="52"/>
      <c r="W124" s="52"/>
      <c r="X124" s="1">
        <v>1</v>
      </c>
      <c r="Y124" s="1"/>
      <c r="Z124" s="1"/>
      <c r="AA124" s="1"/>
      <c r="AB124" s="52"/>
      <c r="AC124" s="52"/>
      <c r="AD124" s="52"/>
      <c r="AE124" s="52"/>
      <c r="AF124" s="1"/>
      <c r="AG124" s="1"/>
      <c r="AJ124" s="52" t="s">
        <v>74</v>
      </c>
      <c r="AK124" s="52"/>
      <c r="AL124" s="52"/>
      <c r="AM124" s="52"/>
      <c r="AN124" s="1">
        <v>1</v>
      </c>
      <c r="AO124" s="1"/>
      <c r="AP124" s="1"/>
      <c r="AQ124" s="1"/>
      <c r="AR124" s="52"/>
      <c r="AS124" s="52"/>
      <c r="AT124" s="52"/>
      <c r="AU124" s="52"/>
      <c r="AV124" s="1"/>
      <c r="AW124" s="1"/>
      <c r="AZ124" s="52" t="s">
        <v>74</v>
      </c>
      <c r="BA124" s="52"/>
      <c r="BB124" s="52"/>
      <c r="BC124" s="52"/>
      <c r="BD124" s="1">
        <v>1</v>
      </c>
      <c r="BE124" s="1"/>
      <c r="BF124" s="1"/>
      <c r="BG124" s="1"/>
      <c r="BH124" s="52"/>
      <c r="BI124" s="52"/>
      <c r="BJ124" s="52"/>
      <c r="BK124" s="52"/>
      <c r="BL124" s="1"/>
      <c r="BM124" s="1"/>
    </row>
    <row r="125" spans="2:65" x14ac:dyDescent="0.25">
      <c r="B125" s="52" t="s">
        <v>69</v>
      </c>
      <c r="C125" s="52"/>
      <c r="D125" s="52"/>
      <c r="E125" s="52"/>
      <c r="F125" s="8">
        <f>1+(F120*((F121*F122)+(F123*F124)))</f>
        <v>1.1874297752808989</v>
      </c>
      <c r="G125" s="1"/>
      <c r="H125" s="1"/>
      <c r="I125" s="1"/>
      <c r="J125" s="52"/>
      <c r="K125" s="52"/>
      <c r="L125" s="52"/>
      <c r="M125" s="52"/>
      <c r="N125" s="1"/>
      <c r="O125" s="1"/>
      <c r="T125" s="52" t="s">
        <v>69</v>
      </c>
      <c r="U125" s="52"/>
      <c r="V125" s="52"/>
      <c r="W125" s="52"/>
      <c r="X125" s="8">
        <f>1+(X120*((X121*X122)+(X123*X124)))</f>
        <v>1.2124063670411984</v>
      </c>
      <c r="Y125" s="1"/>
      <c r="Z125" s="1"/>
      <c r="AA125" s="1"/>
      <c r="AB125" s="52"/>
      <c r="AC125" s="52"/>
      <c r="AD125" s="52"/>
      <c r="AE125" s="52"/>
      <c r="AF125" s="1"/>
      <c r="AG125" s="1"/>
      <c r="AJ125" s="52" t="s">
        <v>69</v>
      </c>
      <c r="AK125" s="52"/>
      <c r="AL125" s="52"/>
      <c r="AM125" s="52"/>
      <c r="AN125" s="8">
        <f>1+(AN120*((AN121*AN122)+(AN123*AN124)))</f>
        <v>1.1874297752808989</v>
      </c>
      <c r="AO125" s="1"/>
      <c r="AP125" s="1"/>
      <c r="AQ125" s="1"/>
      <c r="AR125" s="52"/>
      <c r="AS125" s="52"/>
      <c r="AT125" s="52"/>
      <c r="AU125" s="52"/>
      <c r="AV125" s="1"/>
      <c r="AW125" s="1"/>
      <c r="AZ125" s="52" t="s">
        <v>69</v>
      </c>
      <c r="BA125" s="52"/>
      <c r="BB125" s="52"/>
      <c r="BC125" s="52"/>
      <c r="BD125" s="8">
        <f>1+(BD120*((BD121*BD122)+(BD123*BD124)))</f>
        <v>1.2171217029144916</v>
      </c>
      <c r="BE125" s="1"/>
      <c r="BF125" s="1"/>
      <c r="BG125" s="1"/>
      <c r="BH125" s="52"/>
      <c r="BI125" s="52"/>
      <c r="BJ125" s="52"/>
      <c r="BK125" s="52"/>
      <c r="BL125" s="1"/>
      <c r="BM125" s="1"/>
    </row>
    <row r="126" spans="2:65" x14ac:dyDescent="0.25">
      <c r="B126" s="52" t="s">
        <v>90</v>
      </c>
      <c r="C126" s="52"/>
      <c r="D126" s="52"/>
      <c r="E126" s="52"/>
      <c r="F126" s="1">
        <v>2300</v>
      </c>
      <c r="G126" s="1"/>
      <c r="H126" s="1"/>
      <c r="I126" s="1"/>
      <c r="J126" s="52"/>
      <c r="K126" s="52"/>
      <c r="L126" s="52"/>
      <c r="M126" s="52"/>
      <c r="N126" s="1"/>
      <c r="O126" s="1"/>
      <c r="T126" s="52" t="s">
        <v>90</v>
      </c>
      <c r="U126" s="52"/>
      <c r="V126" s="52"/>
      <c r="W126" s="52"/>
      <c r="X126" s="1">
        <v>2300</v>
      </c>
      <c r="Y126" s="1"/>
      <c r="Z126" s="1"/>
      <c r="AA126" s="1"/>
      <c r="AB126" s="52"/>
      <c r="AC126" s="52"/>
      <c r="AD126" s="52"/>
      <c r="AE126" s="52"/>
      <c r="AF126" s="1"/>
      <c r="AG126" s="1"/>
      <c r="AJ126" s="52" t="s">
        <v>90</v>
      </c>
      <c r="AK126" s="52"/>
      <c r="AL126" s="52"/>
      <c r="AM126" s="52"/>
      <c r="AN126" s="1">
        <v>2300</v>
      </c>
      <c r="AO126" s="1"/>
      <c r="AP126" s="1"/>
      <c r="AQ126" s="1"/>
      <c r="AR126" s="52"/>
      <c r="AS126" s="52"/>
      <c r="AT126" s="52"/>
      <c r="AU126" s="52"/>
      <c r="AV126" s="1"/>
      <c r="AW126" s="1"/>
      <c r="AZ126" s="52" t="s">
        <v>90</v>
      </c>
      <c r="BA126" s="52"/>
      <c r="BB126" s="52"/>
      <c r="BC126" s="52"/>
      <c r="BD126" s="1">
        <v>2300</v>
      </c>
      <c r="BE126" s="1"/>
      <c r="BF126" s="1"/>
      <c r="BG126" s="1"/>
      <c r="BH126" s="52"/>
      <c r="BI126" s="52"/>
      <c r="BJ126" s="52"/>
      <c r="BK126" s="52"/>
      <c r="BL126" s="1"/>
      <c r="BM126" s="1"/>
    </row>
    <row r="127" spans="2:65" x14ac:dyDescent="0.25">
      <c r="B127" s="52" t="s">
        <v>75</v>
      </c>
      <c r="C127" s="52"/>
      <c r="D127" s="52"/>
      <c r="E127" s="52"/>
      <c r="F127" s="1">
        <v>1</v>
      </c>
      <c r="G127" s="1"/>
      <c r="H127" s="1"/>
      <c r="I127" s="1"/>
      <c r="J127" s="52"/>
      <c r="K127" s="52"/>
      <c r="L127" s="52"/>
      <c r="M127" s="52"/>
      <c r="N127" s="1"/>
      <c r="O127" s="1"/>
      <c r="T127" s="52" t="s">
        <v>75</v>
      </c>
      <c r="U127" s="52"/>
      <c r="V127" s="52"/>
      <c r="W127" s="52"/>
      <c r="X127" s="1">
        <v>1</v>
      </c>
      <c r="Y127" s="1"/>
      <c r="Z127" s="1"/>
      <c r="AA127" s="1"/>
      <c r="AB127" s="52"/>
      <c r="AC127" s="52"/>
      <c r="AD127" s="52"/>
      <c r="AE127" s="52"/>
      <c r="AF127" s="1"/>
      <c r="AG127" s="1"/>
      <c r="AJ127" s="52" t="s">
        <v>75</v>
      </c>
      <c r="AK127" s="52"/>
      <c r="AL127" s="52"/>
      <c r="AM127" s="52"/>
      <c r="AN127" s="1">
        <v>1</v>
      </c>
      <c r="AO127" s="1"/>
      <c r="AP127" s="1"/>
      <c r="AQ127" s="1"/>
      <c r="AR127" s="52"/>
      <c r="AS127" s="52"/>
      <c r="AT127" s="52"/>
      <c r="AU127" s="52"/>
      <c r="AV127" s="1"/>
      <c r="AW127" s="1"/>
      <c r="AZ127" s="52" t="s">
        <v>75</v>
      </c>
      <c r="BA127" s="52"/>
      <c r="BB127" s="52"/>
      <c r="BC127" s="52"/>
      <c r="BD127" s="1">
        <v>1</v>
      </c>
      <c r="BE127" s="1"/>
      <c r="BF127" s="1"/>
      <c r="BG127" s="1"/>
      <c r="BH127" s="52"/>
      <c r="BI127" s="52"/>
      <c r="BJ127" s="52"/>
      <c r="BK127" s="52"/>
      <c r="BL127" s="1"/>
      <c r="BM127" s="1"/>
    </row>
    <row r="128" spans="2:65" x14ac:dyDescent="0.25">
      <c r="B128" s="52" t="s">
        <v>76</v>
      </c>
      <c r="C128" s="52"/>
      <c r="D128" s="52"/>
      <c r="E128" s="52"/>
      <c r="F128" s="1">
        <v>1</v>
      </c>
      <c r="G128" s="1"/>
      <c r="H128" s="1"/>
      <c r="I128" s="1"/>
      <c r="J128" s="52"/>
      <c r="K128" s="52"/>
      <c r="L128" s="52"/>
      <c r="M128" s="52"/>
      <c r="N128" s="1"/>
      <c r="O128" s="1"/>
      <c r="T128" s="52" t="s">
        <v>76</v>
      </c>
      <c r="U128" s="52"/>
      <c r="V128" s="52"/>
      <c r="W128" s="52"/>
      <c r="X128" s="1">
        <v>1</v>
      </c>
      <c r="Y128" s="1"/>
      <c r="Z128" s="1"/>
      <c r="AA128" s="1"/>
      <c r="AB128" s="52"/>
      <c r="AC128" s="52"/>
      <c r="AD128" s="52"/>
      <c r="AE128" s="52"/>
      <c r="AF128" s="1"/>
      <c r="AG128" s="1"/>
      <c r="AJ128" s="52" t="s">
        <v>76</v>
      </c>
      <c r="AK128" s="52"/>
      <c r="AL128" s="52"/>
      <c r="AM128" s="52"/>
      <c r="AN128" s="1">
        <v>1</v>
      </c>
      <c r="AO128" s="1"/>
      <c r="AP128" s="1"/>
      <c r="AQ128" s="1"/>
      <c r="AR128" s="52"/>
      <c r="AS128" s="52"/>
      <c r="AT128" s="52"/>
      <c r="AU128" s="52"/>
      <c r="AV128" s="1"/>
      <c r="AW128" s="1"/>
      <c r="AZ128" s="52" t="s">
        <v>76</v>
      </c>
      <c r="BA128" s="52"/>
      <c r="BB128" s="52"/>
      <c r="BC128" s="52"/>
      <c r="BD128" s="1">
        <v>1</v>
      </c>
      <c r="BE128" s="1"/>
      <c r="BF128" s="1"/>
      <c r="BG128" s="1"/>
      <c r="BH128" s="52"/>
      <c r="BI128" s="52"/>
      <c r="BJ128" s="52"/>
      <c r="BK128" s="52"/>
      <c r="BL128" s="1"/>
      <c r="BM128" s="1"/>
    </row>
    <row r="129" spans="2:65" x14ac:dyDescent="0.25">
      <c r="B129" s="52" t="s">
        <v>78</v>
      </c>
      <c r="C129" s="52"/>
      <c r="D129" s="52"/>
      <c r="E129" s="52"/>
      <c r="F129" s="1">
        <v>1</v>
      </c>
      <c r="G129" s="1"/>
      <c r="H129" s="1"/>
      <c r="I129" s="1"/>
      <c r="J129" s="52"/>
      <c r="K129" s="52"/>
      <c r="L129" s="52"/>
      <c r="M129" s="52"/>
      <c r="N129" s="1"/>
      <c r="O129" s="1"/>
      <c r="T129" s="52" t="s">
        <v>78</v>
      </c>
      <c r="U129" s="52"/>
      <c r="V129" s="52"/>
      <c r="W129" s="52"/>
      <c r="X129" s="1">
        <v>1</v>
      </c>
      <c r="Y129" s="1"/>
      <c r="Z129" s="1"/>
      <c r="AA129" s="1"/>
      <c r="AB129" s="52"/>
      <c r="AC129" s="52"/>
      <c r="AD129" s="52"/>
      <c r="AE129" s="52"/>
      <c r="AF129" s="1"/>
      <c r="AG129" s="1"/>
      <c r="AJ129" s="52" t="s">
        <v>78</v>
      </c>
      <c r="AK129" s="52"/>
      <c r="AL129" s="52"/>
      <c r="AM129" s="52"/>
      <c r="AN129" s="1">
        <v>1</v>
      </c>
      <c r="AO129" s="1"/>
      <c r="AP129" s="1"/>
      <c r="AQ129" s="1"/>
      <c r="AR129" s="52"/>
      <c r="AS129" s="52"/>
      <c r="AT129" s="52"/>
      <c r="AU129" s="52"/>
      <c r="AV129" s="1"/>
      <c r="AW129" s="1"/>
      <c r="AZ129" s="52" t="s">
        <v>78</v>
      </c>
      <c r="BA129" s="52"/>
      <c r="BB129" s="52"/>
      <c r="BC129" s="52"/>
      <c r="BD129" s="1">
        <v>1</v>
      </c>
      <c r="BE129" s="1"/>
      <c r="BF129" s="1"/>
      <c r="BG129" s="1"/>
      <c r="BH129" s="52"/>
      <c r="BI129" s="52"/>
      <c r="BJ129" s="52"/>
      <c r="BK129" s="52"/>
      <c r="BL129" s="1"/>
      <c r="BM129" s="1"/>
    </row>
    <row r="130" spans="2:65" x14ac:dyDescent="0.25">
      <c r="B130" s="52" t="s">
        <v>77</v>
      </c>
      <c r="C130" s="52"/>
      <c r="D130" s="52"/>
      <c r="E130" s="52"/>
      <c r="F130" s="1">
        <f>F126*SQRT(F$43*F127*F118*F128*(F125/(F$36*F119))*(1/F113))</f>
        <v>87216.326938003825</v>
      </c>
      <c r="G130" s="1" t="s">
        <v>82</v>
      </c>
      <c r="H130" s="1"/>
      <c r="I130" s="1"/>
      <c r="J130" s="52"/>
      <c r="K130" s="52"/>
      <c r="L130" s="52"/>
      <c r="M130" s="52"/>
      <c r="N130" s="1"/>
      <c r="O130" s="1"/>
      <c r="T130" s="52" t="s">
        <v>77</v>
      </c>
      <c r="U130" s="52"/>
      <c r="V130" s="52"/>
      <c r="W130" s="52"/>
      <c r="X130" s="1">
        <f>X126*SQRT(X$43*X127*X118*X128*(X125/(X$36*X119))*(1/X113))</f>
        <v>76226.687334124072</v>
      </c>
      <c r="Y130" s="1" t="s">
        <v>82</v>
      </c>
      <c r="Z130" s="1"/>
      <c r="AA130" s="1"/>
      <c r="AB130" s="52"/>
      <c r="AC130" s="52"/>
      <c r="AD130" s="52"/>
      <c r="AE130" s="52"/>
      <c r="AF130" s="1"/>
      <c r="AG130" s="1"/>
      <c r="AJ130" s="52" t="s">
        <v>77</v>
      </c>
      <c r="AK130" s="52"/>
      <c r="AL130" s="52"/>
      <c r="AM130" s="52"/>
      <c r="AN130" s="1">
        <f>AN126*SQRT(AN$43*AN127*AN118*AN128*(AN125/(AN$36*AN119))*(1/AN113))</f>
        <v>87216.326938003825</v>
      </c>
      <c r="AO130" s="1" t="s">
        <v>82</v>
      </c>
      <c r="AP130" s="1"/>
      <c r="AQ130" s="1"/>
      <c r="AR130" s="52"/>
      <c r="AS130" s="52"/>
      <c r="AT130" s="52"/>
      <c r="AU130" s="52"/>
      <c r="AV130" s="1"/>
      <c r="AW130" s="1"/>
      <c r="AZ130" s="52" t="s">
        <v>77</v>
      </c>
      <c r="BA130" s="52"/>
      <c r="BB130" s="52"/>
      <c r="BC130" s="52"/>
      <c r="BD130" s="1">
        <f>BD126*SQRT(BD$43*BD127*BD118*BD128*(BD125/(BD$36*BD119))*(1/BD113))</f>
        <v>74726.931841339145</v>
      </c>
      <c r="BE130" s="1" t="s">
        <v>82</v>
      </c>
      <c r="BF130" s="1"/>
      <c r="BG130" s="1"/>
      <c r="BH130" s="52"/>
      <c r="BI130" s="52"/>
      <c r="BJ130" s="52"/>
      <c r="BK130" s="52"/>
      <c r="BL130" s="1"/>
      <c r="BM130" s="1"/>
    </row>
    <row r="131" spans="2:65" x14ac:dyDescent="0.25">
      <c r="B131" s="52" t="s">
        <v>80</v>
      </c>
      <c r="C131" s="52"/>
      <c r="D131" s="52"/>
      <c r="E131" s="52"/>
      <c r="F131" s="1">
        <v>12000</v>
      </c>
      <c r="G131" s="1" t="s">
        <v>81</v>
      </c>
      <c r="H131" s="4"/>
      <c r="I131" s="4"/>
      <c r="J131" s="54"/>
      <c r="K131" s="54"/>
      <c r="L131" s="54"/>
      <c r="M131" s="54"/>
      <c r="N131" s="4"/>
      <c r="O131" s="1"/>
      <c r="T131" s="52" t="s">
        <v>80</v>
      </c>
      <c r="U131" s="52"/>
      <c r="V131" s="52"/>
      <c r="W131" s="52"/>
      <c r="X131" s="1">
        <v>12000</v>
      </c>
      <c r="Y131" s="1" t="s">
        <v>81</v>
      </c>
      <c r="Z131" s="4"/>
      <c r="AA131" s="4"/>
      <c r="AB131" s="54"/>
      <c r="AC131" s="54"/>
      <c r="AD131" s="54"/>
      <c r="AE131" s="54"/>
      <c r="AF131" s="4"/>
      <c r="AG131" s="1"/>
      <c r="AJ131" s="52" t="s">
        <v>80</v>
      </c>
      <c r="AK131" s="52"/>
      <c r="AL131" s="52"/>
      <c r="AM131" s="52"/>
      <c r="AN131" s="1">
        <v>12000</v>
      </c>
      <c r="AO131" s="1" t="s">
        <v>81</v>
      </c>
      <c r="AP131" s="4"/>
      <c r="AQ131" s="4"/>
      <c r="AR131" s="54"/>
      <c r="AS131" s="54"/>
      <c r="AT131" s="54"/>
      <c r="AU131" s="54"/>
      <c r="AV131" s="4"/>
      <c r="AW131" s="1"/>
      <c r="AZ131" s="52" t="s">
        <v>80</v>
      </c>
      <c r="BA131" s="52"/>
      <c r="BB131" s="52"/>
      <c r="BC131" s="52"/>
      <c r="BD131" s="1">
        <v>12000</v>
      </c>
      <c r="BE131" s="1" t="s">
        <v>81</v>
      </c>
      <c r="BF131" s="4"/>
      <c r="BG131" s="4"/>
      <c r="BH131" s="54"/>
      <c r="BI131" s="54"/>
      <c r="BJ131" s="54"/>
      <c r="BK131" s="54"/>
      <c r="BL131" s="4"/>
      <c r="BM131" s="1"/>
    </row>
    <row r="132" spans="2:65" x14ac:dyDescent="0.25">
      <c r="B132" s="52" t="s">
        <v>79</v>
      </c>
      <c r="C132" s="52"/>
      <c r="D132" s="52"/>
      <c r="E132" s="52"/>
      <c r="F132" s="17">
        <f>F131*60*F$20</f>
        <v>1260000000</v>
      </c>
      <c r="G132" s="1"/>
      <c r="H132" s="1"/>
      <c r="I132" s="1"/>
      <c r="J132" s="52"/>
      <c r="K132" s="52"/>
      <c r="L132" s="52"/>
      <c r="M132" s="52"/>
      <c r="N132" s="1"/>
      <c r="O132" s="1"/>
      <c r="T132" s="52" t="s">
        <v>79</v>
      </c>
      <c r="U132" s="52"/>
      <c r="V132" s="52"/>
      <c r="W132" s="52"/>
      <c r="X132" s="17">
        <f>X131*60*X$20</f>
        <v>1260000000</v>
      </c>
      <c r="Y132" s="1"/>
      <c r="Z132" s="1"/>
      <c r="AA132" s="1"/>
      <c r="AB132" s="52"/>
      <c r="AC132" s="52"/>
      <c r="AD132" s="52"/>
      <c r="AE132" s="52"/>
      <c r="AF132" s="1"/>
      <c r="AG132" s="1"/>
      <c r="AJ132" s="52" t="s">
        <v>79</v>
      </c>
      <c r="AK132" s="52"/>
      <c r="AL132" s="52"/>
      <c r="AM132" s="52"/>
      <c r="AN132" s="17">
        <f>AN131*60*AN$20</f>
        <v>1260000000</v>
      </c>
      <c r="AO132" s="1"/>
      <c r="AP132" s="1"/>
      <c r="AQ132" s="1"/>
      <c r="AR132" s="52"/>
      <c r="AS132" s="52"/>
      <c r="AT132" s="52"/>
      <c r="AU132" s="52"/>
      <c r="AV132" s="1"/>
      <c r="AW132" s="1"/>
      <c r="AZ132" s="52" t="s">
        <v>79</v>
      </c>
      <c r="BA132" s="52"/>
      <c r="BB132" s="52"/>
      <c r="BC132" s="52"/>
      <c r="BD132" s="17">
        <f>BD131*60*BD$20</f>
        <v>1260000000</v>
      </c>
      <c r="BE132" s="1"/>
      <c r="BF132" s="1"/>
      <c r="BG132" s="1"/>
      <c r="BH132" s="52"/>
      <c r="BI132" s="52"/>
      <c r="BJ132" s="52"/>
      <c r="BK132" s="52"/>
      <c r="BL132" s="1"/>
      <c r="BM132" s="1"/>
    </row>
    <row r="133" spans="2:65" x14ac:dyDescent="0.25">
      <c r="B133" s="52" t="s">
        <v>83</v>
      </c>
      <c r="C133" s="52"/>
      <c r="D133" s="52"/>
      <c r="E133" s="52"/>
      <c r="F133" s="1">
        <v>0.8</v>
      </c>
      <c r="G133" s="1"/>
      <c r="H133" s="1"/>
      <c r="I133" s="1"/>
      <c r="J133" s="52"/>
      <c r="K133" s="52"/>
      <c r="L133" s="52"/>
      <c r="M133" s="52"/>
      <c r="N133" s="1"/>
      <c r="O133" s="1"/>
      <c r="T133" s="52" t="s">
        <v>83</v>
      </c>
      <c r="U133" s="52"/>
      <c r="V133" s="52"/>
      <c r="W133" s="52"/>
      <c r="X133" s="1">
        <v>0.8</v>
      </c>
      <c r="Y133" s="1"/>
      <c r="Z133" s="1"/>
      <c r="AA133" s="1"/>
      <c r="AB133" s="52"/>
      <c r="AC133" s="52"/>
      <c r="AD133" s="52"/>
      <c r="AE133" s="52"/>
      <c r="AF133" s="1"/>
      <c r="AG133" s="1"/>
      <c r="AJ133" s="52" t="s">
        <v>83</v>
      </c>
      <c r="AK133" s="52"/>
      <c r="AL133" s="52"/>
      <c r="AM133" s="52"/>
      <c r="AN133" s="1">
        <v>0.8</v>
      </c>
      <c r="AO133" s="1"/>
      <c r="AP133" s="1"/>
      <c r="AQ133" s="1"/>
      <c r="AR133" s="52"/>
      <c r="AS133" s="52"/>
      <c r="AT133" s="52"/>
      <c r="AU133" s="52"/>
      <c r="AV133" s="1"/>
      <c r="AW133" s="1"/>
      <c r="AZ133" s="52" t="s">
        <v>83</v>
      </c>
      <c r="BA133" s="52"/>
      <c r="BB133" s="52"/>
      <c r="BC133" s="52"/>
      <c r="BD133" s="1">
        <v>0.8</v>
      </c>
      <c r="BE133" s="1"/>
      <c r="BF133" s="1"/>
      <c r="BG133" s="1"/>
      <c r="BH133" s="52"/>
      <c r="BI133" s="52"/>
      <c r="BJ133" s="52"/>
      <c r="BK133" s="52"/>
      <c r="BL133" s="1"/>
      <c r="BM133" s="1"/>
    </row>
    <row r="134" spans="2:65" x14ac:dyDescent="0.25">
      <c r="B134" s="52" t="s">
        <v>84</v>
      </c>
      <c r="C134" s="52"/>
      <c r="D134" s="52"/>
      <c r="E134" s="52"/>
      <c r="F134" s="1">
        <v>1</v>
      </c>
      <c r="G134" s="1"/>
      <c r="H134" s="1"/>
      <c r="I134" s="1"/>
      <c r="J134" s="52"/>
      <c r="K134" s="52"/>
      <c r="L134" s="52"/>
      <c r="M134" s="52"/>
      <c r="N134" s="1"/>
      <c r="O134" s="1"/>
      <c r="T134" s="52" t="s">
        <v>84</v>
      </c>
      <c r="U134" s="52"/>
      <c r="V134" s="52"/>
      <c r="W134" s="52"/>
      <c r="X134" s="1">
        <v>1</v>
      </c>
      <c r="Y134" s="1"/>
      <c r="Z134" s="1"/>
      <c r="AA134" s="1"/>
      <c r="AB134" s="52"/>
      <c r="AC134" s="52"/>
      <c r="AD134" s="52"/>
      <c r="AE134" s="52"/>
      <c r="AF134" s="1"/>
      <c r="AG134" s="1"/>
      <c r="AJ134" s="52" t="s">
        <v>84</v>
      </c>
      <c r="AK134" s="52"/>
      <c r="AL134" s="52"/>
      <c r="AM134" s="52"/>
      <c r="AN134" s="1">
        <v>1</v>
      </c>
      <c r="AO134" s="1"/>
      <c r="AP134" s="1"/>
      <c r="AQ134" s="1"/>
      <c r="AR134" s="52"/>
      <c r="AS134" s="52"/>
      <c r="AT134" s="52"/>
      <c r="AU134" s="52"/>
      <c r="AV134" s="1"/>
      <c r="AW134" s="1"/>
      <c r="AZ134" s="52" t="s">
        <v>84</v>
      </c>
      <c r="BA134" s="52"/>
      <c r="BB134" s="52"/>
      <c r="BC134" s="52"/>
      <c r="BD134" s="1">
        <v>1</v>
      </c>
      <c r="BE134" s="1"/>
      <c r="BF134" s="1"/>
      <c r="BG134" s="1"/>
      <c r="BH134" s="52"/>
      <c r="BI134" s="52"/>
      <c r="BJ134" s="52"/>
      <c r="BK134" s="52"/>
      <c r="BL134" s="1"/>
      <c r="BM134" s="1"/>
    </row>
    <row r="135" spans="2:65" x14ac:dyDescent="0.25">
      <c r="B135" s="52" t="s">
        <v>85</v>
      </c>
      <c r="C135" s="52"/>
      <c r="D135" s="52"/>
      <c r="E135" s="52"/>
      <c r="F135" s="1">
        <v>1</v>
      </c>
      <c r="G135" s="1"/>
      <c r="H135" s="1"/>
      <c r="I135" s="1"/>
      <c r="J135" s="52"/>
      <c r="K135" s="52"/>
      <c r="L135" s="52"/>
      <c r="M135" s="52"/>
      <c r="N135" s="1"/>
      <c r="O135" s="1"/>
      <c r="T135" s="52" t="s">
        <v>85</v>
      </c>
      <c r="U135" s="52"/>
      <c r="V135" s="52"/>
      <c r="W135" s="52"/>
      <c r="X135" s="1">
        <v>1</v>
      </c>
      <c r="Y135" s="1"/>
      <c r="Z135" s="1"/>
      <c r="AA135" s="1"/>
      <c r="AB135" s="52"/>
      <c r="AC135" s="52"/>
      <c r="AD135" s="52"/>
      <c r="AE135" s="52"/>
      <c r="AF135" s="1"/>
      <c r="AG135" s="1"/>
      <c r="AJ135" s="52" t="s">
        <v>85</v>
      </c>
      <c r="AK135" s="52"/>
      <c r="AL135" s="52"/>
      <c r="AM135" s="52"/>
      <c r="AN135" s="1">
        <v>1</v>
      </c>
      <c r="AO135" s="1"/>
      <c r="AP135" s="1"/>
      <c r="AQ135" s="1"/>
      <c r="AR135" s="52"/>
      <c r="AS135" s="52"/>
      <c r="AT135" s="52"/>
      <c r="AU135" s="52"/>
      <c r="AV135" s="1"/>
      <c r="AW135" s="1"/>
      <c r="AZ135" s="52" t="s">
        <v>85</v>
      </c>
      <c r="BA135" s="52"/>
      <c r="BB135" s="52"/>
      <c r="BC135" s="52"/>
      <c r="BD135" s="1">
        <v>1</v>
      </c>
      <c r="BE135" s="1"/>
      <c r="BF135" s="1"/>
      <c r="BG135" s="1"/>
      <c r="BH135" s="52"/>
      <c r="BI135" s="52"/>
      <c r="BJ135" s="52"/>
      <c r="BK135" s="52"/>
      <c r="BL135" s="1"/>
      <c r="BM135" s="1"/>
    </row>
    <row r="136" spans="2:65" x14ac:dyDescent="0.25">
      <c r="B136" s="52" t="s">
        <v>86</v>
      </c>
      <c r="C136" s="52"/>
      <c r="D136" s="52"/>
      <c r="E136" s="52"/>
      <c r="F136" s="1">
        <v>1</v>
      </c>
      <c r="G136" s="1"/>
      <c r="H136" s="1"/>
      <c r="I136" s="1"/>
      <c r="J136" s="52"/>
      <c r="K136" s="52"/>
      <c r="L136" s="52"/>
      <c r="M136" s="52"/>
      <c r="N136" s="1"/>
      <c r="O136" s="1"/>
      <c r="T136" s="52" t="s">
        <v>86</v>
      </c>
      <c r="U136" s="52"/>
      <c r="V136" s="52"/>
      <c r="W136" s="52"/>
      <c r="X136" s="1">
        <v>1</v>
      </c>
      <c r="Y136" s="1"/>
      <c r="Z136" s="1"/>
      <c r="AA136" s="1"/>
      <c r="AB136" s="52"/>
      <c r="AC136" s="52"/>
      <c r="AD136" s="52"/>
      <c r="AE136" s="52"/>
      <c r="AF136" s="1"/>
      <c r="AG136" s="1"/>
      <c r="AJ136" s="52" t="s">
        <v>86</v>
      </c>
      <c r="AK136" s="52"/>
      <c r="AL136" s="52"/>
      <c r="AM136" s="52"/>
      <c r="AN136" s="1">
        <v>1</v>
      </c>
      <c r="AO136" s="1"/>
      <c r="AP136" s="1"/>
      <c r="AQ136" s="1"/>
      <c r="AR136" s="52"/>
      <c r="AS136" s="52"/>
      <c r="AT136" s="52"/>
      <c r="AU136" s="52"/>
      <c r="AV136" s="1"/>
      <c r="AW136" s="1"/>
      <c r="AZ136" s="52" t="s">
        <v>86</v>
      </c>
      <c r="BA136" s="52"/>
      <c r="BB136" s="52"/>
      <c r="BC136" s="52"/>
      <c r="BD136" s="1">
        <v>1</v>
      </c>
      <c r="BE136" s="1"/>
      <c r="BF136" s="1"/>
      <c r="BG136" s="1"/>
      <c r="BH136" s="52"/>
      <c r="BI136" s="52"/>
      <c r="BJ136" s="52"/>
      <c r="BK136" s="52"/>
      <c r="BL136" s="1"/>
      <c r="BM136" s="1"/>
    </row>
    <row r="137" spans="2:65" x14ac:dyDescent="0.25">
      <c r="B137" s="52" t="s">
        <v>87</v>
      </c>
      <c r="C137" s="52"/>
      <c r="D137" s="52"/>
      <c r="E137" s="52"/>
      <c r="F137" s="1">
        <v>1.2</v>
      </c>
      <c r="G137" s="1"/>
      <c r="H137" s="1"/>
      <c r="I137" s="1"/>
      <c r="J137" s="52"/>
      <c r="K137" s="52"/>
      <c r="L137" s="52"/>
      <c r="M137" s="52"/>
      <c r="N137" s="1"/>
      <c r="O137" s="1"/>
      <c r="T137" s="52" t="s">
        <v>87</v>
      </c>
      <c r="U137" s="52"/>
      <c r="V137" s="52"/>
      <c r="W137" s="52"/>
      <c r="X137" s="1">
        <v>1.2</v>
      </c>
      <c r="Y137" s="1"/>
      <c r="Z137" s="1"/>
      <c r="AA137" s="1"/>
      <c r="AB137" s="52"/>
      <c r="AC137" s="52"/>
      <c r="AD137" s="52"/>
      <c r="AE137" s="52"/>
      <c r="AF137" s="1"/>
      <c r="AG137" s="1"/>
      <c r="AJ137" s="52" t="s">
        <v>87</v>
      </c>
      <c r="AK137" s="52"/>
      <c r="AL137" s="52"/>
      <c r="AM137" s="52"/>
      <c r="AN137" s="1">
        <v>1.2</v>
      </c>
      <c r="AO137" s="1"/>
      <c r="AP137" s="1"/>
      <c r="AQ137" s="1"/>
      <c r="AR137" s="52"/>
      <c r="AS137" s="52"/>
      <c r="AT137" s="52"/>
      <c r="AU137" s="52"/>
      <c r="AV137" s="1"/>
      <c r="AW137" s="1"/>
      <c r="AZ137" s="52" t="s">
        <v>87</v>
      </c>
      <c r="BA137" s="52"/>
      <c r="BB137" s="52"/>
      <c r="BC137" s="52"/>
      <c r="BD137" s="1">
        <v>1.2</v>
      </c>
      <c r="BE137" s="1"/>
      <c r="BF137" s="1"/>
      <c r="BG137" s="1"/>
      <c r="BH137" s="52"/>
      <c r="BI137" s="52"/>
      <c r="BJ137" s="52"/>
      <c r="BK137" s="52"/>
      <c r="BL137" s="1"/>
      <c r="BM137" s="1"/>
    </row>
    <row r="138" spans="2:65" x14ac:dyDescent="0.25">
      <c r="B138" s="52" t="s">
        <v>88</v>
      </c>
      <c r="C138" s="52"/>
      <c r="D138" s="52"/>
      <c r="E138" s="52"/>
      <c r="F138" s="1">
        <f>(F130*F137)/F133</f>
        <v>130824.49040700574</v>
      </c>
      <c r="G138" s="1" t="s">
        <v>82</v>
      </c>
      <c r="H138" s="1"/>
      <c r="I138" s="1"/>
      <c r="J138" s="52"/>
      <c r="K138" s="52"/>
      <c r="L138" s="52"/>
      <c r="M138" s="52"/>
      <c r="N138" s="1"/>
      <c r="O138" s="1"/>
      <c r="T138" s="52" t="s">
        <v>88</v>
      </c>
      <c r="U138" s="52"/>
      <c r="V138" s="52"/>
      <c r="W138" s="52"/>
      <c r="X138" s="1">
        <f>(X130*X137)/X133</f>
        <v>114340.0310011861</v>
      </c>
      <c r="Y138" s="1" t="s">
        <v>82</v>
      </c>
      <c r="Z138" s="1"/>
      <c r="AA138" s="1"/>
      <c r="AB138" s="52"/>
      <c r="AC138" s="52"/>
      <c r="AD138" s="52"/>
      <c r="AE138" s="52"/>
      <c r="AF138" s="1"/>
      <c r="AG138" s="1"/>
      <c r="AJ138" s="52" t="s">
        <v>88</v>
      </c>
      <c r="AK138" s="52"/>
      <c r="AL138" s="52"/>
      <c r="AM138" s="52"/>
      <c r="AN138" s="1">
        <f>(AN130*AN137)/AN133</f>
        <v>130824.49040700574</v>
      </c>
      <c r="AO138" s="1" t="s">
        <v>82</v>
      </c>
      <c r="AP138" s="1"/>
      <c r="AQ138" s="1"/>
      <c r="AR138" s="52"/>
      <c r="AS138" s="52"/>
      <c r="AT138" s="52"/>
      <c r="AU138" s="52"/>
      <c r="AV138" s="1"/>
      <c r="AW138" s="1"/>
      <c r="AZ138" s="52" t="s">
        <v>88</v>
      </c>
      <c r="BA138" s="52"/>
      <c r="BB138" s="52"/>
      <c r="BC138" s="52"/>
      <c r="BD138" s="1">
        <f>(BD130*BD137)/BD133</f>
        <v>112090.3977620087</v>
      </c>
      <c r="BE138" s="1" t="s">
        <v>82</v>
      </c>
      <c r="BF138" s="1"/>
      <c r="BG138" s="1"/>
      <c r="BH138" s="52"/>
      <c r="BI138" s="52"/>
      <c r="BJ138" s="52"/>
      <c r="BK138" s="52"/>
      <c r="BL138" s="1"/>
      <c r="BM138" s="1"/>
    </row>
    <row r="139" spans="2:65" x14ac:dyDescent="0.25">
      <c r="B139" s="52" t="s">
        <v>91</v>
      </c>
      <c r="C139" s="52"/>
      <c r="D139" s="52"/>
      <c r="E139" s="52"/>
      <c r="F139" s="1">
        <v>170000</v>
      </c>
      <c r="G139" s="1" t="s">
        <v>82</v>
      </c>
      <c r="H139" s="1" t="s">
        <v>103</v>
      </c>
      <c r="I139" s="1"/>
      <c r="J139" s="4"/>
      <c r="K139" s="4"/>
      <c r="L139" s="4"/>
      <c r="M139" s="4"/>
      <c r="N139" s="1"/>
      <c r="O139" s="1"/>
      <c r="T139" s="52" t="s">
        <v>91</v>
      </c>
      <c r="U139" s="52"/>
      <c r="V139" s="52"/>
      <c r="W139" s="52"/>
      <c r="X139" s="1">
        <v>170000</v>
      </c>
      <c r="Y139" s="1" t="s">
        <v>82</v>
      </c>
      <c r="Z139" s="1" t="s">
        <v>103</v>
      </c>
      <c r="AA139" s="1"/>
      <c r="AB139" s="4"/>
      <c r="AC139" s="4"/>
      <c r="AD139" s="4"/>
      <c r="AE139" s="4"/>
      <c r="AF139" s="1"/>
      <c r="AG139" s="1"/>
      <c r="AJ139" s="52" t="s">
        <v>91</v>
      </c>
      <c r="AK139" s="52"/>
      <c r="AL139" s="52"/>
      <c r="AM139" s="52"/>
      <c r="AN139" s="1">
        <v>170000</v>
      </c>
      <c r="AO139" s="1" t="s">
        <v>82</v>
      </c>
      <c r="AP139" s="1" t="s">
        <v>103</v>
      </c>
      <c r="AQ139" s="1"/>
      <c r="AR139" s="4"/>
      <c r="AS139" s="4"/>
      <c r="AT139" s="4"/>
      <c r="AU139" s="4"/>
      <c r="AV139" s="1"/>
      <c r="AW139" s="1"/>
      <c r="AZ139" s="52" t="s">
        <v>91</v>
      </c>
      <c r="BA139" s="52"/>
      <c r="BB139" s="52"/>
      <c r="BC139" s="52"/>
      <c r="BD139" s="1">
        <v>170000</v>
      </c>
      <c r="BE139" s="1" t="s">
        <v>82</v>
      </c>
      <c r="BF139" s="1" t="s">
        <v>103</v>
      </c>
      <c r="BG139" s="1"/>
      <c r="BH139" s="4"/>
      <c r="BI139" s="4"/>
      <c r="BJ139" s="4"/>
      <c r="BK139" s="4"/>
      <c r="BL139" s="1"/>
      <c r="BM139" s="1"/>
    </row>
    <row r="140" spans="2:65" x14ac:dyDescent="0.25">
      <c r="B140" s="52" t="s">
        <v>89</v>
      </c>
      <c r="C140" s="52"/>
      <c r="D140" s="52"/>
      <c r="E140" s="52"/>
      <c r="F140" s="1">
        <f>(F139*F133)/F130</f>
        <v>1.5593410634762592</v>
      </c>
      <c r="G140" s="1" t="str">
        <f>IF(F140&gt;F137,$S$74,$S$75)</f>
        <v>Cumple</v>
      </c>
      <c r="H140" s="1"/>
      <c r="I140" s="1"/>
      <c r="J140" s="52"/>
      <c r="K140" s="52"/>
      <c r="L140" s="52"/>
      <c r="M140" s="52"/>
      <c r="N140" s="1"/>
      <c r="O140" s="1"/>
      <c r="T140" s="52" t="s">
        <v>89</v>
      </c>
      <c r="U140" s="52"/>
      <c r="V140" s="52"/>
      <c r="W140" s="52"/>
      <c r="X140" s="1">
        <f>(X139*X133)/X130</f>
        <v>1.7841520438094318</v>
      </c>
      <c r="Y140" s="1" t="str">
        <f>IF(X140&gt;X137,$S$74,$S$75)</f>
        <v>Cumple</v>
      </c>
      <c r="Z140" s="1"/>
      <c r="AA140" s="1"/>
      <c r="AB140" s="52"/>
      <c r="AC140" s="52"/>
      <c r="AD140" s="52"/>
      <c r="AE140" s="52"/>
      <c r="AF140" s="1"/>
      <c r="AG140" s="1"/>
      <c r="AJ140" s="52" t="s">
        <v>89</v>
      </c>
      <c r="AK140" s="52"/>
      <c r="AL140" s="52"/>
      <c r="AM140" s="52"/>
      <c r="AN140" s="1">
        <f>(AN139*AN133)/AN130</f>
        <v>1.5593410634762592</v>
      </c>
      <c r="AO140" s="1" t="str">
        <f>IF(AN140&gt;AN137,$S$74,$S$75)</f>
        <v>Cumple</v>
      </c>
      <c r="AP140" s="1"/>
      <c r="AQ140" s="1"/>
      <c r="AR140" s="52"/>
      <c r="AS140" s="52"/>
      <c r="AT140" s="52"/>
      <c r="AU140" s="52"/>
      <c r="AV140" s="1"/>
      <c r="AW140" s="1"/>
      <c r="AZ140" s="52" t="s">
        <v>89</v>
      </c>
      <c r="BA140" s="52"/>
      <c r="BB140" s="52"/>
      <c r="BC140" s="52"/>
      <c r="BD140" s="1">
        <f>(BD139*BD133)/BD130</f>
        <v>1.8199596403711096</v>
      </c>
      <c r="BE140" s="1" t="str">
        <f>IF(BD140&gt;BD137,$S$74,$S$75)</f>
        <v>Cumple</v>
      </c>
      <c r="BF140" s="1"/>
      <c r="BG140" s="1"/>
      <c r="BH140" s="52"/>
      <c r="BI140" s="52"/>
      <c r="BJ140" s="52"/>
      <c r="BK140" s="52"/>
      <c r="BL140" s="1"/>
      <c r="BM140" s="1"/>
    </row>
    <row r="141" spans="2:65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2:65" x14ac:dyDescent="0.25">
      <c r="B142" s="53" t="s">
        <v>105</v>
      </c>
      <c r="C142" s="53"/>
      <c r="D142" s="53"/>
      <c r="E142" s="53"/>
      <c r="F142" s="53"/>
      <c r="G142" s="53"/>
      <c r="H142" s="53"/>
      <c r="I142" s="53" t="s">
        <v>106</v>
      </c>
      <c r="J142" s="53"/>
      <c r="K142" s="53"/>
      <c r="L142" s="53"/>
      <c r="M142" s="53"/>
      <c r="N142" s="53"/>
      <c r="O142" s="53"/>
      <c r="T142" s="53" t="s">
        <v>105</v>
      </c>
      <c r="U142" s="53"/>
      <c r="V142" s="53"/>
      <c r="W142" s="53"/>
      <c r="X142" s="53"/>
      <c r="Y142" s="53"/>
      <c r="Z142" s="53"/>
      <c r="AA142" s="53" t="s">
        <v>106</v>
      </c>
      <c r="AB142" s="53"/>
      <c r="AC142" s="53"/>
      <c r="AD142" s="53"/>
      <c r="AE142" s="53"/>
      <c r="AF142" s="53"/>
      <c r="AG142" s="53"/>
      <c r="AJ142" s="53" t="s">
        <v>105</v>
      </c>
      <c r="AK142" s="53"/>
      <c r="AL142" s="53"/>
      <c r="AM142" s="53"/>
      <c r="AN142" s="53"/>
      <c r="AO142" s="53"/>
      <c r="AP142" s="53"/>
      <c r="AQ142" s="53" t="s">
        <v>106</v>
      </c>
      <c r="AR142" s="53"/>
      <c r="AS142" s="53"/>
      <c r="AT142" s="53"/>
      <c r="AU142" s="53"/>
      <c r="AV142" s="53"/>
      <c r="AW142" s="53"/>
      <c r="AZ142" s="53" t="s">
        <v>105</v>
      </c>
      <c r="BA142" s="53"/>
      <c r="BB142" s="53"/>
      <c r="BC142" s="53"/>
      <c r="BD142" s="53"/>
      <c r="BE142" s="53"/>
      <c r="BF142" s="53"/>
      <c r="BG142" s="53" t="s">
        <v>106</v>
      </c>
      <c r="BH142" s="53"/>
      <c r="BI142" s="53"/>
      <c r="BJ142" s="53"/>
      <c r="BK142" s="53"/>
      <c r="BL142" s="53"/>
      <c r="BM142" s="53"/>
    </row>
    <row r="143" spans="2:65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2:65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2:65" x14ac:dyDescent="0.25">
      <c r="B145" s="52" t="s">
        <v>60</v>
      </c>
      <c r="C145" s="52"/>
      <c r="D145" s="52"/>
      <c r="E145" s="52"/>
      <c r="F145" s="1">
        <f>(COS(20)*SIN(20)/2)*((F$26/F$23)/((F$26/F$23)+1))</f>
        <v>0.15240951009804862</v>
      </c>
      <c r="G145" s="1"/>
      <c r="H145" s="1"/>
      <c r="I145" s="1"/>
      <c r="J145" s="52" t="s">
        <v>94</v>
      </c>
      <c r="K145" s="52"/>
      <c r="L145" s="52"/>
      <c r="M145" s="52"/>
      <c r="N145" s="1">
        <v>0.41</v>
      </c>
      <c r="O145" s="1"/>
      <c r="T145" s="52" t="s">
        <v>60</v>
      </c>
      <c r="U145" s="52"/>
      <c r="V145" s="52"/>
      <c r="W145" s="52"/>
      <c r="X145" s="1">
        <f>(COS(20)*SIN(20)/2)*((X$26/X$23)/((X$26/X$23)+1))</f>
        <v>0.15279005818818106</v>
      </c>
      <c r="Y145" s="1"/>
      <c r="Z145" s="1"/>
      <c r="AA145" s="1"/>
      <c r="AB145" s="52" t="s">
        <v>94</v>
      </c>
      <c r="AC145" s="52"/>
      <c r="AD145" s="52"/>
      <c r="AE145" s="52"/>
      <c r="AF145" s="1">
        <v>0.41</v>
      </c>
      <c r="AG145" s="1"/>
      <c r="AJ145" s="52" t="s">
        <v>60</v>
      </c>
      <c r="AK145" s="52"/>
      <c r="AL145" s="52"/>
      <c r="AM145" s="52"/>
      <c r="AN145" s="1">
        <f>(COS(20)*SIN(20)/2)*((AN$26/AN$23)/((AN$26/AN$23)+1))</f>
        <v>0.15240951009804862</v>
      </c>
      <c r="AO145" s="1"/>
      <c r="AP145" s="1"/>
      <c r="AQ145" s="1"/>
      <c r="AR145" s="52" t="s">
        <v>94</v>
      </c>
      <c r="AS145" s="52"/>
      <c r="AT145" s="52"/>
      <c r="AU145" s="52"/>
      <c r="AV145" s="1">
        <v>0.41</v>
      </c>
      <c r="AW145" s="1"/>
      <c r="AZ145" s="52" t="s">
        <v>60</v>
      </c>
      <c r="BA145" s="52"/>
      <c r="BB145" s="52"/>
      <c r="BC145" s="52"/>
      <c r="BD145" s="1">
        <f>(COS(20)*SIN(20)/2)*((BD$26/BD$23)/((BD$26/BD$23)+1))</f>
        <v>0.15240951009804862</v>
      </c>
      <c r="BE145" s="1"/>
      <c r="BF145" s="1"/>
      <c r="BG145" s="1"/>
      <c r="BH145" s="52" t="s">
        <v>94</v>
      </c>
      <c r="BI145" s="52"/>
      <c r="BJ145" s="52"/>
      <c r="BK145" s="52"/>
      <c r="BL145" s="1">
        <v>0.41</v>
      </c>
      <c r="BM145" s="1"/>
    </row>
    <row r="146" spans="2:65" x14ac:dyDescent="0.25">
      <c r="B146" s="52" t="s">
        <v>66</v>
      </c>
      <c r="C146" s="52"/>
      <c r="D146" s="52"/>
      <c r="E146" s="52"/>
      <c r="F146" s="1">
        <v>7</v>
      </c>
      <c r="G146" s="1"/>
      <c r="H146" s="1"/>
      <c r="I146" s="1"/>
      <c r="J146" s="52" t="s">
        <v>95</v>
      </c>
      <c r="K146" s="52"/>
      <c r="L146" s="52"/>
      <c r="M146" s="52"/>
      <c r="N146" s="1">
        <v>1</v>
      </c>
      <c r="O146" s="1"/>
      <c r="T146" s="52" t="s">
        <v>66</v>
      </c>
      <c r="U146" s="52"/>
      <c r="V146" s="52"/>
      <c r="W146" s="52"/>
      <c r="X146" s="1">
        <v>7</v>
      </c>
      <c r="Y146" s="1"/>
      <c r="Z146" s="1"/>
      <c r="AA146" s="1"/>
      <c r="AB146" s="52" t="s">
        <v>95</v>
      </c>
      <c r="AC146" s="52"/>
      <c r="AD146" s="52"/>
      <c r="AE146" s="52"/>
      <c r="AF146" s="1">
        <v>1</v>
      </c>
      <c r="AG146" s="1"/>
      <c r="AJ146" s="52" t="s">
        <v>66</v>
      </c>
      <c r="AK146" s="52"/>
      <c r="AL146" s="52"/>
      <c r="AM146" s="52"/>
      <c r="AN146" s="1">
        <v>7</v>
      </c>
      <c r="AO146" s="1"/>
      <c r="AP146" s="1"/>
      <c r="AQ146" s="1"/>
      <c r="AR146" s="52" t="s">
        <v>95</v>
      </c>
      <c r="AS146" s="52"/>
      <c r="AT146" s="52"/>
      <c r="AU146" s="52"/>
      <c r="AV146" s="1">
        <v>1</v>
      </c>
      <c r="AW146" s="1"/>
      <c r="AZ146" s="52" t="s">
        <v>66</v>
      </c>
      <c r="BA146" s="52"/>
      <c r="BB146" s="52"/>
      <c r="BC146" s="52"/>
      <c r="BD146" s="1">
        <v>7</v>
      </c>
      <c r="BE146" s="1"/>
      <c r="BF146" s="1"/>
      <c r="BG146" s="1"/>
      <c r="BH146" s="52" t="s">
        <v>95</v>
      </c>
      <c r="BI146" s="52"/>
      <c r="BJ146" s="52"/>
      <c r="BK146" s="52"/>
      <c r="BL146" s="1">
        <v>1</v>
      </c>
      <c r="BM146" s="1"/>
    </row>
    <row r="147" spans="2:65" x14ac:dyDescent="0.25">
      <c r="B147" s="52" t="s">
        <v>64</v>
      </c>
      <c r="C147" s="52"/>
      <c r="D147" s="52"/>
      <c r="E147" s="52"/>
      <c r="F147" s="1">
        <f>0.25*((12-F146)^(2/3))</f>
        <v>0.7310044345532164</v>
      </c>
      <c r="G147" s="1"/>
      <c r="H147" s="1"/>
      <c r="I147" s="1"/>
      <c r="J147" s="52" t="s">
        <v>96</v>
      </c>
      <c r="K147" s="52"/>
      <c r="L147" s="52"/>
      <c r="M147" s="52"/>
      <c r="N147" s="1">
        <v>0.9</v>
      </c>
      <c r="O147" s="1"/>
      <c r="T147" s="52" t="s">
        <v>64</v>
      </c>
      <c r="U147" s="52"/>
      <c r="V147" s="52"/>
      <c r="W147" s="52"/>
      <c r="X147" s="1">
        <f>0.25*((12-X146)^(2/3))</f>
        <v>0.7310044345532164</v>
      </c>
      <c r="Y147" s="1"/>
      <c r="Z147" s="1"/>
      <c r="AA147" s="1"/>
      <c r="AB147" s="52" t="s">
        <v>96</v>
      </c>
      <c r="AC147" s="52"/>
      <c r="AD147" s="52"/>
      <c r="AE147" s="52"/>
      <c r="AF147" s="1">
        <v>0.94</v>
      </c>
      <c r="AG147" s="1"/>
      <c r="AJ147" s="52" t="s">
        <v>64</v>
      </c>
      <c r="AK147" s="52"/>
      <c r="AL147" s="52"/>
      <c r="AM147" s="52"/>
      <c r="AN147" s="1">
        <f>0.25*((12-AN146)^(2/3))</f>
        <v>0.7310044345532164</v>
      </c>
      <c r="AO147" s="1"/>
      <c r="AP147" s="1"/>
      <c r="AQ147" s="1"/>
      <c r="AR147" s="52" t="s">
        <v>96</v>
      </c>
      <c r="AS147" s="52"/>
      <c r="AT147" s="52"/>
      <c r="AU147" s="52"/>
      <c r="AV147" s="1">
        <v>0.94</v>
      </c>
      <c r="AW147" s="1"/>
      <c r="AZ147" s="52" t="s">
        <v>64</v>
      </c>
      <c r="BA147" s="52"/>
      <c r="BB147" s="52"/>
      <c r="BC147" s="52"/>
      <c r="BD147" s="1">
        <f>0.25*((12-BD146)^(2/3))</f>
        <v>0.7310044345532164</v>
      </c>
      <c r="BE147" s="1"/>
      <c r="BF147" s="1"/>
      <c r="BG147" s="1"/>
      <c r="BH147" s="52" t="s">
        <v>96</v>
      </c>
      <c r="BI147" s="52"/>
      <c r="BJ147" s="52"/>
      <c r="BK147" s="52"/>
      <c r="BL147" s="1">
        <v>0.94</v>
      </c>
      <c r="BM147" s="1"/>
    </row>
    <row r="148" spans="2:65" x14ac:dyDescent="0.25">
      <c r="B148" s="52" t="s">
        <v>63</v>
      </c>
      <c r="C148" s="52"/>
      <c r="D148" s="52"/>
      <c r="E148" s="52"/>
      <c r="F148" s="1">
        <f>50+(56*(1-F147))</f>
        <v>65.063751665019879</v>
      </c>
      <c r="G148" s="1"/>
      <c r="H148" s="1"/>
      <c r="I148" s="1"/>
      <c r="J148" s="52" t="s">
        <v>77</v>
      </c>
      <c r="K148" s="52"/>
      <c r="L148" s="52"/>
      <c r="M148" s="52"/>
      <c r="N148" s="1">
        <f>F$43*F150*(F$35/F151)*(F157/N145)</f>
        <v>8248.0979106590767</v>
      </c>
      <c r="O148" s="1" t="s">
        <v>82</v>
      </c>
      <c r="T148" s="52" t="s">
        <v>63</v>
      </c>
      <c r="U148" s="52"/>
      <c r="V148" s="52"/>
      <c r="W148" s="52"/>
      <c r="X148" s="1">
        <f>50+(56*(1-X147))</f>
        <v>65.063751665019879</v>
      </c>
      <c r="Y148" s="1"/>
      <c r="Z148" s="1"/>
      <c r="AA148" s="1"/>
      <c r="AB148" s="52" t="s">
        <v>77</v>
      </c>
      <c r="AC148" s="52"/>
      <c r="AD148" s="52"/>
      <c r="AE148" s="52"/>
      <c r="AF148" s="1">
        <f>X$43*X150*(X$35/X151)*(X157/AF145)</f>
        <v>6241.1780619729971</v>
      </c>
      <c r="AG148" s="1" t="s">
        <v>82</v>
      </c>
      <c r="AJ148" s="52" t="s">
        <v>63</v>
      </c>
      <c r="AK148" s="52"/>
      <c r="AL148" s="52"/>
      <c r="AM148" s="52"/>
      <c r="AN148" s="1">
        <f>50+(56*(1-AN147))</f>
        <v>65.063751665019879</v>
      </c>
      <c r="AO148" s="1"/>
      <c r="AP148" s="1"/>
      <c r="AQ148" s="1"/>
      <c r="AR148" s="52" t="s">
        <v>77</v>
      </c>
      <c r="AS148" s="52"/>
      <c r="AT148" s="52"/>
      <c r="AU148" s="52"/>
      <c r="AV148" s="1">
        <f>AN$43*AN150*(AN$35/AN151)*(AN157/AV145)</f>
        <v>8248.0979106590767</v>
      </c>
      <c r="AW148" s="1" t="s">
        <v>82</v>
      </c>
      <c r="AZ148" s="52" t="s">
        <v>63</v>
      </c>
      <c r="BA148" s="52"/>
      <c r="BB148" s="52"/>
      <c r="BC148" s="52"/>
      <c r="BD148" s="1">
        <f>50+(56*(1-BD147))</f>
        <v>65.063751665019879</v>
      </c>
      <c r="BE148" s="1"/>
      <c r="BF148" s="1"/>
      <c r="BG148" s="1"/>
      <c r="BH148" s="52" t="s">
        <v>77</v>
      </c>
      <c r="BI148" s="52"/>
      <c r="BJ148" s="52"/>
      <c r="BK148" s="52"/>
      <c r="BL148" s="1">
        <f>BD$43*BD150*(BD$35/BD151)*(BD157/BL145)</f>
        <v>5971.2221747363046</v>
      </c>
      <c r="BM148" s="1" t="s">
        <v>82</v>
      </c>
    </row>
    <row r="149" spans="2:65" x14ac:dyDescent="0.25">
      <c r="B149" s="52" t="s">
        <v>65</v>
      </c>
      <c r="C149" s="52"/>
      <c r="D149" s="52"/>
      <c r="E149" s="52"/>
      <c r="F149" s="1">
        <f>(F148+(F146-3))^2</f>
        <v>4769.8017940475365</v>
      </c>
      <c r="G149" s="1"/>
      <c r="H149" s="1"/>
      <c r="I149" s="1"/>
      <c r="J149" s="52" t="s">
        <v>97</v>
      </c>
      <c r="K149" s="52"/>
      <c r="L149" s="52"/>
      <c r="M149" s="52"/>
      <c r="N149" s="1">
        <v>28260</v>
      </c>
      <c r="O149" s="1" t="s">
        <v>82</v>
      </c>
      <c r="T149" s="52" t="s">
        <v>65</v>
      </c>
      <c r="U149" s="52"/>
      <c r="V149" s="52"/>
      <c r="W149" s="52"/>
      <c r="X149" s="1">
        <f>(X148+(X146-3))^2</f>
        <v>4769.8017940475365</v>
      </c>
      <c r="Y149" s="1"/>
      <c r="Z149" s="1"/>
      <c r="AA149" s="1"/>
      <c r="AB149" s="52" t="s">
        <v>97</v>
      </c>
      <c r="AC149" s="52"/>
      <c r="AD149" s="52"/>
      <c r="AE149" s="52"/>
      <c r="AF149" s="1">
        <v>28260</v>
      </c>
      <c r="AG149" s="1" t="s">
        <v>82</v>
      </c>
      <c r="AJ149" s="52" t="s">
        <v>65</v>
      </c>
      <c r="AK149" s="52"/>
      <c r="AL149" s="52"/>
      <c r="AM149" s="52"/>
      <c r="AN149" s="1">
        <f>(AN148+(AN146-3))^2</f>
        <v>4769.8017940475365</v>
      </c>
      <c r="AO149" s="1"/>
      <c r="AP149" s="1"/>
      <c r="AQ149" s="1"/>
      <c r="AR149" s="52" t="s">
        <v>97</v>
      </c>
      <c r="AS149" s="52"/>
      <c r="AT149" s="52"/>
      <c r="AU149" s="52"/>
      <c r="AV149" s="1">
        <v>28260</v>
      </c>
      <c r="AW149" s="1" t="s">
        <v>82</v>
      </c>
      <c r="AZ149" s="52" t="s">
        <v>65</v>
      </c>
      <c r="BA149" s="52"/>
      <c r="BB149" s="52"/>
      <c r="BC149" s="52"/>
      <c r="BD149" s="1">
        <f>(BD148+(BD146-3))^2</f>
        <v>4769.8017940475365</v>
      </c>
      <c r="BE149" s="1"/>
      <c r="BF149" s="1"/>
      <c r="BG149" s="1"/>
      <c r="BH149" s="52" t="s">
        <v>97</v>
      </c>
      <c r="BI149" s="52"/>
      <c r="BJ149" s="52"/>
      <c r="BK149" s="52"/>
      <c r="BL149" s="1">
        <v>28260</v>
      </c>
      <c r="BM149" s="1" t="s">
        <v>82</v>
      </c>
    </row>
    <row r="150" spans="2:65" x14ac:dyDescent="0.25">
      <c r="B150" s="52" t="s">
        <v>67</v>
      </c>
      <c r="C150" s="52"/>
      <c r="D150" s="52"/>
      <c r="E150" s="52"/>
      <c r="F150" s="1">
        <f>MROUND(((F148+SQRT(F$41))/F148)^F147,0.01)</f>
        <v>1.37</v>
      </c>
      <c r="G150" s="1"/>
      <c r="H150" s="1"/>
      <c r="I150" s="1"/>
      <c r="J150" s="52" t="s">
        <v>98</v>
      </c>
      <c r="K150" s="52"/>
      <c r="L150" s="52"/>
      <c r="M150" s="52"/>
      <c r="N150" s="1">
        <f>N149*N147</f>
        <v>25434</v>
      </c>
      <c r="O150" s="1" t="s">
        <v>82</v>
      </c>
      <c r="T150" s="52" t="s">
        <v>67</v>
      </c>
      <c r="U150" s="52"/>
      <c r="V150" s="52"/>
      <c r="W150" s="52"/>
      <c r="X150" s="1">
        <f>MROUND(((X148+SQRT(X$41))/X148)^X147,0.01)</f>
        <v>1.37</v>
      </c>
      <c r="Y150" s="1"/>
      <c r="Z150" s="1"/>
      <c r="AA150" s="1"/>
      <c r="AB150" s="52" t="s">
        <v>98</v>
      </c>
      <c r="AC150" s="52"/>
      <c r="AD150" s="52"/>
      <c r="AE150" s="52"/>
      <c r="AF150" s="1">
        <f>AF149*AF147</f>
        <v>26564.399999999998</v>
      </c>
      <c r="AG150" s="1" t="s">
        <v>82</v>
      </c>
      <c r="AJ150" s="52" t="s">
        <v>67</v>
      </c>
      <c r="AK150" s="52"/>
      <c r="AL150" s="52"/>
      <c r="AM150" s="52"/>
      <c r="AN150" s="1">
        <f>MROUND(((AN148+SQRT(AN$41))/AN148)^AN147,0.01)</f>
        <v>1.37</v>
      </c>
      <c r="AO150" s="1"/>
      <c r="AP150" s="1"/>
      <c r="AQ150" s="1"/>
      <c r="AR150" s="52" t="s">
        <v>98</v>
      </c>
      <c r="AS150" s="52"/>
      <c r="AT150" s="52"/>
      <c r="AU150" s="52"/>
      <c r="AV150" s="1">
        <f>AV149*AV147</f>
        <v>26564.399999999998</v>
      </c>
      <c r="AW150" s="1" t="s">
        <v>82</v>
      </c>
      <c r="AZ150" s="52" t="s">
        <v>67</v>
      </c>
      <c r="BA150" s="52"/>
      <c r="BB150" s="52"/>
      <c r="BC150" s="52"/>
      <c r="BD150" s="1">
        <f>MROUND(((BD148+SQRT(BD$41))/BD148)^BD147,0.01)</f>
        <v>1.37</v>
      </c>
      <c r="BE150" s="1"/>
      <c r="BF150" s="1"/>
      <c r="BG150" s="1"/>
      <c r="BH150" s="52" t="s">
        <v>98</v>
      </c>
      <c r="BI150" s="52"/>
      <c r="BJ150" s="52"/>
      <c r="BK150" s="52"/>
      <c r="BL150" s="1">
        <f>BL149*BL147</f>
        <v>26564.399999999998</v>
      </c>
      <c r="BM150" s="1" t="s">
        <v>82</v>
      </c>
    </row>
    <row r="151" spans="2:65" x14ac:dyDescent="0.25">
      <c r="B151" s="52" t="s">
        <v>68</v>
      </c>
      <c r="C151" s="52"/>
      <c r="D151" s="52"/>
      <c r="E151" s="52"/>
      <c r="F151" s="9">
        <v>1.5</v>
      </c>
      <c r="G151" s="1"/>
      <c r="H151" s="1"/>
      <c r="I151" s="1"/>
      <c r="J151" s="52" t="s">
        <v>99</v>
      </c>
      <c r="K151" s="52"/>
      <c r="L151" s="52"/>
      <c r="M151" s="52"/>
      <c r="N151" s="8">
        <f>N150/N148</f>
        <v>3.0836200388857482</v>
      </c>
      <c r="O151" s="1" t="str">
        <f>IF(N151&gt;F169,$S$74,$S$75)</f>
        <v>Cumple</v>
      </c>
      <c r="T151" s="52" t="s">
        <v>68</v>
      </c>
      <c r="U151" s="52"/>
      <c r="V151" s="52"/>
      <c r="W151" s="52"/>
      <c r="X151" s="10">
        <f>INT(PI()*4/X$35)</f>
        <v>2</v>
      </c>
      <c r="Y151" s="1"/>
      <c r="Z151" s="1"/>
      <c r="AA151" s="1"/>
      <c r="AB151" s="52" t="s">
        <v>99</v>
      </c>
      <c r="AC151" s="52"/>
      <c r="AD151" s="52"/>
      <c r="AE151" s="52"/>
      <c r="AF151" s="8">
        <f>AF150/AF148</f>
        <v>4.2563118270659155</v>
      </c>
      <c r="AG151" s="1" t="str">
        <f>IF(AF151&gt;X169,$S$74,$S$75)</f>
        <v>Cumple</v>
      </c>
      <c r="AJ151" s="52" t="s">
        <v>68</v>
      </c>
      <c r="AK151" s="52"/>
      <c r="AL151" s="52"/>
      <c r="AM151" s="52"/>
      <c r="AN151" s="10">
        <v>1.5</v>
      </c>
      <c r="AO151" s="1"/>
      <c r="AP151" s="1"/>
      <c r="AQ151" s="1"/>
      <c r="AR151" s="52" t="s">
        <v>99</v>
      </c>
      <c r="AS151" s="52"/>
      <c r="AT151" s="52"/>
      <c r="AU151" s="52"/>
      <c r="AV151" s="8">
        <f>AV150/AV148</f>
        <v>3.220669818391781</v>
      </c>
      <c r="AW151" s="1" t="str">
        <f>IF(AV151&gt;AN169,$S$74,$S$75)</f>
        <v>Cumple</v>
      </c>
      <c r="AZ151" s="52" t="s">
        <v>68</v>
      </c>
      <c r="BA151" s="52"/>
      <c r="BB151" s="52"/>
      <c r="BC151" s="52"/>
      <c r="BD151" s="8">
        <f>(PI()*4/BD$35)</f>
        <v>2.0943951023931953</v>
      </c>
      <c r="BE151" s="1"/>
      <c r="BF151" s="1"/>
      <c r="BG151" s="1"/>
      <c r="BH151" s="52" t="s">
        <v>99</v>
      </c>
      <c r="BI151" s="52"/>
      <c r="BJ151" s="52"/>
      <c r="BK151" s="52"/>
      <c r="BL151" s="8">
        <f>BL150/BL148</f>
        <v>4.4487374983954791</v>
      </c>
      <c r="BM151" s="1" t="str">
        <f>IF(BL151&gt;BD169,$S$74,$S$75)</f>
        <v>Cumple</v>
      </c>
    </row>
    <row r="152" spans="2:65" x14ac:dyDescent="0.25">
      <c r="B152" s="52" t="s">
        <v>70</v>
      </c>
      <c r="C152" s="52"/>
      <c r="D152" s="52"/>
      <c r="E152" s="52"/>
      <c r="F152" s="1">
        <v>1</v>
      </c>
      <c r="G152" s="1"/>
      <c r="H152" s="1"/>
      <c r="I152" s="1"/>
      <c r="J152" s="52"/>
      <c r="K152" s="52"/>
      <c r="L152" s="52"/>
      <c r="M152" s="52"/>
      <c r="N152" s="1"/>
      <c r="O152" s="1"/>
      <c r="T152" s="52" t="s">
        <v>70</v>
      </c>
      <c r="U152" s="52"/>
      <c r="V152" s="52"/>
      <c r="W152" s="52"/>
      <c r="X152" s="1">
        <v>1</v>
      </c>
      <c r="Y152" s="1"/>
      <c r="Z152" s="1"/>
      <c r="AA152" s="1"/>
      <c r="AB152" s="52"/>
      <c r="AC152" s="52"/>
      <c r="AD152" s="52"/>
      <c r="AE152" s="52"/>
      <c r="AF152" s="1"/>
      <c r="AG152" s="1"/>
      <c r="AJ152" s="52" t="s">
        <v>70</v>
      </c>
      <c r="AK152" s="52"/>
      <c r="AL152" s="52"/>
      <c r="AM152" s="52"/>
      <c r="AN152" s="1">
        <v>1</v>
      </c>
      <c r="AO152" s="1"/>
      <c r="AP152" s="1"/>
      <c r="AQ152" s="1"/>
      <c r="AR152" s="52"/>
      <c r="AS152" s="52"/>
      <c r="AT152" s="52"/>
      <c r="AU152" s="52"/>
      <c r="AV152" s="1"/>
      <c r="AW152" s="1"/>
      <c r="AZ152" s="52" t="s">
        <v>70</v>
      </c>
      <c r="BA152" s="52"/>
      <c r="BB152" s="52"/>
      <c r="BC152" s="52"/>
      <c r="BD152" s="1">
        <v>1</v>
      </c>
      <c r="BE152" s="1"/>
      <c r="BF152" s="1"/>
      <c r="BG152" s="1"/>
      <c r="BH152" s="52"/>
      <c r="BI152" s="52"/>
      <c r="BJ152" s="52"/>
      <c r="BK152" s="52"/>
      <c r="BL152" s="1"/>
      <c r="BM152" s="1"/>
    </row>
    <row r="153" spans="2:65" x14ac:dyDescent="0.25">
      <c r="B153" s="52" t="s">
        <v>71</v>
      </c>
      <c r="C153" s="52"/>
      <c r="D153" s="52"/>
      <c r="E153" s="52"/>
      <c r="F153" s="11">
        <f>(F151/(10*F$37))-0.0375+(0.0125*F151)</f>
        <v>-6.2499999999999951E-3</v>
      </c>
      <c r="G153" s="1"/>
      <c r="H153" s="1"/>
      <c r="I153" s="1"/>
      <c r="J153" s="52"/>
      <c r="K153" s="52"/>
      <c r="L153" s="52"/>
      <c r="M153" s="52"/>
      <c r="N153" s="1"/>
      <c r="O153" s="1"/>
      <c r="T153" s="52" t="s">
        <v>71</v>
      </c>
      <c r="U153" s="52"/>
      <c r="V153" s="52"/>
      <c r="W153" s="52"/>
      <c r="X153" s="11">
        <f>(X151/(10*X$37))-0.0375+(0.0125*X151)</f>
        <v>3.9383561643835663E-3</v>
      </c>
      <c r="Y153" s="1"/>
      <c r="Z153" s="1"/>
      <c r="AA153" s="1"/>
      <c r="AB153" s="52"/>
      <c r="AC153" s="52"/>
      <c r="AD153" s="52"/>
      <c r="AE153" s="52"/>
      <c r="AF153" s="1"/>
      <c r="AG153" s="1"/>
      <c r="AJ153" s="52" t="s">
        <v>71</v>
      </c>
      <c r="AK153" s="52"/>
      <c r="AL153" s="52"/>
      <c r="AM153" s="52"/>
      <c r="AN153" s="11">
        <f>(AN151/(10*AN$37))-0.0375+(0.0125*AN151)</f>
        <v>-6.2499999999999951E-3</v>
      </c>
      <c r="AO153" s="1"/>
      <c r="AP153" s="1"/>
      <c r="AQ153" s="1"/>
      <c r="AR153" s="52"/>
      <c r="AS153" s="52"/>
      <c r="AT153" s="52"/>
      <c r="AU153" s="52"/>
      <c r="AV153" s="1"/>
      <c r="AW153" s="1"/>
      <c r="AZ153" s="52" t="s">
        <v>71</v>
      </c>
      <c r="BA153" s="52"/>
      <c r="BB153" s="52"/>
      <c r="BC153" s="52"/>
      <c r="BD153" s="11">
        <f>(BD151/(10*BD$37))-0.0375+(0.0125*BD151)</f>
        <v>6.1332312998582383E-3</v>
      </c>
      <c r="BE153" s="1"/>
      <c r="BF153" s="1"/>
      <c r="BG153" s="1"/>
      <c r="BH153" s="52"/>
      <c r="BI153" s="52"/>
      <c r="BJ153" s="52"/>
      <c r="BK153" s="52"/>
      <c r="BL153" s="1"/>
      <c r="BM153" s="1"/>
    </row>
    <row r="154" spans="2:65" x14ac:dyDescent="0.25">
      <c r="B154" s="52" t="s">
        <v>72</v>
      </c>
      <c r="C154" s="52"/>
      <c r="D154" s="52"/>
      <c r="E154" s="52"/>
      <c r="F154" s="1">
        <v>1</v>
      </c>
      <c r="G154" s="1"/>
      <c r="H154" s="1"/>
      <c r="I154" s="1"/>
      <c r="J154" s="52"/>
      <c r="K154" s="52"/>
      <c r="L154" s="52"/>
      <c r="M154" s="52"/>
      <c r="N154" s="1"/>
      <c r="O154" s="1"/>
      <c r="T154" s="52" t="s">
        <v>72</v>
      </c>
      <c r="U154" s="52"/>
      <c r="V154" s="52"/>
      <c r="W154" s="52"/>
      <c r="X154" s="1">
        <v>1</v>
      </c>
      <c r="Y154" s="1"/>
      <c r="Z154" s="1"/>
      <c r="AA154" s="1"/>
      <c r="AB154" s="52"/>
      <c r="AC154" s="52"/>
      <c r="AD154" s="52"/>
      <c r="AE154" s="52"/>
      <c r="AF154" s="1"/>
      <c r="AG154" s="1"/>
      <c r="AJ154" s="52" t="s">
        <v>72</v>
      </c>
      <c r="AK154" s="52"/>
      <c r="AL154" s="52"/>
      <c r="AM154" s="52"/>
      <c r="AN154" s="1">
        <v>1</v>
      </c>
      <c r="AO154" s="1"/>
      <c r="AP154" s="1"/>
      <c r="AQ154" s="1"/>
      <c r="AR154" s="52"/>
      <c r="AS154" s="52"/>
      <c r="AT154" s="52"/>
      <c r="AU154" s="52"/>
      <c r="AV154" s="1"/>
      <c r="AW154" s="1"/>
      <c r="AZ154" s="52" t="s">
        <v>72</v>
      </c>
      <c r="BA154" s="52"/>
      <c r="BB154" s="52"/>
      <c r="BC154" s="52"/>
      <c r="BD154" s="1">
        <v>1</v>
      </c>
      <c r="BE154" s="1"/>
      <c r="BF154" s="1"/>
      <c r="BG154" s="1"/>
      <c r="BH154" s="52"/>
      <c r="BI154" s="52"/>
      <c r="BJ154" s="52"/>
      <c r="BK154" s="52"/>
      <c r="BL154" s="1"/>
      <c r="BM154" s="1"/>
    </row>
    <row r="155" spans="2:65" x14ac:dyDescent="0.25">
      <c r="B155" s="52" t="s">
        <v>73</v>
      </c>
      <c r="C155" s="52"/>
      <c r="D155" s="52"/>
      <c r="E155" s="52"/>
      <c r="F155" s="1">
        <v>0.15</v>
      </c>
      <c r="G155" s="1"/>
      <c r="H155" s="1"/>
      <c r="I155" s="1"/>
      <c r="J155" s="52"/>
      <c r="K155" s="52"/>
      <c r="L155" s="52"/>
      <c r="M155" s="52"/>
      <c r="N155" s="1"/>
      <c r="O155" s="1"/>
      <c r="T155" s="52" t="s">
        <v>73</v>
      </c>
      <c r="U155" s="52"/>
      <c r="V155" s="52"/>
      <c r="W155" s="52"/>
      <c r="X155" s="1">
        <v>0.15</v>
      </c>
      <c r="Y155" s="1"/>
      <c r="Z155" s="1"/>
      <c r="AA155" s="1"/>
      <c r="AB155" s="52"/>
      <c r="AC155" s="52"/>
      <c r="AD155" s="52"/>
      <c r="AE155" s="52"/>
      <c r="AF155" s="1"/>
      <c r="AG155" s="1"/>
      <c r="AJ155" s="52" t="s">
        <v>73</v>
      </c>
      <c r="AK155" s="52"/>
      <c r="AL155" s="52"/>
      <c r="AM155" s="52"/>
      <c r="AN155" s="1">
        <v>0.15</v>
      </c>
      <c r="AO155" s="1"/>
      <c r="AP155" s="1"/>
      <c r="AQ155" s="1"/>
      <c r="AR155" s="52"/>
      <c r="AS155" s="52"/>
      <c r="AT155" s="52"/>
      <c r="AU155" s="52"/>
      <c r="AV155" s="1"/>
      <c r="AW155" s="1"/>
      <c r="AZ155" s="52" t="s">
        <v>73</v>
      </c>
      <c r="BA155" s="52"/>
      <c r="BB155" s="52"/>
      <c r="BC155" s="52"/>
      <c r="BD155" s="1">
        <v>0.15</v>
      </c>
      <c r="BE155" s="1"/>
      <c r="BF155" s="1"/>
      <c r="BG155" s="1"/>
      <c r="BH155" s="52"/>
      <c r="BI155" s="52"/>
      <c r="BJ155" s="52"/>
      <c r="BK155" s="52"/>
      <c r="BL155" s="1"/>
      <c r="BM155" s="1"/>
    </row>
    <row r="156" spans="2:65" x14ac:dyDescent="0.25">
      <c r="B156" s="52" t="s">
        <v>74</v>
      </c>
      <c r="C156" s="52"/>
      <c r="D156" s="52"/>
      <c r="E156" s="52"/>
      <c r="F156" s="1">
        <v>1</v>
      </c>
      <c r="G156" s="1"/>
      <c r="H156" s="1"/>
      <c r="I156" s="1"/>
      <c r="J156" s="52"/>
      <c r="K156" s="52"/>
      <c r="L156" s="52"/>
      <c r="M156" s="52"/>
      <c r="N156" s="1"/>
      <c r="O156" s="1"/>
      <c r="T156" s="52" t="s">
        <v>74</v>
      </c>
      <c r="U156" s="52"/>
      <c r="V156" s="52"/>
      <c r="W156" s="52"/>
      <c r="X156" s="1">
        <v>1</v>
      </c>
      <c r="Y156" s="1"/>
      <c r="Z156" s="1"/>
      <c r="AA156" s="1"/>
      <c r="AB156" s="52"/>
      <c r="AC156" s="52"/>
      <c r="AD156" s="52"/>
      <c r="AE156" s="52"/>
      <c r="AF156" s="1"/>
      <c r="AG156" s="1"/>
      <c r="AJ156" s="52" t="s">
        <v>74</v>
      </c>
      <c r="AK156" s="52"/>
      <c r="AL156" s="52"/>
      <c r="AM156" s="52"/>
      <c r="AN156" s="1">
        <v>1</v>
      </c>
      <c r="AO156" s="1"/>
      <c r="AP156" s="1"/>
      <c r="AQ156" s="1"/>
      <c r="AR156" s="52"/>
      <c r="AS156" s="52"/>
      <c r="AT156" s="52"/>
      <c r="AU156" s="52"/>
      <c r="AV156" s="1"/>
      <c r="AW156" s="1"/>
      <c r="AZ156" s="52" t="s">
        <v>74</v>
      </c>
      <c r="BA156" s="52"/>
      <c r="BB156" s="52"/>
      <c r="BC156" s="52"/>
      <c r="BD156" s="1">
        <v>1</v>
      </c>
      <c r="BE156" s="1"/>
      <c r="BF156" s="1"/>
      <c r="BG156" s="1"/>
      <c r="BH156" s="52"/>
      <c r="BI156" s="52"/>
      <c r="BJ156" s="52"/>
      <c r="BK156" s="52"/>
      <c r="BL156" s="1"/>
      <c r="BM156" s="1"/>
    </row>
    <row r="157" spans="2:65" x14ac:dyDescent="0.25">
      <c r="B157" s="52" t="s">
        <v>69</v>
      </c>
      <c r="C157" s="52"/>
      <c r="D157" s="52"/>
      <c r="E157" s="52"/>
      <c r="F157" s="8">
        <f>1+(F152*((F153*F154)+(F155*F156)))</f>
        <v>1.14375</v>
      </c>
      <c r="G157" s="1"/>
      <c r="H157" s="1"/>
      <c r="I157" s="1"/>
      <c r="J157" s="52"/>
      <c r="K157" s="52"/>
      <c r="L157" s="52"/>
      <c r="M157" s="52"/>
      <c r="N157" s="1"/>
      <c r="O157" s="1"/>
      <c r="T157" s="52" t="s">
        <v>69</v>
      </c>
      <c r="U157" s="52"/>
      <c r="V157" s="52"/>
      <c r="W157" s="52"/>
      <c r="X157" s="8">
        <f>1+(X152*((X153*X154)+(X155*X156)))</f>
        <v>1.1539383561643834</v>
      </c>
      <c r="Y157" s="1"/>
      <c r="Z157" s="1"/>
      <c r="AA157" s="1"/>
      <c r="AB157" s="52"/>
      <c r="AC157" s="52"/>
      <c r="AD157" s="52"/>
      <c r="AE157" s="52"/>
      <c r="AF157" s="1"/>
      <c r="AG157" s="1"/>
      <c r="AJ157" s="52" t="s">
        <v>69</v>
      </c>
      <c r="AK157" s="52"/>
      <c r="AL157" s="52"/>
      <c r="AM157" s="52"/>
      <c r="AN157" s="8">
        <f>1+(AN152*((AN153*AN154)+(AN155*AN156)))</f>
        <v>1.14375</v>
      </c>
      <c r="AO157" s="1"/>
      <c r="AP157" s="1"/>
      <c r="AQ157" s="1"/>
      <c r="AR157" s="52"/>
      <c r="AS157" s="52"/>
      <c r="AT157" s="52"/>
      <c r="AU157" s="52"/>
      <c r="AV157" s="1"/>
      <c r="AW157" s="1"/>
      <c r="AZ157" s="52" t="s">
        <v>69</v>
      </c>
      <c r="BA157" s="52"/>
      <c r="BB157" s="52"/>
      <c r="BC157" s="52"/>
      <c r="BD157" s="8">
        <f>1+(BD152*((BD153*BD154)+(BD155*BD156)))</f>
        <v>1.1561332312998582</v>
      </c>
      <c r="BE157" s="1"/>
      <c r="BF157" s="1"/>
      <c r="BG157" s="1"/>
      <c r="BH157" s="52"/>
      <c r="BI157" s="52"/>
      <c r="BJ157" s="52"/>
      <c r="BK157" s="52"/>
      <c r="BL157" s="1"/>
      <c r="BM157" s="1"/>
    </row>
    <row r="158" spans="2:65" x14ac:dyDescent="0.25">
      <c r="B158" s="52" t="s">
        <v>90</v>
      </c>
      <c r="C158" s="52"/>
      <c r="D158" s="52"/>
      <c r="E158" s="52"/>
      <c r="F158" s="1">
        <v>2300</v>
      </c>
      <c r="G158" s="1"/>
      <c r="H158" s="1"/>
      <c r="I158" s="1"/>
      <c r="J158" s="52"/>
      <c r="K158" s="52"/>
      <c r="L158" s="52"/>
      <c r="M158" s="52"/>
      <c r="N158" s="1"/>
      <c r="O158" s="1"/>
      <c r="T158" s="52" t="s">
        <v>90</v>
      </c>
      <c r="U158" s="52"/>
      <c r="V158" s="52"/>
      <c r="W158" s="52"/>
      <c r="X158" s="1">
        <v>2300</v>
      </c>
      <c r="Y158" s="1"/>
      <c r="Z158" s="1"/>
      <c r="AA158" s="1"/>
      <c r="AB158" s="52"/>
      <c r="AC158" s="52"/>
      <c r="AD158" s="52"/>
      <c r="AE158" s="52"/>
      <c r="AF158" s="1"/>
      <c r="AG158" s="1"/>
      <c r="AJ158" s="52" t="s">
        <v>90</v>
      </c>
      <c r="AK158" s="52"/>
      <c r="AL158" s="52"/>
      <c r="AM158" s="52"/>
      <c r="AN158" s="1">
        <v>2300</v>
      </c>
      <c r="AO158" s="1"/>
      <c r="AP158" s="1"/>
      <c r="AQ158" s="1"/>
      <c r="AR158" s="52"/>
      <c r="AS158" s="52"/>
      <c r="AT158" s="52"/>
      <c r="AU158" s="52"/>
      <c r="AV158" s="1"/>
      <c r="AW158" s="1"/>
      <c r="AZ158" s="52" t="s">
        <v>90</v>
      </c>
      <c r="BA158" s="52"/>
      <c r="BB158" s="52"/>
      <c r="BC158" s="52"/>
      <c r="BD158" s="1">
        <v>2300</v>
      </c>
      <c r="BE158" s="1"/>
      <c r="BF158" s="1"/>
      <c r="BG158" s="1"/>
      <c r="BH158" s="52"/>
      <c r="BI158" s="52"/>
      <c r="BJ158" s="52"/>
      <c r="BK158" s="52"/>
      <c r="BL158" s="1"/>
      <c r="BM158" s="1"/>
    </row>
    <row r="159" spans="2:65" x14ac:dyDescent="0.25">
      <c r="B159" s="52" t="s">
        <v>75</v>
      </c>
      <c r="C159" s="52"/>
      <c r="D159" s="52"/>
      <c r="E159" s="52"/>
      <c r="F159" s="1">
        <v>1</v>
      </c>
      <c r="G159" s="1"/>
      <c r="H159" s="1"/>
      <c r="I159" s="1"/>
      <c r="J159" s="52"/>
      <c r="K159" s="52"/>
      <c r="L159" s="52"/>
      <c r="M159" s="52"/>
      <c r="N159" s="1"/>
      <c r="O159" s="1"/>
      <c r="T159" s="52" t="s">
        <v>75</v>
      </c>
      <c r="U159" s="52"/>
      <c r="V159" s="52"/>
      <c r="W159" s="52"/>
      <c r="X159" s="1">
        <v>1</v>
      </c>
      <c r="Y159" s="1"/>
      <c r="Z159" s="1"/>
      <c r="AA159" s="1"/>
      <c r="AB159" s="52"/>
      <c r="AC159" s="52"/>
      <c r="AD159" s="52"/>
      <c r="AE159" s="52"/>
      <c r="AF159" s="1"/>
      <c r="AG159" s="1"/>
      <c r="AJ159" s="52" t="s">
        <v>75</v>
      </c>
      <c r="AK159" s="52"/>
      <c r="AL159" s="52"/>
      <c r="AM159" s="52"/>
      <c r="AN159" s="1">
        <v>1</v>
      </c>
      <c r="AO159" s="1"/>
      <c r="AP159" s="1"/>
      <c r="AQ159" s="1"/>
      <c r="AR159" s="52"/>
      <c r="AS159" s="52"/>
      <c r="AT159" s="52"/>
      <c r="AU159" s="52"/>
      <c r="AV159" s="1"/>
      <c r="AW159" s="1"/>
      <c r="AZ159" s="52" t="s">
        <v>75</v>
      </c>
      <c r="BA159" s="52"/>
      <c r="BB159" s="52"/>
      <c r="BC159" s="52"/>
      <c r="BD159" s="1">
        <v>1</v>
      </c>
      <c r="BE159" s="1"/>
      <c r="BF159" s="1"/>
      <c r="BG159" s="1"/>
      <c r="BH159" s="52"/>
      <c r="BI159" s="52"/>
      <c r="BJ159" s="52"/>
      <c r="BK159" s="52"/>
      <c r="BL159" s="1"/>
      <c r="BM159" s="1"/>
    </row>
    <row r="160" spans="2:65" x14ac:dyDescent="0.25">
      <c r="B160" s="52" t="s">
        <v>76</v>
      </c>
      <c r="C160" s="52"/>
      <c r="D160" s="52"/>
      <c r="E160" s="52"/>
      <c r="F160" s="1">
        <v>1</v>
      </c>
      <c r="G160" s="1"/>
      <c r="H160" s="1"/>
      <c r="I160" s="1"/>
      <c r="J160" s="52"/>
      <c r="K160" s="52"/>
      <c r="L160" s="52"/>
      <c r="M160" s="52"/>
      <c r="N160" s="1"/>
      <c r="O160" s="1"/>
      <c r="T160" s="52" t="s">
        <v>76</v>
      </c>
      <c r="U160" s="52"/>
      <c r="V160" s="52"/>
      <c r="W160" s="52"/>
      <c r="X160" s="1">
        <v>1</v>
      </c>
      <c r="Y160" s="1"/>
      <c r="Z160" s="1"/>
      <c r="AA160" s="1"/>
      <c r="AB160" s="52"/>
      <c r="AC160" s="52"/>
      <c r="AD160" s="52"/>
      <c r="AE160" s="52"/>
      <c r="AF160" s="1"/>
      <c r="AG160" s="1"/>
      <c r="AJ160" s="52" t="s">
        <v>76</v>
      </c>
      <c r="AK160" s="52"/>
      <c r="AL160" s="52"/>
      <c r="AM160" s="52"/>
      <c r="AN160" s="1">
        <v>1</v>
      </c>
      <c r="AO160" s="1"/>
      <c r="AP160" s="1"/>
      <c r="AQ160" s="1"/>
      <c r="AR160" s="52"/>
      <c r="AS160" s="52"/>
      <c r="AT160" s="52"/>
      <c r="AU160" s="52"/>
      <c r="AV160" s="1"/>
      <c r="AW160" s="1"/>
      <c r="AZ160" s="52" t="s">
        <v>76</v>
      </c>
      <c r="BA160" s="52"/>
      <c r="BB160" s="52"/>
      <c r="BC160" s="52"/>
      <c r="BD160" s="1">
        <v>1</v>
      </c>
      <c r="BE160" s="1"/>
      <c r="BF160" s="1"/>
      <c r="BG160" s="1"/>
      <c r="BH160" s="52"/>
      <c r="BI160" s="52"/>
      <c r="BJ160" s="52"/>
      <c r="BK160" s="52"/>
      <c r="BL160" s="1"/>
      <c r="BM160" s="1"/>
    </row>
    <row r="161" spans="2:65" x14ac:dyDescent="0.25">
      <c r="B161" s="52" t="s">
        <v>78</v>
      </c>
      <c r="C161" s="52"/>
      <c r="D161" s="52"/>
      <c r="E161" s="52"/>
      <c r="F161" s="1">
        <v>1</v>
      </c>
      <c r="G161" s="1"/>
      <c r="H161" s="1"/>
      <c r="I161" s="1"/>
      <c r="J161" s="52"/>
      <c r="K161" s="52"/>
      <c r="L161" s="52"/>
      <c r="M161" s="52"/>
      <c r="N161" s="1"/>
      <c r="O161" s="1"/>
      <c r="T161" s="52" t="s">
        <v>78</v>
      </c>
      <c r="U161" s="52"/>
      <c r="V161" s="52"/>
      <c r="W161" s="52"/>
      <c r="X161" s="1">
        <v>1</v>
      </c>
      <c r="Y161" s="1"/>
      <c r="Z161" s="1"/>
      <c r="AA161" s="1"/>
      <c r="AB161" s="52"/>
      <c r="AC161" s="52"/>
      <c r="AD161" s="52"/>
      <c r="AE161" s="52"/>
      <c r="AF161" s="1"/>
      <c r="AG161" s="1"/>
      <c r="AJ161" s="52" t="s">
        <v>78</v>
      </c>
      <c r="AK161" s="52"/>
      <c r="AL161" s="52"/>
      <c r="AM161" s="52"/>
      <c r="AN161" s="1">
        <v>1</v>
      </c>
      <c r="AO161" s="1"/>
      <c r="AP161" s="1"/>
      <c r="AQ161" s="1"/>
      <c r="AR161" s="52"/>
      <c r="AS161" s="52"/>
      <c r="AT161" s="52"/>
      <c r="AU161" s="52"/>
      <c r="AV161" s="1"/>
      <c r="AW161" s="1"/>
      <c r="AZ161" s="52" t="s">
        <v>78</v>
      </c>
      <c r="BA161" s="52"/>
      <c r="BB161" s="52"/>
      <c r="BC161" s="52"/>
      <c r="BD161" s="1">
        <v>1</v>
      </c>
      <c r="BE161" s="1"/>
      <c r="BF161" s="1"/>
      <c r="BG161" s="1"/>
      <c r="BH161" s="52"/>
      <c r="BI161" s="52"/>
      <c r="BJ161" s="52"/>
      <c r="BK161" s="52"/>
      <c r="BL161" s="1"/>
      <c r="BM161" s="1"/>
    </row>
    <row r="162" spans="2:65" x14ac:dyDescent="0.25">
      <c r="B162" s="52" t="s">
        <v>77</v>
      </c>
      <c r="C162" s="52"/>
      <c r="D162" s="52"/>
      <c r="E162" s="52"/>
      <c r="F162" s="1">
        <f>F158*SQRT(F$43*F159*F150*F160*(F157/(F$37*F151))*(1/F145))</f>
        <v>40376.101776226424</v>
      </c>
      <c r="G162" s="1" t="s">
        <v>82</v>
      </c>
      <c r="H162" s="1"/>
      <c r="I162" s="1"/>
      <c r="J162" s="52"/>
      <c r="K162" s="52"/>
      <c r="L162" s="52"/>
      <c r="M162" s="52"/>
      <c r="N162" s="1"/>
      <c r="O162" s="1"/>
      <c r="T162" s="52" t="s">
        <v>77</v>
      </c>
      <c r="U162" s="52"/>
      <c r="V162" s="52"/>
      <c r="W162" s="52"/>
      <c r="X162" s="1">
        <f>X158*SQRT(X$43*X159*X150*X160*(X157/(X$37*X151))*(1/X145))</f>
        <v>34837.266657973589</v>
      </c>
      <c r="Y162" s="1" t="s">
        <v>82</v>
      </c>
      <c r="Z162" s="1"/>
      <c r="AA162" s="1"/>
      <c r="AB162" s="52"/>
      <c r="AC162" s="52"/>
      <c r="AD162" s="52"/>
      <c r="AE162" s="52"/>
      <c r="AF162" s="1"/>
      <c r="AG162" s="1"/>
      <c r="AJ162" s="52" t="s">
        <v>77</v>
      </c>
      <c r="AK162" s="52"/>
      <c r="AL162" s="52"/>
      <c r="AM162" s="52"/>
      <c r="AN162" s="1">
        <f>AN158*SQRT(AN$43*AN159*AN150*AN160*(AN157/(AN$37*AN151))*(1/AN145))</f>
        <v>40376.101776226424</v>
      </c>
      <c r="AO162" s="1" t="s">
        <v>82</v>
      </c>
      <c r="AP162" s="1"/>
      <c r="AQ162" s="1"/>
      <c r="AR162" s="52"/>
      <c r="AS162" s="52"/>
      <c r="AT162" s="52"/>
      <c r="AU162" s="52"/>
      <c r="AV162" s="1"/>
      <c r="AW162" s="1"/>
      <c r="AZ162" s="52" t="s">
        <v>77</v>
      </c>
      <c r="BA162" s="52"/>
      <c r="BB162" s="52"/>
      <c r="BC162" s="52"/>
      <c r="BD162" s="1">
        <f>BD158*SQRT(BD$43*BD159*BD150*BD160*(BD157/(BD$37*BD151))*(1/BD145))</f>
        <v>34354.141322681833</v>
      </c>
      <c r="BE162" s="1" t="s">
        <v>82</v>
      </c>
      <c r="BF162" s="1"/>
      <c r="BG162" s="1"/>
      <c r="BH162" s="52"/>
      <c r="BI162" s="52"/>
      <c r="BJ162" s="52"/>
      <c r="BK162" s="52"/>
      <c r="BL162" s="1"/>
      <c r="BM162" s="1"/>
    </row>
    <row r="163" spans="2:65" x14ac:dyDescent="0.25">
      <c r="B163" s="52" t="s">
        <v>80</v>
      </c>
      <c r="C163" s="52"/>
      <c r="D163" s="52"/>
      <c r="E163" s="52"/>
      <c r="F163" s="1">
        <v>12000</v>
      </c>
      <c r="G163" s="1" t="s">
        <v>81</v>
      </c>
      <c r="H163" s="4"/>
      <c r="I163" s="4"/>
      <c r="J163" s="54"/>
      <c r="K163" s="54"/>
      <c r="L163" s="54"/>
      <c r="M163" s="54"/>
      <c r="N163" s="4"/>
      <c r="O163" s="1"/>
      <c r="T163" s="52" t="s">
        <v>80</v>
      </c>
      <c r="U163" s="52"/>
      <c r="V163" s="52"/>
      <c r="W163" s="52"/>
      <c r="X163" s="1">
        <v>12000</v>
      </c>
      <c r="Y163" s="1" t="s">
        <v>81</v>
      </c>
      <c r="Z163" s="4"/>
      <c r="AA163" s="4"/>
      <c r="AB163" s="54"/>
      <c r="AC163" s="54"/>
      <c r="AD163" s="54"/>
      <c r="AE163" s="54"/>
      <c r="AF163" s="4"/>
      <c r="AG163" s="1"/>
      <c r="AJ163" s="52" t="s">
        <v>80</v>
      </c>
      <c r="AK163" s="52"/>
      <c r="AL163" s="52"/>
      <c r="AM163" s="52"/>
      <c r="AN163" s="1">
        <v>12000</v>
      </c>
      <c r="AO163" s="1" t="s">
        <v>81</v>
      </c>
      <c r="AP163" s="4"/>
      <c r="AQ163" s="4"/>
      <c r="AR163" s="54"/>
      <c r="AS163" s="54"/>
      <c r="AT163" s="54"/>
      <c r="AU163" s="54"/>
      <c r="AV163" s="4"/>
      <c r="AW163" s="1"/>
      <c r="AZ163" s="52" t="s">
        <v>80</v>
      </c>
      <c r="BA163" s="52"/>
      <c r="BB163" s="52"/>
      <c r="BC163" s="52"/>
      <c r="BD163" s="1">
        <v>12000</v>
      </c>
      <c r="BE163" s="1" t="s">
        <v>81</v>
      </c>
      <c r="BF163" s="4"/>
      <c r="BG163" s="4"/>
      <c r="BH163" s="54"/>
      <c r="BI163" s="54"/>
      <c r="BJ163" s="54"/>
      <c r="BK163" s="54"/>
      <c r="BL163" s="4"/>
      <c r="BM163" s="1"/>
    </row>
    <row r="164" spans="2:65" x14ac:dyDescent="0.25">
      <c r="B164" s="52" t="s">
        <v>79</v>
      </c>
      <c r="C164" s="52"/>
      <c r="D164" s="52"/>
      <c r="E164" s="52"/>
      <c r="F164" s="17">
        <f>F163*60*F$28</f>
        <v>280000000</v>
      </c>
      <c r="G164" s="1"/>
      <c r="H164" s="1"/>
      <c r="I164" s="1"/>
      <c r="J164" s="52"/>
      <c r="K164" s="52"/>
      <c r="L164" s="52"/>
      <c r="M164" s="52"/>
      <c r="N164" s="1"/>
      <c r="O164" s="1"/>
      <c r="T164" s="52" t="s">
        <v>79</v>
      </c>
      <c r="U164" s="52"/>
      <c r="V164" s="52"/>
      <c r="W164" s="52"/>
      <c r="X164" s="17">
        <f>X163*60*X$28</f>
        <v>276164383.56164378</v>
      </c>
      <c r="Y164" s="1"/>
      <c r="Z164" s="1"/>
      <c r="AA164" s="1"/>
      <c r="AB164" s="52"/>
      <c r="AC164" s="52"/>
      <c r="AD164" s="52"/>
      <c r="AE164" s="52"/>
      <c r="AF164" s="1"/>
      <c r="AG164" s="1"/>
      <c r="AJ164" s="52" t="s">
        <v>79</v>
      </c>
      <c r="AK164" s="52"/>
      <c r="AL164" s="52"/>
      <c r="AM164" s="52"/>
      <c r="AN164" s="17">
        <f>AN163*60*AN$28</f>
        <v>280000000</v>
      </c>
      <c r="AO164" s="1"/>
      <c r="AP164" s="1"/>
      <c r="AQ164" s="1"/>
      <c r="AR164" s="52"/>
      <c r="AS164" s="52"/>
      <c r="AT164" s="52"/>
      <c r="AU164" s="52"/>
      <c r="AV164" s="1"/>
      <c r="AW164" s="1"/>
      <c r="AZ164" s="52" t="s">
        <v>79</v>
      </c>
      <c r="BA164" s="52"/>
      <c r="BB164" s="52"/>
      <c r="BC164" s="52"/>
      <c r="BD164" s="17">
        <f>BD163*60*BD$28</f>
        <v>280000000</v>
      </c>
      <c r="BE164" s="1"/>
      <c r="BF164" s="1"/>
      <c r="BG164" s="1"/>
      <c r="BH164" s="52"/>
      <c r="BI164" s="52"/>
      <c r="BJ164" s="52"/>
      <c r="BK164" s="52"/>
      <c r="BL164" s="1"/>
      <c r="BM164" s="1"/>
    </row>
    <row r="165" spans="2:65" x14ac:dyDescent="0.25">
      <c r="B165" s="52" t="s">
        <v>83</v>
      </c>
      <c r="C165" s="52"/>
      <c r="D165" s="52"/>
      <c r="E165" s="52"/>
      <c r="F165" s="1">
        <v>0.92</v>
      </c>
      <c r="G165" s="1"/>
      <c r="H165" s="1"/>
      <c r="I165" s="1"/>
      <c r="J165" s="52"/>
      <c r="K165" s="52"/>
      <c r="L165" s="52"/>
      <c r="M165" s="52"/>
      <c r="N165" s="1"/>
      <c r="O165" s="1"/>
      <c r="T165" s="52" t="s">
        <v>83</v>
      </c>
      <c r="U165" s="52"/>
      <c r="V165" s="52"/>
      <c r="W165" s="52"/>
      <c r="X165" s="1">
        <v>0.92</v>
      </c>
      <c r="Y165" s="1"/>
      <c r="Z165" s="1"/>
      <c r="AA165" s="1"/>
      <c r="AB165" s="52"/>
      <c r="AC165" s="52"/>
      <c r="AD165" s="52"/>
      <c r="AE165" s="52"/>
      <c r="AF165" s="1"/>
      <c r="AG165" s="1"/>
      <c r="AJ165" s="52" t="s">
        <v>83</v>
      </c>
      <c r="AK165" s="52"/>
      <c r="AL165" s="52"/>
      <c r="AM165" s="52"/>
      <c r="AN165" s="1">
        <v>0.92</v>
      </c>
      <c r="AO165" s="1"/>
      <c r="AP165" s="1"/>
      <c r="AQ165" s="1"/>
      <c r="AR165" s="52"/>
      <c r="AS165" s="52"/>
      <c r="AT165" s="52"/>
      <c r="AU165" s="52"/>
      <c r="AV165" s="1"/>
      <c r="AW165" s="1"/>
      <c r="AZ165" s="52" t="s">
        <v>83</v>
      </c>
      <c r="BA165" s="52"/>
      <c r="BB165" s="52"/>
      <c r="BC165" s="52"/>
      <c r="BD165" s="1">
        <v>0.92</v>
      </c>
      <c r="BE165" s="1"/>
      <c r="BF165" s="1"/>
      <c r="BG165" s="1"/>
      <c r="BH165" s="52"/>
      <c r="BI165" s="52"/>
      <c r="BJ165" s="52"/>
      <c r="BK165" s="52"/>
      <c r="BL165" s="1"/>
      <c r="BM165" s="1"/>
    </row>
    <row r="166" spans="2:65" x14ac:dyDescent="0.25">
      <c r="B166" s="52" t="s">
        <v>84</v>
      </c>
      <c r="C166" s="52"/>
      <c r="D166" s="52"/>
      <c r="E166" s="52"/>
      <c r="F166" s="1">
        <v>1</v>
      </c>
      <c r="G166" s="1"/>
      <c r="H166" s="1"/>
      <c r="I166" s="1"/>
      <c r="J166" s="52"/>
      <c r="K166" s="52"/>
      <c r="L166" s="52"/>
      <c r="M166" s="52"/>
      <c r="N166" s="1"/>
      <c r="O166" s="1"/>
      <c r="T166" s="52" t="s">
        <v>84</v>
      </c>
      <c r="U166" s="52"/>
      <c r="V166" s="52"/>
      <c r="W166" s="52"/>
      <c r="X166" s="1">
        <v>1</v>
      </c>
      <c r="Y166" s="1"/>
      <c r="Z166" s="1"/>
      <c r="AA166" s="1"/>
      <c r="AB166" s="52"/>
      <c r="AC166" s="52"/>
      <c r="AD166" s="52"/>
      <c r="AE166" s="52"/>
      <c r="AF166" s="1"/>
      <c r="AG166" s="1"/>
      <c r="AJ166" s="52" t="s">
        <v>84</v>
      </c>
      <c r="AK166" s="52"/>
      <c r="AL166" s="52"/>
      <c r="AM166" s="52"/>
      <c r="AN166" s="1">
        <v>1</v>
      </c>
      <c r="AO166" s="1"/>
      <c r="AP166" s="1"/>
      <c r="AQ166" s="1"/>
      <c r="AR166" s="52"/>
      <c r="AS166" s="52"/>
      <c r="AT166" s="52"/>
      <c r="AU166" s="52"/>
      <c r="AV166" s="1"/>
      <c r="AW166" s="1"/>
      <c r="AZ166" s="52" t="s">
        <v>84</v>
      </c>
      <c r="BA166" s="52"/>
      <c r="BB166" s="52"/>
      <c r="BC166" s="52"/>
      <c r="BD166" s="1">
        <v>1</v>
      </c>
      <c r="BE166" s="1"/>
      <c r="BF166" s="1"/>
      <c r="BG166" s="1"/>
      <c r="BH166" s="52"/>
      <c r="BI166" s="52"/>
      <c r="BJ166" s="52"/>
      <c r="BK166" s="52"/>
      <c r="BL166" s="1"/>
      <c r="BM166" s="1"/>
    </row>
    <row r="167" spans="2:65" x14ac:dyDescent="0.25">
      <c r="B167" s="52" t="s">
        <v>85</v>
      </c>
      <c r="C167" s="52"/>
      <c r="D167" s="52"/>
      <c r="E167" s="52"/>
      <c r="F167" s="1">
        <v>1</v>
      </c>
      <c r="G167" s="1"/>
      <c r="H167" s="1"/>
      <c r="I167" s="1"/>
      <c r="J167" s="52"/>
      <c r="K167" s="52"/>
      <c r="L167" s="52"/>
      <c r="M167" s="52"/>
      <c r="N167" s="1"/>
      <c r="O167" s="1"/>
      <c r="T167" s="52" t="s">
        <v>85</v>
      </c>
      <c r="U167" s="52"/>
      <c r="V167" s="52"/>
      <c r="W167" s="52"/>
      <c r="X167" s="1">
        <v>1</v>
      </c>
      <c r="Y167" s="1"/>
      <c r="Z167" s="1"/>
      <c r="AA167" s="1"/>
      <c r="AB167" s="52"/>
      <c r="AC167" s="52"/>
      <c r="AD167" s="52"/>
      <c r="AE167" s="52"/>
      <c r="AF167" s="1"/>
      <c r="AG167" s="1"/>
      <c r="AJ167" s="52" t="s">
        <v>85</v>
      </c>
      <c r="AK167" s="52"/>
      <c r="AL167" s="52"/>
      <c r="AM167" s="52"/>
      <c r="AN167" s="1">
        <v>1</v>
      </c>
      <c r="AO167" s="1"/>
      <c r="AP167" s="1"/>
      <c r="AQ167" s="1"/>
      <c r="AR167" s="52"/>
      <c r="AS167" s="52"/>
      <c r="AT167" s="52"/>
      <c r="AU167" s="52"/>
      <c r="AV167" s="1"/>
      <c r="AW167" s="1"/>
      <c r="AZ167" s="52" t="s">
        <v>85</v>
      </c>
      <c r="BA167" s="52"/>
      <c r="BB167" s="52"/>
      <c r="BC167" s="52"/>
      <c r="BD167" s="1">
        <v>1</v>
      </c>
      <c r="BE167" s="1"/>
      <c r="BF167" s="1"/>
      <c r="BG167" s="1"/>
      <c r="BH167" s="52"/>
      <c r="BI167" s="52"/>
      <c r="BJ167" s="52"/>
      <c r="BK167" s="52"/>
      <c r="BL167" s="1"/>
      <c r="BM167" s="1"/>
    </row>
    <row r="168" spans="2:65" x14ac:dyDescent="0.25">
      <c r="B168" s="52" t="s">
        <v>86</v>
      </c>
      <c r="C168" s="52"/>
      <c r="D168" s="52"/>
      <c r="E168" s="52"/>
      <c r="F168" s="1">
        <v>1</v>
      </c>
      <c r="G168" s="1"/>
      <c r="H168" s="1"/>
      <c r="I168" s="1"/>
      <c r="J168" s="52"/>
      <c r="K168" s="52"/>
      <c r="L168" s="52"/>
      <c r="M168" s="52"/>
      <c r="N168" s="1"/>
      <c r="O168" s="1"/>
      <c r="T168" s="52" t="s">
        <v>86</v>
      </c>
      <c r="U168" s="52"/>
      <c r="V168" s="52"/>
      <c r="W168" s="52"/>
      <c r="X168" s="1">
        <v>1</v>
      </c>
      <c r="Y168" s="1"/>
      <c r="Z168" s="1"/>
      <c r="AA168" s="1"/>
      <c r="AB168" s="52"/>
      <c r="AC168" s="52"/>
      <c r="AD168" s="52"/>
      <c r="AE168" s="52"/>
      <c r="AF168" s="1"/>
      <c r="AG168" s="1"/>
      <c r="AJ168" s="52" t="s">
        <v>86</v>
      </c>
      <c r="AK168" s="52"/>
      <c r="AL168" s="52"/>
      <c r="AM168" s="52"/>
      <c r="AN168" s="1">
        <v>1</v>
      </c>
      <c r="AO168" s="1"/>
      <c r="AP168" s="1"/>
      <c r="AQ168" s="1"/>
      <c r="AR168" s="52"/>
      <c r="AS168" s="52"/>
      <c r="AT168" s="52"/>
      <c r="AU168" s="52"/>
      <c r="AV168" s="1"/>
      <c r="AW168" s="1"/>
      <c r="AZ168" s="52" t="s">
        <v>86</v>
      </c>
      <c r="BA168" s="52"/>
      <c r="BB168" s="52"/>
      <c r="BC168" s="52"/>
      <c r="BD168" s="1">
        <v>1</v>
      </c>
      <c r="BE168" s="1"/>
      <c r="BF168" s="1"/>
      <c r="BG168" s="1"/>
      <c r="BH168" s="52"/>
      <c r="BI168" s="52"/>
      <c r="BJ168" s="52"/>
      <c r="BK168" s="52"/>
      <c r="BL168" s="1"/>
      <c r="BM168" s="1"/>
    </row>
    <row r="169" spans="2:65" x14ac:dyDescent="0.25">
      <c r="B169" s="52" t="s">
        <v>87</v>
      </c>
      <c r="C169" s="52"/>
      <c r="D169" s="52"/>
      <c r="E169" s="52"/>
      <c r="F169" s="1">
        <v>1.2</v>
      </c>
      <c r="G169" s="1"/>
      <c r="H169" s="1"/>
      <c r="I169" s="1"/>
      <c r="J169" s="52"/>
      <c r="K169" s="52"/>
      <c r="L169" s="52"/>
      <c r="M169" s="52"/>
      <c r="N169" s="1"/>
      <c r="O169" s="1"/>
      <c r="T169" s="52" t="s">
        <v>87</v>
      </c>
      <c r="U169" s="52"/>
      <c r="V169" s="52"/>
      <c r="W169" s="52"/>
      <c r="X169" s="1">
        <v>1.2</v>
      </c>
      <c r="Y169" s="1"/>
      <c r="Z169" s="1"/>
      <c r="AA169" s="1"/>
      <c r="AB169" s="52"/>
      <c r="AC169" s="52"/>
      <c r="AD169" s="52"/>
      <c r="AE169" s="52"/>
      <c r="AF169" s="1"/>
      <c r="AG169" s="1"/>
      <c r="AJ169" s="52" t="s">
        <v>87</v>
      </c>
      <c r="AK169" s="52"/>
      <c r="AL169" s="52"/>
      <c r="AM169" s="52"/>
      <c r="AN169" s="1">
        <v>1.2</v>
      </c>
      <c r="AO169" s="1"/>
      <c r="AP169" s="1"/>
      <c r="AQ169" s="1"/>
      <c r="AR169" s="52"/>
      <c r="AS169" s="52"/>
      <c r="AT169" s="52"/>
      <c r="AU169" s="52"/>
      <c r="AV169" s="1"/>
      <c r="AW169" s="1"/>
      <c r="AZ169" s="52" t="s">
        <v>87</v>
      </c>
      <c r="BA169" s="52"/>
      <c r="BB169" s="52"/>
      <c r="BC169" s="52"/>
      <c r="BD169" s="1">
        <v>1.2</v>
      </c>
      <c r="BE169" s="1"/>
      <c r="BF169" s="1"/>
      <c r="BG169" s="1"/>
      <c r="BH169" s="52"/>
      <c r="BI169" s="52"/>
      <c r="BJ169" s="52"/>
      <c r="BK169" s="52"/>
      <c r="BL169" s="1"/>
      <c r="BM169" s="1"/>
    </row>
    <row r="170" spans="2:65" x14ac:dyDescent="0.25">
      <c r="B170" s="52" t="s">
        <v>88</v>
      </c>
      <c r="C170" s="52"/>
      <c r="D170" s="52"/>
      <c r="E170" s="52"/>
      <c r="F170" s="1">
        <f>(F162*F169)/F165</f>
        <v>52664.480577686634</v>
      </c>
      <c r="G170" s="1" t="s">
        <v>82</v>
      </c>
      <c r="H170" s="1"/>
      <c r="I170" s="1"/>
      <c r="J170" s="52"/>
      <c r="K170" s="52"/>
      <c r="L170" s="52"/>
      <c r="M170" s="52"/>
      <c r="N170" s="1"/>
      <c r="O170" s="1"/>
      <c r="T170" s="52" t="s">
        <v>88</v>
      </c>
      <c r="U170" s="52"/>
      <c r="V170" s="52"/>
      <c r="W170" s="52"/>
      <c r="X170" s="1">
        <f>(X162*X169)/X165</f>
        <v>45439.913032139462</v>
      </c>
      <c r="Y170" s="1" t="s">
        <v>82</v>
      </c>
      <c r="Z170" s="1"/>
      <c r="AA170" s="1"/>
      <c r="AB170" s="52"/>
      <c r="AC170" s="52"/>
      <c r="AD170" s="52"/>
      <c r="AE170" s="52"/>
      <c r="AF170" s="1"/>
      <c r="AG170" s="1"/>
      <c r="AJ170" s="52" t="s">
        <v>88</v>
      </c>
      <c r="AK170" s="52"/>
      <c r="AL170" s="52"/>
      <c r="AM170" s="52"/>
      <c r="AN170" s="1">
        <f>(AN162*AN169)/AN165</f>
        <v>52664.480577686634</v>
      </c>
      <c r="AO170" s="1" t="s">
        <v>82</v>
      </c>
      <c r="AP170" s="1"/>
      <c r="AQ170" s="1"/>
      <c r="AR170" s="52"/>
      <c r="AS170" s="52"/>
      <c r="AT170" s="52"/>
      <c r="AU170" s="52"/>
      <c r="AV170" s="1"/>
      <c r="AW170" s="1"/>
      <c r="AZ170" s="52" t="s">
        <v>88</v>
      </c>
      <c r="BA170" s="52"/>
      <c r="BB170" s="52"/>
      <c r="BC170" s="52"/>
      <c r="BD170" s="1">
        <f>(BD162*BD169)/BD165</f>
        <v>44809.74955132413</v>
      </c>
      <c r="BE170" s="1" t="s">
        <v>82</v>
      </c>
      <c r="BF170" s="1"/>
      <c r="BG170" s="1"/>
      <c r="BH170" s="52"/>
      <c r="BI170" s="52"/>
      <c r="BJ170" s="52"/>
      <c r="BK170" s="52"/>
      <c r="BL170" s="1"/>
      <c r="BM170" s="1"/>
    </row>
    <row r="171" spans="2:65" x14ac:dyDescent="0.25">
      <c r="B171" s="52" t="s">
        <v>91</v>
      </c>
      <c r="C171" s="52"/>
      <c r="D171" s="52"/>
      <c r="E171" s="52"/>
      <c r="F171" s="1">
        <v>93500</v>
      </c>
      <c r="G171" s="1" t="s">
        <v>82</v>
      </c>
      <c r="H171" s="1" t="s">
        <v>108</v>
      </c>
      <c r="I171" s="1"/>
      <c r="J171" s="4"/>
      <c r="K171" s="4"/>
      <c r="L171" s="4"/>
      <c r="M171" s="4"/>
      <c r="N171" s="1"/>
      <c r="O171" s="1"/>
      <c r="T171" s="52" t="s">
        <v>91</v>
      </c>
      <c r="U171" s="52"/>
      <c r="V171" s="52"/>
      <c r="W171" s="52"/>
      <c r="X171" s="1">
        <v>93500</v>
      </c>
      <c r="Y171" s="1" t="s">
        <v>82</v>
      </c>
      <c r="Z171" s="1" t="s">
        <v>108</v>
      </c>
      <c r="AA171" s="1"/>
      <c r="AB171" s="4"/>
      <c r="AC171" s="4"/>
      <c r="AD171" s="4"/>
      <c r="AE171" s="4"/>
      <c r="AF171" s="1"/>
      <c r="AG171" s="1"/>
      <c r="AJ171" s="52" t="s">
        <v>91</v>
      </c>
      <c r="AK171" s="52"/>
      <c r="AL171" s="52"/>
      <c r="AM171" s="52"/>
      <c r="AN171" s="1">
        <v>93500</v>
      </c>
      <c r="AO171" s="1" t="s">
        <v>82</v>
      </c>
      <c r="AP171" s="1" t="s">
        <v>108</v>
      </c>
      <c r="AQ171" s="1"/>
      <c r="AR171" s="4"/>
      <c r="AS171" s="4"/>
      <c r="AT171" s="4"/>
      <c r="AU171" s="4"/>
      <c r="AV171" s="1"/>
      <c r="AW171" s="1"/>
      <c r="AZ171" s="52" t="s">
        <v>91</v>
      </c>
      <c r="BA171" s="52"/>
      <c r="BB171" s="52"/>
      <c r="BC171" s="52"/>
      <c r="BD171" s="1">
        <v>93500</v>
      </c>
      <c r="BE171" s="1" t="s">
        <v>82</v>
      </c>
      <c r="BF171" s="1" t="s">
        <v>108</v>
      </c>
      <c r="BG171" s="1"/>
      <c r="BH171" s="4"/>
      <c r="BI171" s="4"/>
      <c r="BJ171" s="4"/>
      <c r="BK171" s="4"/>
      <c r="BL171" s="1"/>
      <c r="BM171" s="1"/>
    </row>
    <row r="172" spans="2:65" x14ac:dyDescent="0.25">
      <c r="B172" s="52" t="s">
        <v>89</v>
      </c>
      <c r="C172" s="52"/>
      <c r="D172" s="52"/>
      <c r="E172" s="52"/>
      <c r="F172" s="1">
        <f>(F171*F165)/F162</f>
        <v>2.130468178348234</v>
      </c>
      <c r="G172" s="1" t="str">
        <f>IF(F172&gt;F169,$S$74,$S$75)</f>
        <v>Cumple</v>
      </c>
      <c r="H172" s="1"/>
      <c r="I172" s="1"/>
      <c r="J172" s="52"/>
      <c r="K172" s="52"/>
      <c r="L172" s="52"/>
      <c r="M172" s="52"/>
      <c r="N172" s="1"/>
      <c r="O172" s="1"/>
      <c r="T172" s="52" t="s">
        <v>89</v>
      </c>
      <c r="U172" s="52"/>
      <c r="V172" s="52"/>
      <c r="W172" s="52"/>
      <c r="X172" s="1">
        <f>(X171*X165)/X162</f>
        <v>2.4691948666504135</v>
      </c>
      <c r="Y172" s="1" t="str">
        <f>IF(X172&gt;X169,$S$74,$S$75)</f>
        <v>Cumple</v>
      </c>
      <c r="Z172" s="1"/>
      <c r="AA172" s="1"/>
      <c r="AB172" s="52"/>
      <c r="AC172" s="52"/>
      <c r="AD172" s="52"/>
      <c r="AE172" s="52"/>
      <c r="AF172" s="1"/>
      <c r="AG172" s="1"/>
      <c r="AJ172" s="52" t="s">
        <v>89</v>
      </c>
      <c r="AK172" s="52"/>
      <c r="AL172" s="52"/>
      <c r="AM172" s="52"/>
      <c r="AN172" s="1">
        <f>(AN171*AN165)/AN162</f>
        <v>2.130468178348234</v>
      </c>
      <c r="AO172" s="1" t="str">
        <f>IF(AN172&gt;AN169,$S$74,$S$75)</f>
        <v>Cumple</v>
      </c>
      <c r="AP172" s="1"/>
      <c r="AQ172" s="1"/>
      <c r="AR172" s="52"/>
      <c r="AS172" s="52"/>
      <c r="AT172" s="52"/>
      <c r="AU172" s="52"/>
      <c r="AV172" s="1"/>
      <c r="AW172" s="1"/>
      <c r="AZ172" s="52" t="s">
        <v>89</v>
      </c>
      <c r="BA172" s="52"/>
      <c r="BB172" s="52"/>
      <c r="BC172" s="52"/>
      <c r="BD172" s="1">
        <f>(BD171*BD165)/BD162</f>
        <v>2.5039193729812865</v>
      </c>
      <c r="BE172" s="1" t="str">
        <f>IF(BD172&gt;BD169,$S$74,$S$75)</f>
        <v>Cumple</v>
      </c>
      <c r="BF172" s="1"/>
      <c r="BG172" s="1"/>
      <c r="BH172" s="52"/>
      <c r="BI172" s="52"/>
      <c r="BJ172" s="52"/>
      <c r="BK172" s="52"/>
      <c r="BL172" s="1"/>
      <c r="BM172" s="1"/>
    </row>
    <row r="173" spans="2:65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2:65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2:65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2:65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2:65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2:65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2:65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2:65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2:65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2:65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2:65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2:65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2:65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2:65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2:65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2:65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2:65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2:65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2:65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2:65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2:15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2:15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</sheetData>
  <mergeCells count="1092">
    <mergeCell ref="J52:M52"/>
    <mergeCell ref="J53:M53"/>
    <mergeCell ref="B30:E30"/>
    <mergeCell ref="I23:L23"/>
    <mergeCell ref="I24:L24"/>
    <mergeCell ref="I25:L25"/>
    <mergeCell ref="B27:E27"/>
    <mergeCell ref="B28:E28"/>
    <mergeCell ref="B29:E29"/>
    <mergeCell ref="I26:L26"/>
    <mergeCell ref="I27:L27"/>
    <mergeCell ref="I28:L28"/>
    <mergeCell ref="I29:L29"/>
    <mergeCell ref="I30:L30"/>
    <mergeCell ref="B33:E33"/>
    <mergeCell ref="B34:E34"/>
    <mergeCell ref="B35:E35"/>
    <mergeCell ref="B32:E32"/>
    <mergeCell ref="B21:E21"/>
    <mergeCell ref="B22:E22"/>
    <mergeCell ref="B23:E23"/>
    <mergeCell ref="B24:E24"/>
    <mergeCell ref="B25:E25"/>
    <mergeCell ref="B26:E26"/>
    <mergeCell ref="B55:E55"/>
    <mergeCell ref="B56:E56"/>
    <mergeCell ref="B57:E57"/>
    <mergeCell ref="B44:E44"/>
    <mergeCell ref="B45:E45"/>
    <mergeCell ref="B46:E46"/>
    <mergeCell ref="J54:M54"/>
    <mergeCell ref="J55:M55"/>
    <mergeCell ref="J56:M56"/>
    <mergeCell ref="J57:M57"/>
    <mergeCell ref="J58:M58"/>
    <mergeCell ref="J59:M59"/>
    <mergeCell ref="B3:O3"/>
    <mergeCell ref="B4:O16"/>
    <mergeCell ref="B20:E20"/>
    <mergeCell ref="B39:O39"/>
    <mergeCell ref="I47:O47"/>
    <mergeCell ref="B47:H47"/>
    <mergeCell ref="B38:E38"/>
    <mergeCell ref="B40:E40"/>
    <mergeCell ref="B41:E41"/>
    <mergeCell ref="B42:E42"/>
    <mergeCell ref="B43:E43"/>
    <mergeCell ref="B37:E37"/>
    <mergeCell ref="I32:L32"/>
    <mergeCell ref="B18:G18"/>
    <mergeCell ref="J18:O18"/>
    <mergeCell ref="I20:L20"/>
    <mergeCell ref="B31:O31"/>
    <mergeCell ref="B36:E36"/>
    <mergeCell ref="I21:L21"/>
    <mergeCell ref="I22:L22"/>
    <mergeCell ref="J60:M60"/>
    <mergeCell ref="J49:M49"/>
    <mergeCell ref="J50:M50"/>
    <mergeCell ref="J51:M51"/>
    <mergeCell ref="J61:M61"/>
    <mergeCell ref="J62:M62"/>
    <mergeCell ref="J63:M63"/>
    <mergeCell ref="J64:M64"/>
    <mergeCell ref="J65:M65"/>
    <mergeCell ref="J66:M66"/>
    <mergeCell ref="B82:E82"/>
    <mergeCell ref="B83:E83"/>
    <mergeCell ref="B84:E84"/>
    <mergeCell ref="B85:E85"/>
    <mergeCell ref="J69:M69"/>
    <mergeCell ref="J70:M70"/>
    <mergeCell ref="J71:M71"/>
    <mergeCell ref="J72:M72"/>
    <mergeCell ref="J67:M67"/>
    <mergeCell ref="J68:M68"/>
    <mergeCell ref="B58:E58"/>
    <mergeCell ref="B59:E59"/>
    <mergeCell ref="B60:E60"/>
    <mergeCell ref="B61:E61"/>
    <mergeCell ref="B62:E62"/>
    <mergeCell ref="B63:E63"/>
    <mergeCell ref="B49:E49"/>
    <mergeCell ref="B50:E50"/>
    <mergeCell ref="B51:E51"/>
    <mergeCell ref="B52:E52"/>
    <mergeCell ref="B53:E53"/>
    <mergeCell ref="B54:E54"/>
    <mergeCell ref="B86:E86"/>
    <mergeCell ref="B76:E76"/>
    <mergeCell ref="B77:E77"/>
    <mergeCell ref="B70:E70"/>
    <mergeCell ref="B71:E71"/>
    <mergeCell ref="B72:E72"/>
    <mergeCell ref="B73:E73"/>
    <mergeCell ref="B74:E74"/>
    <mergeCell ref="B75:E75"/>
    <mergeCell ref="J86:M86"/>
    <mergeCell ref="J87:M87"/>
    <mergeCell ref="J88:M88"/>
    <mergeCell ref="J89:M89"/>
    <mergeCell ref="B64:E64"/>
    <mergeCell ref="B65:E65"/>
    <mergeCell ref="B66:E66"/>
    <mergeCell ref="B67:E67"/>
    <mergeCell ref="B68:E68"/>
    <mergeCell ref="B69:E69"/>
    <mergeCell ref="J82:M82"/>
    <mergeCell ref="J83:M83"/>
    <mergeCell ref="J84:M84"/>
    <mergeCell ref="J85:M85"/>
    <mergeCell ref="J73:M73"/>
    <mergeCell ref="J74:M74"/>
    <mergeCell ref="J76:M76"/>
    <mergeCell ref="B79:H79"/>
    <mergeCell ref="I79:O79"/>
    <mergeCell ref="B87:E87"/>
    <mergeCell ref="T89:W89"/>
    <mergeCell ref="T110:W110"/>
    <mergeCell ref="T111:Z111"/>
    <mergeCell ref="B94:E94"/>
    <mergeCell ref="B95:E95"/>
    <mergeCell ref="B89:E89"/>
    <mergeCell ref="B90:E90"/>
    <mergeCell ref="B91:E91"/>
    <mergeCell ref="B92:E92"/>
    <mergeCell ref="B93:E93"/>
    <mergeCell ref="B109:E109"/>
    <mergeCell ref="B106:E106"/>
    <mergeCell ref="J106:M106"/>
    <mergeCell ref="B107:E107"/>
    <mergeCell ref="J107:M107"/>
    <mergeCell ref="B108:E108"/>
    <mergeCell ref="B103:E103"/>
    <mergeCell ref="J103:M103"/>
    <mergeCell ref="B102:E102"/>
    <mergeCell ref="J102:M102"/>
    <mergeCell ref="B97:E97"/>
    <mergeCell ref="J97:M97"/>
    <mergeCell ref="B98:E98"/>
    <mergeCell ref="J98:M98"/>
    <mergeCell ref="B99:E99"/>
    <mergeCell ref="J99:M99"/>
    <mergeCell ref="J92:M92"/>
    <mergeCell ref="J93:M93"/>
    <mergeCell ref="J94:M94"/>
    <mergeCell ref="J95:M95"/>
    <mergeCell ref="B96:E96"/>
    <mergeCell ref="J96:M96"/>
    <mergeCell ref="B104:E104"/>
    <mergeCell ref="J104:M104"/>
    <mergeCell ref="B105:E105"/>
    <mergeCell ref="J105:M105"/>
    <mergeCell ref="B100:E100"/>
    <mergeCell ref="J100:M100"/>
    <mergeCell ref="B101:E101"/>
    <mergeCell ref="J101:M101"/>
    <mergeCell ref="T87:W87"/>
    <mergeCell ref="T107:W107"/>
    <mergeCell ref="J90:M90"/>
    <mergeCell ref="J91:M91"/>
    <mergeCell ref="B88:E88"/>
    <mergeCell ref="B124:E124"/>
    <mergeCell ref="J124:M124"/>
    <mergeCell ref="B125:E125"/>
    <mergeCell ref="J125:M125"/>
    <mergeCell ref="T113:W113"/>
    <mergeCell ref="B115:E115"/>
    <mergeCell ref="J115:M115"/>
    <mergeCell ref="B116:E116"/>
    <mergeCell ref="J116:M116"/>
    <mergeCell ref="B117:E117"/>
    <mergeCell ref="J117:M117"/>
    <mergeCell ref="B110:E110"/>
    <mergeCell ref="B111:H111"/>
    <mergeCell ref="I111:O111"/>
    <mergeCell ref="B113:E113"/>
    <mergeCell ref="J113:M113"/>
    <mergeCell ref="B114:E114"/>
    <mergeCell ref="J114:M114"/>
    <mergeCell ref="J109:M109"/>
    <mergeCell ref="B126:E126"/>
    <mergeCell ref="J126:M126"/>
    <mergeCell ref="B121:E121"/>
    <mergeCell ref="J121:M121"/>
    <mergeCell ref="B122:E122"/>
    <mergeCell ref="J122:M122"/>
    <mergeCell ref="B123:E123"/>
    <mergeCell ref="J123:M123"/>
    <mergeCell ref="B118:E118"/>
    <mergeCell ref="J118:M118"/>
    <mergeCell ref="B119:E119"/>
    <mergeCell ref="J119:M119"/>
    <mergeCell ref="B120:E120"/>
    <mergeCell ref="J120:M120"/>
    <mergeCell ref="B133:E133"/>
    <mergeCell ref="J133:M133"/>
    <mergeCell ref="B134:E134"/>
    <mergeCell ref="J134:M134"/>
    <mergeCell ref="B135:E135"/>
    <mergeCell ref="J135:M135"/>
    <mergeCell ref="B130:E130"/>
    <mergeCell ref="J130:M130"/>
    <mergeCell ref="B131:E131"/>
    <mergeCell ref="J131:M131"/>
    <mergeCell ref="B132:E132"/>
    <mergeCell ref="J132:M132"/>
    <mergeCell ref="B127:E127"/>
    <mergeCell ref="J127:M127"/>
    <mergeCell ref="B128:E128"/>
    <mergeCell ref="J128:M128"/>
    <mergeCell ref="B129:E129"/>
    <mergeCell ref="J129:M129"/>
    <mergeCell ref="B145:E145"/>
    <mergeCell ref="J145:M145"/>
    <mergeCell ref="B146:E146"/>
    <mergeCell ref="J146:M146"/>
    <mergeCell ref="B147:E147"/>
    <mergeCell ref="J147:M147"/>
    <mergeCell ref="B139:E139"/>
    <mergeCell ref="B140:E140"/>
    <mergeCell ref="J140:M140"/>
    <mergeCell ref="B142:H142"/>
    <mergeCell ref="I142:O142"/>
    <mergeCell ref="B136:E136"/>
    <mergeCell ref="J136:M136"/>
    <mergeCell ref="B137:E137"/>
    <mergeCell ref="J137:M137"/>
    <mergeCell ref="B138:E138"/>
    <mergeCell ref="J138:M138"/>
    <mergeCell ref="B154:E154"/>
    <mergeCell ref="J154:M154"/>
    <mergeCell ref="B155:E155"/>
    <mergeCell ref="J155:M155"/>
    <mergeCell ref="B156:E156"/>
    <mergeCell ref="J156:M156"/>
    <mergeCell ref="B151:E151"/>
    <mergeCell ref="J151:M151"/>
    <mergeCell ref="B152:E152"/>
    <mergeCell ref="J152:M152"/>
    <mergeCell ref="B153:E153"/>
    <mergeCell ref="J153:M153"/>
    <mergeCell ref="B148:E148"/>
    <mergeCell ref="J148:M148"/>
    <mergeCell ref="B149:E149"/>
    <mergeCell ref="J149:M149"/>
    <mergeCell ref="B150:E150"/>
    <mergeCell ref="J150:M150"/>
    <mergeCell ref="AA20:AD20"/>
    <mergeCell ref="B169:E169"/>
    <mergeCell ref="J169:M169"/>
    <mergeCell ref="B160:E160"/>
    <mergeCell ref="J160:M160"/>
    <mergeCell ref="B161:E161"/>
    <mergeCell ref="J161:M161"/>
    <mergeCell ref="B162:E162"/>
    <mergeCell ref="J162:M162"/>
    <mergeCell ref="B157:E157"/>
    <mergeCell ref="J157:M157"/>
    <mergeCell ref="B158:E158"/>
    <mergeCell ref="J158:M158"/>
    <mergeCell ref="B159:E159"/>
    <mergeCell ref="J159:M159"/>
    <mergeCell ref="AA28:AD28"/>
    <mergeCell ref="T26:W26"/>
    <mergeCell ref="AA26:AD26"/>
    <mergeCell ref="B170:E170"/>
    <mergeCell ref="J170:M170"/>
    <mergeCell ref="B171:E171"/>
    <mergeCell ref="B172:E172"/>
    <mergeCell ref="J172:M172"/>
    <mergeCell ref="B166:E166"/>
    <mergeCell ref="J166:M166"/>
    <mergeCell ref="B167:E167"/>
    <mergeCell ref="J167:M167"/>
    <mergeCell ref="B168:E168"/>
    <mergeCell ref="J168:M168"/>
    <mergeCell ref="B163:E163"/>
    <mergeCell ref="J163:M163"/>
    <mergeCell ref="B164:E164"/>
    <mergeCell ref="J164:M164"/>
    <mergeCell ref="B165:E165"/>
    <mergeCell ref="J165:M165"/>
    <mergeCell ref="T21:W21"/>
    <mergeCell ref="AA21:AD21"/>
    <mergeCell ref="T22:W22"/>
    <mergeCell ref="AA22:AD22"/>
    <mergeCell ref="T38:W38"/>
    <mergeCell ref="T39:AG39"/>
    <mergeCell ref="T40:W40"/>
    <mergeCell ref="T41:W41"/>
    <mergeCell ref="T42:W42"/>
    <mergeCell ref="T43:W43"/>
    <mergeCell ref="T29:W29"/>
    <mergeCell ref="AA29:AD29"/>
    <mergeCell ref="T30:W30"/>
    <mergeCell ref="AA30:AD30"/>
    <mergeCell ref="T31:AG31"/>
    <mergeCell ref="T32:W32"/>
    <mergeCell ref="AA32:AD32"/>
    <mergeCell ref="T23:W23"/>
    <mergeCell ref="AA23:AD23"/>
    <mergeCell ref="T24:W24"/>
    <mergeCell ref="AA24:AD24"/>
    <mergeCell ref="T25:W25"/>
    <mergeCell ref="AA25:AD25"/>
    <mergeCell ref="AB62:AE62"/>
    <mergeCell ref="T63:W63"/>
    <mergeCell ref="AB63:AE63"/>
    <mergeCell ref="T64:W64"/>
    <mergeCell ref="AB64:AE64"/>
    <mergeCell ref="T56:W56"/>
    <mergeCell ref="AB56:AE56"/>
    <mergeCell ref="T57:W57"/>
    <mergeCell ref="AB57:AE57"/>
    <mergeCell ref="T58:W58"/>
    <mergeCell ref="AB58:AE58"/>
    <mergeCell ref="T49:W49"/>
    <mergeCell ref="AB49:AE49"/>
    <mergeCell ref="T50:W50"/>
    <mergeCell ref="AB50:AE50"/>
    <mergeCell ref="T51:W51"/>
    <mergeCell ref="AB51:AE51"/>
    <mergeCell ref="T73:W73"/>
    <mergeCell ref="AB73:AE73"/>
    <mergeCell ref="T71:W71"/>
    <mergeCell ref="AB71:AE71"/>
    <mergeCell ref="T66:W66"/>
    <mergeCell ref="AB66:AE66"/>
    <mergeCell ref="T67:W67"/>
    <mergeCell ref="AB67:AE67"/>
    <mergeCell ref="AB82:AE82"/>
    <mergeCell ref="T83:W83"/>
    <mergeCell ref="AB83:AE83"/>
    <mergeCell ref="T84:W84"/>
    <mergeCell ref="AB84:AE84"/>
    <mergeCell ref="T85:W85"/>
    <mergeCell ref="AB85:AE85"/>
    <mergeCell ref="T74:W74"/>
    <mergeCell ref="AB74:AE74"/>
    <mergeCell ref="T75:W75"/>
    <mergeCell ref="T76:W76"/>
    <mergeCell ref="AB76:AE76"/>
    <mergeCell ref="T77:W77"/>
    <mergeCell ref="T68:W68"/>
    <mergeCell ref="AB68:AE68"/>
    <mergeCell ref="T82:W82"/>
    <mergeCell ref="T70:W70"/>
    <mergeCell ref="AB70:AE70"/>
    <mergeCell ref="T93:W93"/>
    <mergeCell ref="AB93:AE93"/>
    <mergeCell ref="T94:W94"/>
    <mergeCell ref="AB94:AE94"/>
    <mergeCell ref="AB109:AE109"/>
    <mergeCell ref="T103:W103"/>
    <mergeCell ref="AB103:AE103"/>
    <mergeCell ref="T104:W104"/>
    <mergeCell ref="AB104:AE104"/>
    <mergeCell ref="T105:W105"/>
    <mergeCell ref="AB105:AE105"/>
    <mergeCell ref="T97:W97"/>
    <mergeCell ref="AB97:AE97"/>
    <mergeCell ref="T98:W98"/>
    <mergeCell ref="AB98:AE98"/>
    <mergeCell ref="T99:W99"/>
    <mergeCell ref="AB99:AE99"/>
    <mergeCell ref="AB115:AE115"/>
    <mergeCell ref="T116:W116"/>
    <mergeCell ref="AB116:AE116"/>
    <mergeCell ref="T114:W114"/>
    <mergeCell ref="AB114:AE114"/>
    <mergeCell ref="T123:W123"/>
    <mergeCell ref="AB123:AE123"/>
    <mergeCell ref="T124:W124"/>
    <mergeCell ref="AB124:AE124"/>
    <mergeCell ref="T125:W125"/>
    <mergeCell ref="AB125:AE125"/>
    <mergeCell ref="T117:W117"/>
    <mergeCell ref="AB117:AE117"/>
    <mergeCell ref="T118:W118"/>
    <mergeCell ref="AB118:AE118"/>
    <mergeCell ref="T119:W119"/>
    <mergeCell ref="AB119:AE119"/>
    <mergeCell ref="T168:W168"/>
    <mergeCell ref="AB168:AE168"/>
    <mergeCell ref="T166:W166"/>
    <mergeCell ref="AB166:AE166"/>
    <mergeCell ref="T161:W161"/>
    <mergeCell ref="AB161:AE161"/>
    <mergeCell ref="T162:W162"/>
    <mergeCell ref="AB162:AE162"/>
    <mergeCell ref="T160:W160"/>
    <mergeCell ref="AB160:AE160"/>
    <mergeCell ref="T155:W155"/>
    <mergeCell ref="AB155:AE155"/>
    <mergeCell ref="T156:W156"/>
    <mergeCell ref="AB156:AE156"/>
    <mergeCell ref="T154:W154"/>
    <mergeCell ref="AB154:AE154"/>
    <mergeCell ref="T149:W149"/>
    <mergeCell ref="AB149:AE149"/>
    <mergeCell ref="T150:W150"/>
    <mergeCell ref="AB150:AE150"/>
    <mergeCell ref="AJ44:AM44"/>
    <mergeCell ref="AJ45:AM45"/>
    <mergeCell ref="AJ34:AM34"/>
    <mergeCell ref="AJ35:AM35"/>
    <mergeCell ref="AJ36:AM36"/>
    <mergeCell ref="AJ37:AM37"/>
    <mergeCell ref="AJ33:AM33"/>
    <mergeCell ref="AJ27:AM27"/>
    <mergeCell ref="AQ27:AT27"/>
    <mergeCell ref="AJ28:AM28"/>
    <mergeCell ref="AQ28:AT28"/>
    <mergeCell ref="AJ26:AM26"/>
    <mergeCell ref="AQ26:AT26"/>
    <mergeCell ref="AJ21:AM21"/>
    <mergeCell ref="AQ21:AT21"/>
    <mergeCell ref="AJ22:AM22"/>
    <mergeCell ref="T167:W167"/>
    <mergeCell ref="AB167:AE167"/>
    <mergeCell ref="T147:W147"/>
    <mergeCell ref="AB147:AE147"/>
    <mergeCell ref="T148:W148"/>
    <mergeCell ref="AB148:AE148"/>
    <mergeCell ref="T139:W139"/>
    <mergeCell ref="T140:W140"/>
    <mergeCell ref="AB140:AE140"/>
    <mergeCell ref="T138:W138"/>
    <mergeCell ref="AB138:AE138"/>
    <mergeCell ref="T133:W133"/>
    <mergeCell ref="AB133:AE133"/>
    <mergeCell ref="T134:W134"/>
    <mergeCell ref="AB134:AE134"/>
    <mergeCell ref="T132:W132"/>
    <mergeCell ref="AR54:AU54"/>
    <mergeCell ref="AJ55:AM55"/>
    <mergeCell ref="AR55:AU55"/>
    <mergeCell ref="AJ52:AM52"/>
    <mergeCell ref="AR52:AU52"/>
    <mergeCell ref="AJ53:AM53"/>
    <mergeCell ref="AR53:AU53"/>
    <mergeCell ref="AJ46:AM46"/>
    <mergeCell ref="AJ47:AP47"/>
    <mergeCell ref="AQ47:AW47"/>
    <mergeCell ref="AJ62:AM62"/>
    <mergeCell ref="AR62:AU62"/>
    <mergeCell ref="AJ63:AM63"/>
    <mergeCell ref="AR63:AU63"/>
    <mergeCell ref="AJ64:AM64"/>
    <mergeCell ref="AR64:AU64"/>
    <mergeCell ref="AJ56:AM56"/>
    <mergeCell ref="AR56:AU56"/>
    <mergeCell ref="AJ57:AM57"/>
    <mergeCell ref="AR57:AU57"/>
    <mergeCell ref="AJ58:AM58"/>
    <mergeCell ref="AR58:AU58"/>
    <mergeCell ref="AJ49:AM49"/>
    <mergeCell ref="AR49:AU49"/>
    <mergeCell ref="AJ50:AM50"/>
    <mergeCell ref="AR50:AU50"/>
    <mergeCell ref="AJ51:AM51"/>
    <mergeCell ref="AR51:AU51"/>
    <mergeCell ref="AR84:AU84"/>
    <mergeCell ref="AJ85:AM85"/>
    <mergeCell ref="AR85:AU85"/>
    <mergeCell ref="AJ86:AM86"/>
    <mergeCell ref="AR86:AU86"/>
    <mergeCell ref="AJ74:AM74"/>
    <mergeCell ref="AR74:AU74"/>
    <mergeCell ref="AJ75:AM75"/>
    <mergeCell ref="AJ76:AM76"/>
    <mergeCell ref="AR76:AU76"/>
    <mergeCell ref="AJ77:AM77"/>
    <mergeCell ref="AJ68:AM68"/>
    <mergeCell ref="AR68:AU68"/>
    <mergeCell ref="AJ69:AM69"/>
    <mergeCell ref="AR69:AU69"/>
    <mergeCell ref="AJ70:AM70"/>
    <mergeCell ref="AR70:AU70"/>
    <mergeCell ref="AJ99:AM99"/>
    <mergeCell ref="AR99:AU99"/>
    <mergeCell ref="AJ94:AM94"/>
    <mergeCell ref="AR94:AU94"/>
    <mergeCell ref="AJ95:AM95"/>
    <mergeCell ref="AR95:AU95"/>
    <mergeCell ref="AJ93:AM93"/>
    <mergeCell ref="AR93:AU93"/>
    <mergeCell ref="AJ88:AM88"/>
    <mergeCell ref="AR88:AU88"/>
    <mergeCell ref="AJ89:AM89"/>
    <mergeCell ref="AR89:AU89"/>
    <mergeCell ref="AJ102:AM102"/>
    <mergeCell ref="AR102:AU102"/>
    <mergeCell ref="AJ103:AM103"/>
    <mergeCell ref="AR103:AU103"/>
    <mergeCell ref="AJ104:AM104"/>
    <mergeCell ref="AR104:AU104"/>
    <mergeCell ref="AJ96:AM96"/>
    <mergeCell ref="AR96:AU96"/>
    <mergeCell ref="AJ97:AM97"/>
    <mergeCell ref="AR97:AU97"/>
    <mergeCell ref="AJ98:AM98"/>
    <mergeCell ref="AR98:AU98"/>
    <mergeCell ref="AJ90:AM90"/>
    <mergeCell ref="AR90:AU90"/>
    <mergeCell ref="AJ124:AM124"/>
    <mergeCell ref="AR124:AU124"/>
    <mergeCell ref="AJ125:AM125"/>
    <mergeCell ref="AR125:AU125"/>
    <mergeCell ref="AJ123:AM123"/>
    <mergeCell ref="AR123:AU123"/>
    <mergeCell ref="AJ118:AM118"/>
    <mergeCell ref="AR118:AU118"/>
    <mergeCell ref="AJ119:AM119"/>
    <mergeCell ref="AR119:AU119"/>
    <mergeCell ref="AJ113:AM113"/>
    <mergeCell ref="AR113:AU113"/>
    <mergeCell ref="AJ114:AM114"/>
    <mergeCell ref="AJ106:AM106"/>
    <mergeCell ref="AR106:AU106"/>
    <mergeCell ref="AJ107:AM107"/>
    <mergeCell ref="AJ128:AM128"/>
    <mergeCell ref="AR128:AU128"/>
    <mergeCell ref="AJ120:AM120"/>
    <mergeCell ref="AR120:AU120"/>
    <mergeCell ref="AJ121:AM121"/>
    <mergeCell ref="AR121:AU121"/>
    <mergeCell ref="AJ122:AM122"/>
    <mergeCell ref="AR122:AU122"/>
    <mergeCell ref="AR114:AU114"/>
    <mergeCell ref="AJ115:AM115"/>
    <mergeCell ref="AR115:AU115"/>
    <mergeCell ref="AJ116:AM116"/>
    <mergeCell ref="AR116:AU116"/>
    <mergeCell ref="AJ117:AM117"/>
    <mergeCell ref="AR137:AU137"/>
    <mergeCell ref="AJ135:AM135"/>
    <mergeCell ref="AR135:AU135"/>
    <mergeCell ref="AJ130:AM130"/>
    <mergeCell ref="AR130:AU130"/>
    <mergeCell ref="AJ131:AM131"/>
    <mergeCell ref="AR131:AU131"/>
    <mergeCell ref="AJ148:AM148"/>
    <mergeCell ref="AR148:AU148"/>
    <mergeCell ref="AJ149:AM149"/>
    <mergeCell ref="AR149:AU149"/>
    <mergeCell ref="AJ150:AM150"/>
    <mergeCell ref="AR150:AU150"/>
    <mergeCell ref="AJ138:AM138"/>
    <mergeCell ref="AR138:AU138"/>
    <mergeCell ref="AJ139:AM139"/>
    <mergeCell ref="AJ129:AM129"/>
    <mergeCell ref="AR129:AU129"/>
    <mergeCell ref="AZ34:BC34"/>
    <mergeCell ref="AZ35:BC35"/>
    <mergeCell ref="AZ36:BC36"/>
    <mergeCell ref="AZ37:BC37"/>
    <mergeCell ref="AZ33:BC33"/>
    <mergeCell ref="AZ27:BC27"/>
    <mergeCell ref="BG27:BJ27"/>
    <mergeCell ref="AZ28:BC28"/>
    <mergeCell ref="BG28:BJ28"/>
    <mergeCell ref="AZ25:BC25"/>
    <mergeCell ref="BG25:BJ25"/>
    <mergeCell ref="AZ26:BC26"/>
    <mergeCell ref="BG26:BJ26"/>
    <mergeCell ref="BG20:BJ20"/>
    <mergeCell ref="AZ21:BC21"/>
    <mergeCell ref="BG21:BJ21"/>
    <mergeCell ref="AJ169:AM169"/>
    <mergeCell ref="AR169:AU169"/>
    <mergeCell ref="AJ164:AM164"/>
    <mergeCell ref="AR164:AU164"/>
    <mergeCell ref="AJ165:AM165"/>
    <mergeCell ref="AR165:AU165"/>
    <mergeCell ref="AJ163:AM163"/>
    <mergeCell ref="AR163:AU163"/>
    <mergeCell ref="AJ158:AM158"/>
    <mergeCell ref="AR158:AU158"/>
    <mergeCell ref="AJ159:AM159"/>
    <mergeCell ref="AR159:AU159"/>
    <mergeCell ref="AJ157:AM157"/>
    <mergeCell ref="AR157:AU157"/>
    <mergeCell ref="AJ152:AM152"/>
    <mergeCell ref="AR152:AU152"/>
    <mergeCell ref="AZ65:BC65"/>
    <mergeCell ref="BH65:BK65"/>
    <mergeCell ref="AZ54:BC54"/>
    <mergeCell ref="BH54:BK54"/>
    <mergeCell ref="AZ55:BC55"/>
    <mergeCell ref="BH55:BK55"/>
    <mergeCell ref="AZ52:BC52"/>
    <mergeCell ref="BH52:BK52"/>
    <mergeCell ref="AZ53:BC53"/>
    <mergeCell ref="BH53:BK53"/>
    <mergeCell ref="AZ46:BC46"/>
    <mergeCell ref="AZ47:BF47"/>
    <mergeCell ref="BG47:BM47"/>
    <mergeCell ref="AZ56:BC56"/>
    <mergeCell ref="BH56:BK56"/>
    <mergeCell ref="AZ57:BC57"/>
    <mergeCell ref="BH57:BK57"/>
    <mergeCell ref="AZ58:BC58"/>
    <mergeCell ref="BH58:BK58"/>
    <mergeCell ref="AZ49:BC49"/>
    <mergeCell ref="BH49:BK49"/>
    <mergeCell ref="AZ50:BC50"/>
    <mergeCell ref="BH50:BK50"/>
    <mergeCell ref="AZ51:BC51"/>
    <mergeCell ref="BH51:BK51"/>
    <mergeCell ref="AZ72:BC72"/>
    <mergeCell ref="BH72:BK72"/>
    <mergeCell ref="AZ73:BC73"/>
    <mergeCell ref="BH73:BK73"/>
    <mergeCell ref="AZ71:BC71"/>
    <mergeCell ref="BH71:BK71"/>
    <mergeCell ref="AZ66:BC66"/>
    <mergeCell ref="BH66:BK66"/>
    <mergeCell ref="AZ67:BC67"/>
    <mergeCell ref="BH67:BK67"/>
    <mergeCell ref="AZ90:BC90"/>
    <mergeCell ref="BH90:BK90"/>
    <mergeCell ref="AZ91:BC91"/>
    <mergeCell ref="BH91:BK91"/>
    <mergeCell ref="AZ92:BC92"/>
    <mergeCell ref="BH92:BK92"/>
    <mergeCell ref="AZ84:BC84"/>
    <mergeCell ref="BH84:BK84"/>
    <mergeCell ref="AZ85:BC85"/>
    <mergeCell ref="BH85:BK85"/>
    <mergeCell ref="AZ86:BC86"/>
    <mergeCell ref="BH86:BK86"/>
    <mergeCell ref="AZ108:BC108"/>
    <mergeCell ref="AZ109:BC109"/>
    <mergeCell ref="BH109:BK109"/>
    <mergeCell ref="AZ110:BC110"/>
    <mergeCell ref="AZ111:BF111"/>
    <mergeCell ref="BG111:BM111"/>
    <mergeCell ref="AZ102:BC102"/>
    <mergeCell ref="BH102:BK102"/>
    <mergeCell ref="AZ103:BC103"/>
    <mergeCell ref="BH103:BK103"/>
    <mergeCell ref="AZ104:BC104"/>
    <mergeCell ref="BH104:BK104"/>
    <mergeCell ref="AZ82:BC82"/>
    <mergeCell ref="BH82:BK82"/>
    <mergeCell ref="AZ83:BC83"/>
    <mergeCell ref="BH83:BK83"/>
    <mergeCell ref="AZ79:BF79"/>
    <mergeCell ref="BG79:BM79"/>
    <mergeCell ref="AZ94:BC94"/>
    <mergeCell ref="BH94:BK94"/>
    <mergeCell ref="T3:AG3"/>
    <mergeCell ref="T4:AG16"/>
    <mergeCell ref="T18:Y18"/>
    <mergeCell ref="AB18:AG18"/>
    <mergeCell ref="T20:W20"/>
    <mergeCell ref="AZ169:BC169"/>
    <mergeCell ref="BH169:BK169"/>
    <mergeCell ref="AZ164:BC164"/>
    <mergeCell ref="BH164:BK164"/>
    <mergeCell ref="AZ165:BC165"/>
    <mergeCell ref="BH165:BK165"/>
    <mergeCell ref="AZ163:BC163"/>
    <mergeCell ref="BH163:BK163"/>
    <mergeCell ref="AZ158:BC158"/>
    <mergeCell ref="BH158:BK158"/>
    <mergeCell ref="AZ159:BC159"/>
    <mergeCell ref="BH159:BK159"/>
    <mergeCell ref="AZ157:BC157"/>
    <mergeCell ref="BH157:BK157"/>
    <mergeCell ref="AZ152:BC152"/>
    <mergeCell ref="BH152:BK152"/>
    <mergeCell ref="AZ153:BC153"/>
    <mergeCell ref="BH153:BK153"/>
    <mergeCell ref="AZ151:BC151"/>
    <mergeCell ref="BH151:BK151"/>
    <mergeCell ref="AZ146:BC146"/>
    <mergeCell ref="BH146:BK146"/>
    <mergeCell ref="AZ147:BC147"/>
    <mergeCell ref="BH147:BK147"/>
    <mergeCell ref="AZ145:BC145"/>
    <mergeCell ref="BH145:BK145"/>
    <mergeCell ref="AZ136:BC136"/>
    <mergeCell ref="T44:W44"/>
    <mergeCell ref="T45:W45"/>
    <mergeCell ref="T34:W34"/>
    <mergeCell ref="T35:W35"/>
    <mergeCell ref="T36:W36"/>
    <mergeCell ref="T37:W37"/>
    <mergeCell ref="T33:W33"/>
    <mergeCell ref="T27:W27"/>
    <mergeCell ref="AA27:AD27"/>
    <mergeCell ref="T28:W28"/>
    <mergeCell ref="T69:W69"/>
    <mergeCell ref="AB69:AE69"/>
    <mergeCell ref="T65:W65"/>
    <mergeCell ref="AB65:AE65"/>
    <mergeCell ref="T60:W60"/>
    <mergeCell ref="AB60:AE60"/>
    <mergeCell ref="T61:W61"/>
    <mergeCell ref="AB61:AE61"/>
    <mergeCell ref="T59:W59"/>
    <mergeCell ref="AB59:AE59"/>
    <mergeCell ref="T54:W54"/>
    <mergeCell ref="AB54:AE54"/>
    <mergeCell ref="T55:W55"/>
    <mergeCell ref="AB55:AE55"/>
    <mergeCell ref="T52:W52"/>
    <mergeCell ref="AB52:AE52"/>
    <mergeCell ref="T53:W53"/>
    <mergeCell ref="AB53:AE53"/>
    <mergeCell ref="T46:W46"/>
    <mergeCell ref="T47:Z47"/>
    <mergeCell ref="AA47:AG47"/>
    <mergeCell ref="T62:W62"/>
    <mergeCell ref="AB89:AE89"/>
    <mergeCell ref="T90:W90"/>
    <mergeCell ref="AB90:AE90"/>
    <mergeCell ref="T91:W91"/>
    <mergeCell ref="AB91:AE91"/>
    <mergeCell ref="T92:W92"/>
    <mergeCell ref="AB92:AE92"/>
    <mergeCell ref="AB87:AE87"/>
    <mergeCell ref="T88:W88"/>
    <mergeCell ref="AB88:AE88"/>
    <mergeCell ref="T86:W86"/>
    <mergeCell ref="AB86:AE86"/>
    <mergeCell ref="T79:Z79"/>
    <mergeCell ref="AA79:AG79"/>
    <mergeCell ref="T72:W72"/>
    <mergeCell ref="AB72:AE72"/>
    <mergeCell ref="AA111:AG111"/>
    <mergeCell ref="AB107:AE107"/>
    <mergeCell ref="T108:W108"/>
    <mergeCell ref="T109:W109"/>
    <mergeCell ref="T106:W106"/>
    <mergeCell ref="AB106:AE106"/>
    <mergeCell ref="T101:W101"/>
    <mergeCell ref="AB101:AE101"/>
    <mergeCell ref="T102:W102"/>
    <mergeCell ref="AB102:AE102"/>
    <mergeCell ref="T100:W100"/>
    <mergeCell ref="AB100:AE100"/>
    <mergeCell ref="T95:W95"/>
    <mergeCell ref="AB95:AE95"/>
    <mergeCell ref="T96:W96"/>
    <mergeCell ref="AB96:AE96"/>
    <mergeCell ref="AB113:AE113"/>
    <mergeCell ref="AA142:AG142"/>
    <mergeCell ref="T145:W145"/>
    <mergeCell ref="AB145:AE145"/>
    <mergeCell ref="T146:W146"/>
    <mergeCell ref="AB146:AE146"/>
    <mergeCell ref="T135:W135"/>
    <mergeCell ref="AB135:AE135"/>
    <mergeCell ref="T136:W136"/>
    <mergeCell ref="AB136:AE136"/>
    <mergeCell ref="T137:W137"/>
    <mergeCell ref="AB137:AE137"/>
    <mergeCell ref="T129:W129"/>
    <mergeCell ref="AB129:AE129"/>
    <mergeCell ref="T130:W130"/>
    <mergeCell ref="AB130:AE130"/>
    <mergeCell ref="T131:W131"/>
    <mergeCell ref="AB131:AE131"/>
    <mergeCell ref="AB132:AE132"/>
    <mergeCell ref="T127:W127"/>
    <mergeCell ref="AB127:AE127"/>
    <mergeCell ref="T128:W128"/>
    <mergeCell ref="AB128:AE128"/>
    <mergeCell ref="T126:W126"/>
    <mergeCell ref="AB126:AE126"/>
    <mergeCell ref="T121:W121"/>
    <mergeCell ref="AB121:AE121"/>
    <mergeCell ref="T122:W122"/>
    <mergeCell ref="AB122:AE122"/>
    <mergeCell ref="T120:W120"/>
    <mergeCell ref="AB120:AE120"/>
    <mergeCell ref="T115:W115"/>
    <mergeCell ref="AJ3:AW3"/>
    <mergeCell ref="AJ4:AW16"/>
    <mergeCell ref="AJ18:AO18"/>
    <mergeCell ref="AR18:AW18"/>
    <mergeCell ref="AJ20:AM20"/>
    <mergeCell ref="AQ20:AT20"/>
    <mergeCell ref="T169:W169"/>
    <mergeCell ref="AB169:AE169"/>
    <mergeCell ref="T170:W170"/>
    <mergeCell ref="AB170:AE170"/>
    <mergeCell ref="T171:W171"/>
    <mergeCell ref="T172:W172"/>
    <mergeCell ref="AB172:AE172"/>
    <mergeCell ref="T163:W163"/>
    <mergeCell ref="AB163:AE163"/>
    <mergeCell ref="T164:W164"/>
    <mergeCell ref="AB164:AE164"/>
    <mergeCell ref="T165:W165"/>
    <mergeCell ref="AB165:AE165"/>
    <mergeCell ref="T157:W157"/>
    <mergeCell ref="AB157:AE157"/>
    <mergeCell ref="T158:W158"/>
    <mergeCell ref="AB158:AE158"/>
    <mergeCell ref="T159:W159"/>
    <mergeCell ref="AB159:AE159"/>
    <mergeCell ref="T151:W151"/>
    <mergeCell ref="AB151:AE151"/>
    <mergeCell ref="T152:W152"/>
    <mergeCell ref="AB152:AE152"/>
    <mergeCell ref="T153:W153"/>
    <mergeCell ref="AB153:AE153"/>
    <mergeCell ref="T142:Z142"/>
    <mergeCell ref="AJ38:AM38"/>
    <mergeCell ref="AJ39:AW39"/>
    <mergeCell ref="AJ40:AM40"/>
    <mergeCell ref="AJ41:AM41"/>
    <mergeCell ref="AJ42:AM42"/>
    <mergeCell ref="AJ43:AM43"/>
    <mergeCell ref="AJ29:AM29"/>
    <mergeCell ref="AQ29:AT29"/>
    <mergeCell ref="AJ30:AM30"/>
    <mergeCell ref="AQ30:AT30"/>
    <mergeCell ref="AJ31:AW31"/>
    <mergeCell ref="AJ32:AM32"/>
    <mergeCell ref="AQ32:AT32"/>
    <mergeCell ref="AQ22:AT22"/>
    <mergeCell ref="AJ23:AM23"/>
    <mergeCell ref="AQ23:AT23"/>
    <mergeCell ref="AJ24:AM24"/>
    <mergeCell ref="AQ24:AT24"/>
    <mergeCell ref="AJ25:AM25"/>
    <mergeCell ref="AQ25:AT25"/>
    <mergeCell ref="AJ65:AM65"/>
    <mergeCell ref="AR65:AU65"/>
    <mergeCell ref="AJ60:AM60"/>
    <mergeCell ref="AR60:AU60"/>
    <mergeCell ref="AJ61:AM61"/>
    <mergeCell ref="AR61:AU61"/>
    <mergeCell ref="AJ59:AM59"/>
    <mergeCell ref="AR59:AU59"/>
    <mergeCell ref="AJ54:AM54"/>
    <mergeCell ref="AJ91:AM91"/>
    <mergeCell ref="AR91:AU91"/>
    <mergeCell ref="AJ92:AM92"/>
    <mergeCell ref="AR92:AU92"/>
    <mergeCell ref="AJ87:AM87"/>
    <mergeCell ref="AR87:AU87"/>
    <mergeCell ref="AJ82:AM82"/>
    <mergeCell ref="AR82:AU82"/>
    <mergeCell ref="AJ83:AM83"/>
    <mergeCell ref="AR83:AU83"/>
    <mergeCell ref="AJ79:AP79"/>
    <mergeCell ref="AQ79:AW79"/>
    <mergeCell ref="AJ72:AM72"/>
    <mergeCell ref="AR72:AU72"/>
    <mergeCell ref="AJ73:AM73"/>
    <mergeCell ref="AR73:AU73"/>
    <mergeCell ref="AJ71:AM71"/>
    <mergeCell ref="AR71:AU71"/>
    <mergeCell ref="AJ66:AM66"/>
    <mergeCell ref="AR66:AU66"/>
    <mergeCell ref="AJ67:AM67"/>
    <mergeCell ref="AR67:AU67"/>
    <mergeCell ref="AJ84:AM84"/>
    <mergeCell ref="AZ3:BM3"/>
    <mergeCell ref="AZ4:BM16"/>
    <mergeCell ref="AZ18:BE18"/>
    <mergeCell ref="BH18:BM18"/>
    <mergeCell ref="AZ20:BC20"/>
    <mergeCell ref="AZ29:BC29"/>
    <mergeCell ref="BG29:BJ29"/>
    <mergeCell ref="AZ30:BC30"/>
    <mergeCell ref="BG30:BJ30"/>
    <mergeCell ref="AZ31:BM31"/>
    <mergeCell ref="AZ32:BC32"/>
    <mergeCell ref="BG32:BJ32"/>
    <mergeCell ref="AZ22:BC22"/>
    <mergeCell ref="BG22:BJ22"/>
    <mergeCell ref="AZ23:BC23"/>
    <mergeCell ref="BG23:BJ23"/>
    <mergeCell ref="AZ24:BC24"/>
    <mergeCell ref="BG24:BJ24"/>
    <mergeCell ref="AR154:AU154"/>
    <mergeCell ref="AJ155:AM155"/>
    <mergeCell ref="AR155:AU155"/>
    <mergeCell ref="AJ156:AM156"/>
    <mergeCell ref="AR156:AU156"/>
    <mergeCell ref="AR117:AU117"/>
    <mergeCell ref="AR107:AU107"/>
    <mergeCell ref="AJ108:AM108"/>
    <mergeCell ref="AJ109:AM109"/>
    <mergeCell ref="AR109:AU109"/>
    <mergeCell ref="AJ110:AM110"/>
    <mergeCell ref="AJ111:AP111"/>
    <mergeCell ref="AQ111:AW111"/>
    <mergeCell ref="AJ105:AM105"/>
    <mergeCell ref="AR105:AU105"/>
    <mergeCell ref="AJ100:AM100"/>
    <mergeCell ref="AR100:AU100"/>
    <mergeCell ref="AJ101:AM101"/>
    <mergeCell ref="AR101:AU101"/>
    <mergeCell ref="AJ153:AM153"/>
    <mergeCell ref="AR153:AU153"/>
    <mergeCell ref="AJ151:AM151"/>
    <mergeCell ref="AR151:AU151"/>
    <mergeCell ref="AJ146:AM146"/>
    <mergeCell ref="AR146:AU146"/>
    <mergeCell ref="AJ147:AM147"/>
    <mergeCell ref="AR147:AU147"/>
    <mergeCell ref="AJ145:AM145"/>
    <mergeCell ref="AR145:AU145"/>
    <mergeCell ref="AJ136:AM136"/>
    <mergeCell ref="AR136:AU136"/>
    <mergeCell ref="AJ137:AM137"/>
    <mergeCell ref="AJ170:AM170"/>
    <mergeCell ref="AR170:AU170"/>
    <mergeCell ref="AJ171:AM171"/>
    <mergeCell ref="AJ172:AM172"/>
    <mergeCell ref="AR172:AU172"/>
    <mergeCell ref="AJ140:AM140"/>
    <mergeCell ref="AR140:AU140"/>
    <mergeCell ref="AJ142:AP142"/>
    <mergeCell ref="AQ142:AW142"/>
    <mergeCell ref="AJ132:AM132"/>
    <mergeCell ref="AR132:AU132"/>
    <mergeCell ref="AJ133:AM133"/>
    <mergeCell ref="AR133:AU133"/>
    <mergeCell ref="AJ134:AM134"/>
    <mergeCell ref="AR134:AU134"/>
    <mergeCell ref="AJ126:AM126"/>
    <mergeCell ref="AR126:AU126"/>
    <mergeCell ref="AJ127:AM127"/>
    <mergeCell ref="AR127:AU127"/>
    <mergeCell ref="AJ166:AM166"/>
    <mergeCell ref="AR166:AU166"/>
    <mergeCell ref="AJ167:AM167"/>
    <mergeCell ref="AR167:AU167"/>
    <mergeCell ref="AJ168:AM168"/>
    <mergeCell ref="AR168:AU168"/>
    <mergeCell ref="AJ160:AM160"/>
    <mergeCell ref="AR160:AU160"/>
    <mergeCell ref="AJ161:AM161"/>
    <mergeCell ref="AR161:AU161"/>
    <mergeCell ref="AJ162:AM162"/>
    <mergeCell ref="AR162:AU162"/>
    <mergeCell ref="AJ154:AM154"/>
    <mergeCell ref="AZ38:BC38"/>
    <mergeCell ref="AZ39:BM39"/>
    <mergeCell ref="AZ40:BC40"/>
    <mergeCell ref="AZ41:BC41"/>
    <mergeCell ref="AZ42:BC42"/>
    <mergeCell ref="AZ43:BC43"/>
    <mergeCell ref="AZ44:BC44"/>
    <mergeCell ref="AZ45:BC45"/>
    <mergeCell ref="AZ74:BC74"/>
    <mergeCell ref="BH74:BK74"/>
    <mergeCell ref="AZ75:BC75"/>
    <mergeCell ref="AZ76:BC76"/>
    <mergeCell ref="BH76:BK76"/>
    <mergeCell ref="AZ77:BC77"/>
    <mergeCell ref="AZ68:BC68"/>
    <mergeCell ref="BH68:BK68"/>
    <mergeCell ref="AZ69:BC69"/>
    <mergeCell ref="BH69:BK69"/>
    <mergeCell ref="AZ70:BC70"/>
    <mergeCell ref="BH70:BK70"/>
    <mergeCell ref="AZ62:BC62"/>
    <mergeCell ref="BH62:BK62"/>
    <mergeCell ref="AZ63:BC63"/>
    <mergeCell ref="BH63:BK63"/>
    <mergeCell ref="AZ64:BC64"/>
    <mergeCell ref="BH64:BK64"/>
    <mergeCell ref="AZ60:BC60"/>
    <mergeCell ref="BH60:BK60"/>
    <mergeCell ref="AZ61:BC61"/>
    <mergeCell ref="BH61:BK61"/>
    <mergeCell ref="AZ59:BC59"/>
    <mergeCell ref="BH59:BK59"/>
    <mergeCell ref="AZ150:BC150"/>
    <mergeCell ref="BH150:BK150"/>
    <mergeCell ref="AZ138:BC138"/>
    <mergeCell ref="BH138:BK138"/>
    <mergeCell ref="AZ95:BC95"/>
    <mergeCell ref="BH95:BK95"/>
    <mergeCell ref="AZ93:BC93"/>
    <mergeCell ref="BH93:BK93"/>
    <mergeCell ref="AZ88:BC88"/>
    <mergeCell ref="BH88:BK88"/>
    <mergeCell ref="AZ89:BC89"/>
    <mergeCell ref="BH89:BK89"/>
    <mergeCell ref="AZ87:BC87"/>
    <mergeCell ref="BH87:BK87"/>
    <mergeCell ref="AZ118:BC118"/>
    <mergeCell ref="BH118:BK118"/>
    <mergeCell ref="AZ119:BC119"/>
    <mergeCell ref="BH119:BK119"/>
    <mergeCell ref="AZ113:BC113"/>
    <mergeCell ref="BH113:BK113"/>
    <mergeCell ref="AZ114:BC114"/>
    <mergeCell ref="AZ106:BC106"/>
    <mergeCell ref="AZ127:BC127"/>
    <mergeCell ref="BH127:BK127"/>
    <mergeCell ref="AZ128:BC128"/>
    <mergeCell ref="BH128:BK128"/>
    <mergeCell ref="BH106:BK106"/>
    <mergeCell ref="AZ107:BC107"/>
    <mergeCell ref="AZ105:BC105"/>
    <mergeCell ref="BH105:BK105"/>
    <mergeCell ref="AZ100:BC100"/>
    <mergeCell ref="BH100:BK100"/>
    <mergeCell ref="AZ96:BC96"/>
    <mergeCell ref="BH96:BK96"/>
    <mergeCell ref="AZ97:BC97"/>
    <mergeCell ref="BH97:BK97"/>
    <mergeCell ref="AZ98:BC98"/>
    <mergeCell ref="BH98:BK98"/>
    <mergeCell ref="BH136:BK136"/>
    <mergeCell ref="AZ137:BC137"/>
    <mergeCell ref="BH137:BK137"/>
    <mergeCell ref="AZ135:BC135"/>
    <mergeCell ref="BH135:BK135"/>
    <mergeCell ref="AZ130:BC130"/>
    <mergeCell ref="BH130:BK130"/>
    <mergeCell ref="AZ131:BC131"/>
    <mergeCell ref="BH131:BK131"/>
    <mergeCell ref="AZ129:BC129"/>
    <mergeCell ref="BH129:BK129"/>
    <mergeCell ref="AZ124:BC124"/>
    <mergeCell ref="BH124:BK124"/>
    <mergeCell ref="AZ125:BC125"/>
    <mergeCell ref="AZ101:BC101"/>
    <mergeCell ref="BH101:BK101"/>
    <mergeCell ref="AZ99:BC99"/>
    <mergeCell ref="BH99:BK99"/>
    <mergeCell ref="BH114:BK114"/>
    <mergeCell ref="AZ115:BC115"/>
    <mergeCell ref="BH115:BK115"/>
    <mergeCell ref="AZ116:BC116"/>
    <mergeCell ref="BH116:BK116"/>
    <mergeCell ref="AZ117:BC117"/>
    <mergeCell ref="BH117:BK117"/>
    <mergeCell ref="BH107:BK107"/>
    <mergeCell ref="AZ139:BC139"/>
    <mergeCell ref="AZ140:BC140"/>
    <mergeCell ref="BH140:BK140"/>
    <mergeCell ref="AZ142:BF142"/>
    <mergeCell ref="BG142:BM142"/>
    <mergeCell ref="AZ170:BC170"/>
    <mergeCell ref="BH170:BK170"/>
    <mergeCell ref="AZ120:BC120"/>
    <mergeCell ref="BH120:BK120"/>
    <mergeCell ref="AZ121:BC121"/>
    <mergeCell ref="BH121:BK121"/>
    <mergeCell ref="AZ122:BC122"/>
    <mergeCell ref="BH122:BK122"/>
    <mergeCell ref="BH125:BK125"/>
    <mergeCell ref="AZ123:BC123"/>
    <mergeCell ref="BH123:BK123"/>
    <mergeCell ref="AZ132:BC132"/>
    <mergeCell ref="BH132:BK132"/>
    <mergeCell ref="AZ133:BC133"/>
    <mergeCell ref="BH133:BK133"/>
    <mergeCell ref="AZ134:BC134"/>
    <mergeCell ref="BH134:BK134"/>
    <mergeCell ref="AZ126:BC126"/>
    <mergeCell ref="BH126:BK126"/>
    <mergeCell ref="AZ154:BC154"/>
    <mergeCell ref="BH154:BK154"/>
    <mergeCell ref="AZ155:BC155"/>
    <mergeCell ref="BH155:BK155"/>
    <mergeCell ref="AZ148:BC148"/>
    <mergeCell ref="BH148:BK148"/>
    <mergeCell ref="AZ149:BC149"/>
    <mergeCell ref="BH149:BK149"/>
    <mergeCell ref="AZ171:BC171"/>
    <mergeCell ref="AZ172:BC172"/>
    <mergeCell ref="BH172:BK172"/>
    <mergeCell ref="AZ166:BC166"/>
    <mergeCell ref="BH166:BK166"/>
    <mergeCell ref="AZ167:BC167"/>
    <mergeCell ref="BH167:BK167"/>
    <mergeCell ref="AZ168:BC168"/>
    <mergeCell ref="BH168:BK168"/>
    <mergeCell ref="AZ160:BC160"/>
    <mergeCell ref="BH160:BK160"/>
    <mergeCell ref="AZ161:BC161"/>
    <mergeCell ref="BH161:BK161"/>
    <mergeCell ref="AZ162:BC162"/>
    <mergeCell ref="BH162:BK162"/>
    <mergeCell ref="AZ156:BC156"/>
    <mergeCell ref="BH156:BK15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58693-978B-478B-A283-BF9713A40E9C}">
  <dimension ref="B3:L478"/>
  <sheetViews>
    <sheetView tabSelected="1" topLeftCell="A208" zoomScale="98" zoomScaleNormal="98" workbookViewId="0">
      <selection activeCell="A208" sqref="A208"/>
    </sheetView>
  </sheetViews>
  <sheetFormatPr baseColWidth="10" defaultRowHeight="15" x14ac:dyDescent="0.25"/>
  <cols>
    <col min="1" max="1" width="11.42578125" customWidth="1"/>
    <col min="6" max="6" width="12.5703125" bestFit="1" customWidth="1"/>
  </cols>
  <sheetData>
    <row r="3" spans="2:12" x14ac:dyDescent="0.25">
      <c r="B3" s="6"/>
      <c r="C3" s="1"/>
      <c r="D3" s="53" t="s">
        <v>109</v>
      </c>
      <c r="E3" s="53"/>
      <c r="F3" s="53"/>
      <c r="G3" s="53"/>
      <c r="H3" s="53"/>
      <c r="I3" s="53"/>
      <c r="J3" s="53"/>
      <c r="K3" s="53"/>
      <c r="L3" s="53"/>
    </row>
    <row r="4" spans="2:12" x14ac:dyDescent="0.25">
      <c r="B4" s="6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B5" s="6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x14ac:dyDescent="0.25">
      <c r="B6" s="6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x14ac:dyDescent="0.25">
      <c r="B7" s="6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x14ac:dyDescent="0.25">
      <c r="B8" s="6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x14ac:dyDescent="0.25">
      <c r="B9" s="1" t="s">
        <v>205</v>
      </c>
      <c r="C9" s="32" t="s">
        <v>209</v>
      </c>
      <c r="D9" s="1">
        <f>G309</f>
        <v>1</v>
      </c>
      <c r="E9" s="1"/>
      <c r="F9" s="1"/>
      <c r="G9" s="1"/>
      <c r="H9" s="1"/>
      <c r="I9" s="1"/>
      <c r="J9" s="1"/>
      <c r="K9" s="1"/>
      <c r="L9" s="1"/>
    </row>
    <row r="10" spans="2:12" x14ac:dyDescent="0.25">
      <c r="B10" s="1" t="s">
        <v>206</v>
      </c>
      <c r="C10" s="32" t="s">
        <v>210</v>
      </c>
      <c r="D10" s="1">
        <f>G317</f>
        <v>1.4</v>
      </c>
      <c r="E10" s="1"/>
      <c r="F10" s="1"/>
      <c r="G10" s="1"/>
      <c r="H10" s="1"/>
      <c r="I10" s="1"/>
      <c r="J10" s="1"/>
      <c r="K10" s="1"/>
      <c r="L10" s="1"/>
    </row>
    <row r="11" spans="2:12" x14ac:dyDescent="0.25">
      <c r="B11" s="1" t="s">
        <v>207</v>
      </c>
      <c r="C11" s="32" t="s">
        <v>211</v>
      </c>
      <c r="D11" s="1">
        <f>G240</f>
        <v>1.625</v>
      </c>
      <c r="E11" s="1"/>
      <c r="F11" s="1"/>
      <c r="G11" s="1"/>
      <c r="H11" s="1"/>
      <c r="I11" s="1"/>
      <c r="J11" s="1"/>
      <c r="K11" s="1"/>
      <c r="L11" s="1"/>
    </row>
    <row r="12" spans="2:12" x14ac:dyDescent="0.25">
      <c r="B12" s="1" t="s">
        <v>208</v>
      </c>
      <c r="C12" s="32"/>
      <c r="D12" s="1">
        <f>G243</f>
        <v>2</v>
      </c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s="6"/>
      <c r="C13" s="32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25"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25"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6"/>
      <c r="C19" s="1"/>
      <c r="D19" s="57" t="s">
        <v>117</v>
      </c>
      <c r="E19" s="57"/>
      <c r="F19" s="57"/>
      <c r="G19" s="57"/>
      <c r="H19" s="57"/>
      <c r="I19" s="57" t="s">
        <v>118</v>
      </c>
      <c r="J19" s="57"/>
      <c r="K19" s="57"/>
      <c r="L19" s="57"/>
    </row>
    <row r="20" spans="2:12" x14ac:dyDescent="0.25">
      <c r="B20" s="6"/>
      <c r="C20" s="1"/>
      <c r="D20" s="1"/>
      <c r="E20" s="1" t="s">
        <v>110</v>
      </c>
      <c r="F20" s="10">
        <f>'Relacion de (Vel.), par T. y E '!F43</f>
        <v>539.54292104347189</v>
      </c>
      <c r="G20" s="1" t="s">
        <v>62</v>
      </c>
      <c r="H20" s="1"/>
      <c r="I20" s="1"/>
      <c r="J20" s="19" t="s">
        <v>126</v>
      </c>
      <c r="K20" s="1">
        <v>2</v>
      </c>
      <c r="L20" s="1" t="s">
        <v>50</v>
      </c>
    </row>
    <row r="21" spans="2:12" x14ac:dyDescent="0.25">
      <c r="B21" s="6"/>
      <c r="C21" s="1"/>
      <c r="D21" s="1"/>
      <c r="E21" s="1" t="s">
        <v>111</v>
      </c>
      <c r="F21" s="10">
        <f>'Relacion de (Vel.), par T. y E '!F44</f>
        <v>2430.9780736264929</v>
      </c>
      <c r="G21" s="1" t="s">
        <v>62</v>
      </c>
      <c r="H21" s="1"/>
      <c r="I21" s="1"/>
      <c r="J21" s="19" t="s">
        <v>127</v>
      </c>
      <c r="K21" s="1">
        <v>7.75</v>
      </c>
      <c r="L21" s="1" t="s">
        <v>50</v>
      </c>
    </row>
    <row r="22" spans="2:12" x14ac:dyDescent="0.25">
      <c r="B22" s="6"/>
      <c r="C22" s="1"/>
      <c r="D22" s="1"/>
      <c r="E22" s="18" t="s">
        <v>114</v>
      </c>
      <c r="F22" s="1">
        <v>20</v>
      </c>
      <c r="G22" s="1" t="s">
        <v>115</v>
      </c>
      <c r="H22" s="1"/>
      <c r="I22" s="1"/>
      <c r="J22" s="19" t="s">
        <v>128</v>
      </c>
      <c r="K22" s="1">
        <v>10</v>
      </c>
      <c r="L22" s="1" t="s">
        <v>50</v>
      </c>
    </row>
    <row r="23" spans="2:12" x14ac:dyDescent="0.25">
      <c r="B23" s="6"/>
      <c r="C23" s="1"/>
      <c r="D23" s="1"/>
      <c r="E23" s="18" t="s">
        <v>114</v>
      </c>
      <c r="F23" s="1">
        <f>RADIANS(F22)</f>
        <v>0.3490658503988659</v>
      </c>
      <c r="G23" s="1" t="s">
        <v>116</v>
      </c>
      <c r="H23" s="1"/>
      <c r="I23" s="1"/>
      <c r="J23" s="19" t="s">
        <v>129</v>
      </c>
      <c r="K23" s="1">
        <v>10</v>
      </c>
      <c r="L23" s="1" t="s">
        <v>50</v>
      </c>
    </row>
    <row r="24" spans="2:12" x14ac:dyDescent="0.25">
      <c r="B24" s="6"/>
      <c r="C24" s="1"/>
      <c r="D24" s="1"/>
      <c r="E24" s="1" t="s">
        <v>112</v>
      </c>
      <c r="F24" s="9">
        <f>F20*TAN(F23)</f>
        <v>196.37756336886358</v>
      </c>
      <c r="G24" s="1" t="s">
        <v>62</v>
      </c>
      <c r="H24" s="1"/>
      <c r="I24" s="1"/>
      <c r="J24" s="19" t="s">
        <v>130</v>
      </c>
      <c r="K24" s="1">
        <v>2.25</v>
      </c>
      <c r="L24" s="1" t="s">
        <v>50</v>
      </c>
    </row>
    <row r="25" spans="2:12" x14ac:dyDescent="0.25">
      <c r="B25" s="6"/>
      <c r="C25" s="1"/>
      <c r="D25" s="1"/>
      <c r="E25" s="1" t="s">
        <v>113</v>
      </c>
      <c r="F25" s="10">
        <f>F21*TAN(F23)</f>
        <v>884.80365895383591</v>
      </c>
      <c r="G25" s="1" t="s">
        <v>62</v>
      </c>
      <c r="H25" s="1"/>
      <c r="I25" s="1"/>
      <c r="J25" s="19" t="s">
        <v>131</v>
      </c>
      <c r="K25" s="1">
        <v>8</v>
      </c>
      <c r="L25" s="1" t="s">
        <v>50</v>
      </c>
    </row>
    <row r="26" spans="2:12" x14ac:dyDescent="0.25">
      <c r="B26" s="6"/>
      <c r="C26" s="1"/>
      <c r="D26" s="1"/>
      <c r="E26" s="1"/>
      <c r="F26" s="1"/>
      <c r="G26" s="1"/>
      <c r="H26" s="1"/>
      <c r="I26" s="1"/>
      <c r="J26" s="19" t="s">
        <v>124</v>
      </c>
      <c r="K26" s="1">
        <f>'Relacion de (Vel.), par T. y E '!F37</f>
        <v>12</v>
      </c>
      <c r="L26" s="1" t="s">
        <v>50</v>
      </c>
    </row>
    <row r="27" spans="2:12" x14ac:dyDescent="0.25">
      <c r="B27" s="6"/>
      <c r="C27" s="1"/>
      <c r="D27" s="1"/>
      <c r="E27" s="1"/>
      <c r="F27" s="1"/>
      <c r="G27" s="1"/>
      <c r="H27" s="1"/>
      <c r="I27" s="1"/>
      <c r="J27" s="19" t="s">
        <v>125</v>
      </c>
      <c r="K27" s="8">
        <f>'Relacion de (Vel.), par T. y E '!F36</f>
        <v>2.67</v>
      </c>
      <c r="L27" s="1" t="s">
        <v>50</v>
      </c>
    </row>
    <row r="28" spans="2:12" x14ac:dyDescent="0.25"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25"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25"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25"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25"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25"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25"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25"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25"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25"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25"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2:12" x14ac:dyDescent="0.25"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 x14ac:dyDescent="0.2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2:12" x14ac:dyDescent="0.2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2:12" x14ac:dyDescent="0.2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2:12" x14ac:dyDescent="0.2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2:12" x14ac:dyDescent="0.2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2:12" x14ac:dyDescent="0.2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2:12" x14ac:dyDescent="0.2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2:12" x14ac:dyDescent="0.2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2:12" x14ac:dyDescent="0.25">
      <c r="B48" s="6"/>
      <c r="C48" s="1"/>
      <c r="D48" s="19"/>
      <c r="E48" s="1" t="s">
        <v>119</v>
      </c>
      <c r="F48" s="1" t="s">
        <v>120</v>
      </c>
      <c r="G48" s="1" t="s">
        <v>121</v>
      </c>
      <c r="H48" s="1" t="s">
        <v>122</v>
      </c>
      <c r="I48" s="1" t="s">
        <v>123</v>
      </c>
      <c r="J48" s="1"/>
      <c r="K48" s="1"/>
      <c r="L48" s="1"/>
    </row>
    <row r="49" spans="2:12" x14ac:dyDescent="0.25">
      <c r="B49" s="6"/>
      <c r="C49" s="1"/>
      <c r="D49" s="1"/>
      <c r="E49" s="21">
        <v>1</v>
      </c>
      <c r="F49" s="21">
        <v>0</v>
      </c>
      <c r="G49" s="21">
        <v>1</v>
      </c>
      <c r="H49" s="21">
        <v>0</v>
      </c>
      <c r="I49" s="20">
        <f>F25+F24</f>
        <v>1081.1812223226996</v>
      </c>
      <c r="J49" s="1"/>
      <c r="K49" s="1"/>
      <c r="L49" s="1"/>
    </row>
    <row r="50" spans="2:12" x14ac:dyDescent="0.25">
      <c r="B50" s="6"/>
      <c r="C50" s="1"/>
      <c r="D50" s="1"/>
      <c r="E50" s="21">
        <v>0</v>
      </c>
      <c r="F50" s="21">
        <v>1</v>
      </c>
      <c r="G50" s="21">
        <v>0</v>
      </c>
      <c r="H50" s="21">
        <v>1</v>
      </c>
      <c r="I50" s="21">
        <f>-F20+F21</f>
        <v>1891.4351525830211</v>
      </c>
      <c r="J50" s="1"/>
      <c r="K50" s="1"/>
      <c r="L50" s="1"/>
    </row>
    <row r="51" spans="2:12" x14ac:dyDescent="0.25">
      <c r="B51" s="6"/>
      <c r="C51" s="1"/>
      <c r="D51" s="1"/>
      <c r="E51" s="21">
        <v>0</v>
      </c>
      <c r="F51" s="21">
        <v>0</v>
      </c>
      <c r="G51" s="21">
        <f>K22</f>
        <v>10</v>
      </c>
      <c r="H51" s="21">
        <v>0</v>
      </c>
      <c r="I51" s="2">
        <f>(K21*F25)+(K20*F24)</f>
        <v>7249.983483629956</v>
      </c>
      <c r="J51" s="1"/>
      <c r="K51" s="1"/>
      <c r="L51" s="1"/>
    </row>
    <row r="52" spans="2:12" x14ac:dyDescent="0.25">
      <c r="B52" s="6"/>
      <c r="C52" s="1"/>
      <c r="D52" s="1"/>
      <c r="E52" s="21">
        <v>0</v>
      </c>
      <c r="F52" s="21">
        <v>0</v>
      </c>
      <c r="G52" s="21">
        <v>0</v>
      </c>
      <c r="H52" s="21">
        <v>10</v>
      </c>
      <c r="I52" s="2">
        <f>(K21*F21)-(K20*F20)</f>
        <v>17760.994228518375</v>
      </c>
      <c r="J52" s="1"/>
      <c r="K52" s="1"/>
      <c r="L52" s="1"/>
    </row>
    <row r="53" spans="2:12" x14ac:dyDescent="0.2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2:12" hidden="1" x14ac:dyDescent="0.25">
      <c r="B54" s="6"/>
      <c r="C54" s="1"/>
      <c r="D54" s="1"/>
      <c r="E54" s="8">
        <f t="array" ref="E54:H57">MINVERSE(E49:H52)</f>
        <v>1</v>
      </c>
      <c r="F54" s="1">
        <v>0</v>
      </c>
      <c r="G54" s="1">
        <v>-0.1</v>
      </c>
      <c r="H54" s="1">
        <v>0</v>
      </c>
      <c r="I54" s="1"/>
      <c r="J54" s="1"/>
      <c r="K54" s="1"/>
      <c r="L54" s="1"/>
    </row>
    <row r="55" spans="2:12" hidden="1" x14ac:dyDescent="0.25">
      <c r="B55" s="6"/>
      <c r="C55" s="1"/>
      <c r="D55" s="1"/>
      <c r="E55" s="1">
        <v>0</v>
      </c>
      <c r="F55" s="1">
        <v>1</v>
      </c>
      <c r="G55" s="1">
        <v>0</v>
      </c>
      <c r="H55" s="1">
        <v>-0.1</v>
      </c>
      <c r="I55" s="1"/>
      <c r="J55" s="1"/>
      <c r="K55" s="1"/>
      <c r="L55" s="1"/>
    </row>
    <row r="56" spans="2:12" hidden="1" x14ac:dyDescent="0.25">
      <c r="B56" s="6"/>
      <c r="C56" s="1"/>
      <c r="D56" s="1"/>
      <c r="E56" s="1">
        <v>0</v>
      </c>
      <c r="F56" s="1">
        <v>0</v>
      </c>
      <c r="G56" s="1">
        <v>0.1</v>
      </c>
      <c r="H56" s="1">
        <v>0</v>
      </c>
      <c r="I56" s="1"/>
      <c r="J56" s="1"/>
      <c r="K56" s="1"/>
      <c r="L56" s="1"/>
    </row>
    <row r="57" spans="2:12" hidden="1" x14ac:dyDescent="0.25">
      <c r="B57" s="6"/>
      <c r="C57" s="1"/>
      <c r="D57" s="1"/>
      <c r="E57" s="1">
        <v>0</v>
      </c>
      <c r="F57" s="1">
        <v>0</v>
      </c>
      <c r="G57" s="1">
        <v>0</v>
      </c>
      <c r="H57" s="1">
        <v>0.1</v>
      </c>
      <c r="I57" s="1"/>
      <c r="J57" s="1"/>
      <c r="K57" s="1"/>
      <c r="L57" s="1"/>
    </row>
    <row r="58" spans="2:12" hidden="1" x14ac:dyDescent="0.2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2:12" x14ac:dyDescent="0.25">
      <c r="B59" s="6"/>
      <c r="C59" s="1"/>
      <c r="D59" s="1"/>
      <c r="E59" s="1" t="s">
        <v>119</v>
      </c>
      <c r="F59" s="1">
        <f t="array" ref="F59:F62">MMULT(E54:H57,I49:I52)</f>
        <v>356.1828739597039</v>
      </c>
      <c r="G59" s="1" t="s">
        <v>62</v>
      </c>
      <c r="H59" s="1"/>
      <c r="I59" s="1"/>
      <c r="J59" s="1"/>
      <c r="K59" s="1"/>
      <c r="L59" s="1"/>
    </row>
    <row r="60" spans="2:12" x14ac:dyDescent="0.25">
      <c r="B60" s="6"/>
      <c r="C60" s="1"/>
      <c r="D60" s="1"/>
      <c r="E60" s="1" t="s">
        <v>120</v>
      </c>
      <c r="F60" s="1">
        <v>115.33572973118362</v>
      </c>
      <c r="G60" s="1" t="s">
        <v>62</v>
      </c>
      <c r="H60" s="1"/>
      <c r="I60" s="1"/>
      <c r="J60" s="1"/>
      <c r="K60" s="1"/>
      <c r="L60" s="1"/>
    </row>
    <row r="61" spans="2:12" x14ac:dyDescent="0.25">
      <c r="B61" s="6"/>
      <c r="C61" s="1"/>
      <c r="D61" s="1"/>
      <c r="E61" s="1" t="s">
        <v>121</v>
      </c>
      <c r="F61" s="1">
        <v>724.99834836299567</v>
      </c>
      <c r="G61" s="1" t="s">
        <v>62</v>
      </c>
      <c r="H61" s="1"/>
      <c r="I61" s="1"/>
      <c r="J61" s="1"/>
      <c r="K61" s="1"/>
      <c r="L61" s="1"/>
    </row>
    <row r="62" spans="2:12" x14ac:dyDescent="0.25">
      <c r="B62" s="6"/>
      <c r="C62" s="1"/>
      <c r="D62" s="1"/>
      <c r="E62" s="1" t="s">
        <v>122</v>
      </c>
      <c r="F62" s="1">
        <v>1776.0994228518375</v>
      </c>
      <c r="G62" s="1" t="s">
        <v>62</v>
      </c>
      <c r="H62" s="1"/>
      <c r="I62" s="1"/>
      <c r="J62" s="1"/>
      <c r="K62" s="1"/>
      <c r="L62" s="1"/>
    </row>
    <row r="63" spans="2:12" x14ac:dyDescent="0.2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2:12" x14ac:dyDescent="0.25">
      <c r="B64" s="6"/>
      <c r="C64" s="1"/>
      <c r="D64" s="1"/>
      <c r="E64" s="63" t="s">
        <v>147</v>
      </c>
      <c r="F64" s="63"/>
      <c r="G64" s="63"/>
      <c r="H64" s="63"/>
      <c r="I64" s="63"/>
      <c r="J64" s="63"/>
      <c r="K64" s="1"/>
      <c r="L64" s="1"/>
    </row>
    <row r="65" spans="2:12" x14ac:dyDescent="0.25">
      <c r="B65" s="6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2:12" x14ac:dyDescent="0.25">
      <c r="B66" s="6"/>
      <c r="C66" s="1"/>
      <c r="D66" s="1"/>
      <c r="E66" s="1"/>
      <c r="F66" s="2" t="s">
        <v>63</v>
      </c>
      <c r="G66" s="2" t="s">
        <v>132</v>
      </c>
      <c r="H66" s="2" t="s">
        <v>133</v>
      </c>
      <c r="I66" s="2" t="s">
        <v>134</v>
      </c>
      <c r="J66" s="2" t="s">
        <v>135</v>
      </c>
      <c r="K66" s="2" t="s">
        <v>64</v>
      </c>
      <c r="L66" s="1"/>
    </row>
    <row r="67" spans="2:12" x14ac:dyDescent="0.25">
      <c r="B67" s="6"/>
      <c r="C67" s="1"/>
      <c r="D67" s="1"/>
      <c r="E67" s="1" t="s">
        <v>136</v>
      </c>
      <c r="F67" s="6">
        <f>F59</f>
        <v>356.1828739597039</v>
      </c>
      <c r="G67" s="6">
        <v>0</v>
      </c>
      <c r="H67" s="1">
        <v>0</v>
      </c>
      <c r="I67" s="1">
        <v>0</v>
      </c>
      <c r="J67" s="1">
        <v>0</v>
      </c>
      <c r="K67" s="1">
        <v>0</v>
      </c>
      <c r="L67" s="1"/>
    </row>
    <row r="68" spans="2:12" x14ac:dyDescent="0.25">
      <c r="B68" s="6"/>
      <c r="C68" s="1"/>
      <c r="D68" s="1"/>
      <c r="E68" s="1" t="s">
        <v>137</v>
      </c>
      <c r="F68" s="1">
        <f>F67</f>
        <v>356.1828739597039</v>
      </c>
      <c r="G68" s="9">
        <f>-F24</f>
        <v>-196.37756336886358</v>
      </c>
      <c r="H68" s="10">
        <v>0</v>
      </c>
      <c r="I68" s="1">
        <v>0</v>
      </c>
      <c r="J68" s="1">
        <v>0</v>
      </c>
      <c r="K68" s="1">
        <v>0</v>
      </c>
      <c r="L68" s="1"/>
    </row>
    <row r="69" spans="2:12" x14ac:dyDescent="0.25">
      <c r="B69" s="6"/>
      <c r="C69" s="1"/>
      <c r="D69" s="1"/>
      <c r="E69" s="1" t="s">
        <v>138</v>
      </c>
      <c r="F69" s="6">
        <f>F68</f>
        <v>356.1828739597039</v>
      </c>
      <c r="G69" s="9">
        <f>G68</f>
        <v>-196.37756336886358</v>
      </c>
      <c r="H69" s="1">
        <v>0</v>
      </c>
      <c r="I69" s="1">
        <v>0</v>
      </c>
      <c r="J69" s="1">
        <v>0</v>
      </c>
      <c r="K69" s="1">
        <v>0</v>
      </c>
      <c r="L69" s="1"/>
    </row>
    <row r="70" spans="2:12" x14ac:dyDescent="0.25">
      <c r="B70" s="6"/>
      <c r="C70" s="1"/>
      <c r="D70" s="1"/>
      <c r="E70" s="1" t="s">
        <v>139</v>
      </c>
      <c r="F70" s="6">
        <f t="shared" ref="F70:F72" si="0">F69</f>
        <v>356.1828739597039</v>
      </c>
      <c r="G70" s="9">
        <f t="shared" ref="G70:G72" si="1">G69</f>
        <v>-196.37756336886358</v>
      </c>
      <c r="H70" s="1">
        <v>0</v>
      </c>
      <c r="I70" s="10">
        <f>-F25</f>
        <v>-884.80365895383591</v>
      </c>
      <c r="J70" s="1">
        <v>0</v>
      </c>
      <c r="K70" s="1">
        <v>0</v>
      </c>
      <c r="L70" s="1"/>
    </row>
    <row r="71" spans="2:12" x14ac:dyDescent="0.25">
      <c r="B71" s="6"/>
      <c r="C71" s="1"/>
      <c r="D71" s="1"/>
      <c r="E71" s="1" t="s">
        <v>140</v>
      </c>
      <c r="F71" s="6">
        <f t="shared" si="0"/>
        <v>356.1828739597039</v>
      </c>
      <c r="G71" s="9">
        <f t="shared" si="1"/>
        <v>-196.37756336886358</v>
      </c>
      <c r="H71" s="1">
        <v>0</v>
      </c>
      <c r="I71" s="10">
        <f>I70</f>
        <v>-884.80365895383591</v>
      </c>
      <c r="J71" s="1">
        <v>0</v>
      </c>
      <c r="K71" s="1">
        <v>0</v>
      </c>
      <c r="L71" s="1"/>
    </row>
    <row r="72" spans="2:12" x14ac:dyDescent="0.25">
      <c r="B72" s="6"/>
      <c r="C72" s="1"/>
      <c r="D72" s="1"/>
      <c r="E72" s="1" t="s">
        <v>141</v>
      </c>
      <c r="F72" s="6">
        <f t="shared" si="0"/>
        <v>356.1828739597039</v>
      </c>
      <c r="G72" s="9">
        <f t="shared" si="1"/>
        <v>-196.37756336886358</v>
      </c>
      <c r="H72" s="1">
        <v>0</v>
      </c>
      <c r="I72" s="10">
        <f>I70</f>
        <v>-884.80365895383591</v>
      </c>
      <c r="J72" s="1">
        <v>0</v>
      </c>
      <c r="K72" s="1">
        <f>F61</f>
        <v>724.99834836299567</v>
      </c>
      <c r="L72" s="1"/>
    </row>
    <row r="73" spans="2:12" x14ac:dyDescent="0.25">
      <c r="B73" s="6"/>
      <c r="C73" s="1"/>
      <c r="D73" s="1"/>
      <c r="E73" s="6"/>
      <c r="F73" s="1"/>
      <c r="G73" s="1"/>
      <c r="H73" s="1"/>
      <c r="I73" s="1"/>
      <c r="J73" s="1"/>
      <c r="K73" s="1"/>
      <c r="L73" s="1"/>
    </row>
    <row r="74" spans="2:12" x14ac:dyDescent="0.25">
      <c r="B74" s="6"/>
      <c r="C74" s="1"/>
      <c r="D74" s="1"/>
      <c r="E74" s="23" t="s">
        <v>142</v>
      </c>
      <c r="F74" s="23" t="s">
        <v>143</v>
      </c>
      <c r="G74" s="1"/>
      <c r="H74" s="1"/>
      <c r="I74" s="1"/>
      <c r="J74" s="1"/>
      <c r="K74" s="1"/>
      <c r="L74" s="1"/>
    </row>
    <row r="75" spans="2:12" x14ac:dyDescent="0.25">
      <c r="B75" s="6"/>
      <c r="C75" s="1"/>
      <c r="D75" s="1"/>
      <c r="E75" s="23">
        <v>0</v>
      </c>
      <c r="F75" s="23">
        <v>2</v>
      </c>
      <c r="G75" s="1"/>
      <c r="H75" s="1"/>
      <c r="I75" s="1"/>
      <c r="J75" s="1"/>
      <c r="K75" s="1"/>
      <c r="L75" s="1"/>
    </row>
    <row r="76" spans="2:12" x14ac:dyDescent="0.25">
      <c r="B76" s="6"/>
      <c r="C76" s="1"/>
      <c r="D76" s="1"/>
      <c r="E76" s="23">
        <v>2</v>
      </c>
      <c r="F76" s="23">
        <v>6.75</v>
      </c>
      <c r="G76" s="1"/>
      <c r="H76" s="1"/>
      <c r="I76" s="1"/>
      <c r="J76" s="1"/>
      <c r="K76" s="1"/>
      <c r="L76" s="1"/>
    </row>
    <row r="77" spans="2:12" x14ac:dyDescent="0.25">
      <c r="B77" s="6"/>
      <c r="C77" s="1"/>
      <c r="D77" s="1"/>
      <c r="E77" s="23">
        <v>6.75</v>
      </c>
      <c r="F77" s="23">
        <v>7.75</v>
      </c>
      <c r="G77" s="1"/>
      <c r="H77" s="1"/>
      <c r="I77" s="1"/>
      <c r="J77" s="1"/>
      <c r="K77" s="1"/>
      <c r="L77" s="1"/>
    </row>
    <row r="78" spans="2:12" x14ac:dyDescent="0.25">
      <c r="B78" s="6"/>
      <c r="C78" s="1"/>
      <c r="D78" s="1"/>
      <c r="E78" s="23">
        <v>7.75</v>
      </c>
      <c r="F78" s="23">
        <v>8.75</v>
      </c>
      <c r="G78" s="1"/>
      <c r="H78" s="1"/>
      <c r="I78" s="1"/>
      <c r="J78" s="1"/>
      <c r="K78" s="1"/>
      <c r="L78" s="1"/>
    </row>
    <row r="79" spans="2:12" x14ac:dyDescent="0.25">
      <c r="B79" s="6"/>
      <c r="C79" s="1"/>
      <c r="D79" s="1"/>
      <c r="E79" s="23">
        <v>8.75</v>
      </c>
      <c r="F79" s="23">
        <v>10</v>
      </c>
      <c r="G79" s="1"/>
      <c r="H79" s="1"/>
      <c r="I79" s="1"/>
      <c r="J79" s="1"/>
      <c r="K79" s="1"/>
      <c r="L79" s="1"/>
    </row>
    <row r="80" spans="2:12" x14ac:dyDescent="0.25">
      <c r="B80" s="6"/>
      <c r="C80" s="1"/>
      <c r="D80" s="1"/>
      <c r="E80" s="3">
        <v>10</v>
      </c>
      <c r="F80" s="3">
        <v>10</v>
      </c>
      <c r="G80" s="6"/>
      <c r="H80" s="1"/>
      <c r="I80" s="1"/>
      <c r="J80" s="1"/>
      <c r="K80" s="1"/>
      <c r="L80" s="1"/>
    </row>
    <row r="81" spans="2:12" x14ac:dyDescent="0.25">
      <c r="B81" s="6"/>
      <c r="C81" s="60" t="s">
        <v>136</v>
      </c>
      <c r="D81" s="61"/>
      <c r="E81" s="62"/>
      <c r="F81" s="60" t="s">
        <v>137</v>
      </c>
      <c r="G81" s="61"/>
      <c r="H81" s="62"/>
      <c r="I81" s="60" t="s">
        <v>138</v>
      </c>
      <c r="J81" s="61"/>
      <c r="K81" s="62"/>
      <c r="L81" s="1"/>
    </row>
    <row r="82" spans="2:12" x14ac:dyDescent="0.25">
      <c r="B82" s="6"/>
      <c r="C82" s="26" t="s">
        <v>144</v>
      </c>
      <c r="D82" s="24" t="s">
        <v>145</v>
      </c>
      <c r="E82" s="27" t="s">
        <v>146</v>
      </c>
      <c r="F82" s="26" t="s">
        <v>144</v>
      </c>
      <c r="G82" s="24" t="s">
        <v>145</v>
      </c>
      <c r="H82" s="27" t="s">
        <v>146</v>
      </c>
      <c r="I82" s="26" t="s">
        <v>144</v>
      </c>
      <c r="J82" s="24" t="s">
        <v>145</v>
      </c>
      <c r="K82" s="27" t="s">
        <v>146</v>
      </c>
      <c r="L82" s="1"/>
    </row>
    <row r="83" spans="2:12" x14ac:dyDescent="0.25">
      <c r="B83" s="6"/>
      <c r="C83" s="26">
        <f>$E$75</f>
        <v>0</v>
      </c>
      <c r="D83" s="24">
        <f>$F$67</f>
        <v>356.1828739597039</v>
      </c>
      <c r="E83" s="27">
        <f>$F$67*C83</f>
        <v>0</v>
      </c>
      <c r="F83" s="26">
        <f>$E$76</f>
        <v>2</v>
      </c>
      <c r="G83" s="24">
        <f>$F$67+$G$68</f>
        <v>159.80531059084032</v>
      </c>
      <c r="H83" s="27">
        <f>($F$68*F83)+($G$68*(F83-$E$76))</f>
        <v>712.3657479194078</v>
      </c>
      <c r="I83" s="26">
        <f>$E$77</f>
        <v>6.75</v>
      </c>
      <c r="J83" s="24">
        <f>$F$69+$G$69</f>
        <v>159.80531059084032</v>
      </c>
      <c r="K83" s="27">
        <f>($F$69*I83)+($G$69*(I83-$E$76))</f>
        <v>1471.4409732258991</v>
      </c>
      <c r="L83" s="1"/>
    </row>
    <row r="84" spans="2:12" x14ac:dyDescent="0.25">
      <c r="B84" s="6"/>
      <c r="C84" s="26">
        <f>C83+($F$75-$E$75)/8</f>
        <v>0.25</v>
      </c>
      <c r="D84" s="24">
        <f t="shared" ref="D84:D91" si="2">$F$67</f>
        <v>356.1828739597039</v>
      </c>
      <c r="E84" s="27">
        <f t="shared" ref="E84:E91" si="3">$F$67*C84</f>
        <v>89.045718489925974</v>
      </c>
      <c r="F84" s="26">
        <f>F83+($F$76-$E$76)/8</f>
        <v>2.59375</v>
      </c>
      <c r="G84" s="24">
        <f t="shared" ref="G84:G91" si="4">$F$67+$G$68</f>
        <v>159.80531059084032</v>
      </c>
      <c r="H84" s="27">
        <f t="shared" ref="H84:H91" si="5">($F$68*F84)+($G$68*(F84-$E$76))</f>
        <v>807.25015108271919</v>
      </c>
      <c r="I84" s="26">
        <f>I83+(($F$77-$E$77)/8)</f>
        <v>6.875</v>
      </c>
      <c r="J84" s="24">
        <f t="shared" ref="J84:J91" si="6">$F$69+$G$69</f>
        <v>159.80531059084032</v>
      </c>
      <c r="K84" s="27">
        <f t="shared" ref="K84:K91" si="7">($F$69*I84)+($G$69*(I84-$E$76))</f>
        <v>1491.4166370497542</v>
      </c>
      <c r="L84" s="1"/>
    </row>
    <row r="85" spans="2:12" x14ac:dyDescent="0.25">
      <c r="B85" s="6"/>
      <c r="C85" s="26">
        <f t="shared" ref="C85:C91" si="8">C84+($F$75-$E$75)/8</f>
        <v>0.5</v>
      </c>
      <c r="D85" s="24">
        <f t="shared" si="2"/>
        <v>356.1828739597039</v>
      </c>
      <c r="E85" s="27">
        <f t="shared" si="3"/>
        <v>178.09143697985195</v>
      </c>
      <c r="F85" s="26">
        <f t="shared" ref="F85:F91" si="9">F84+($F$76-$E$76)/8</f>
        <v>3.1875</v>
      </c>
      <c r="G85" s="24">
        <f t="shared" si="4"/>
        <v>159.80531059084032</v>
      </c>
      <c r="H85" s="27">
        <f t="shared" si="5"/>
        <v>902.13455424603058</v>
      </c>
      <c r="I85" s="26">
        <f t="shared" ref="I85:I91" si="10">I84+(($F$77-$E$77)/8)</f>
        <v>7</v>
      </c>
      <c r="J85" s="24">
        <f t="shared" si="6"/>
        <v>159.80531059084032</v>
      </c>
      <c r="K85" s="27">
        <f t="shared" si="7"/>
        <v>1511.3923008736092</v>
      </c>
      <c r="L85" s="1"/>
    </row>
    <row r="86" spans="2:12" x14ac:dyDescent="0.25">
      <c r="B86" s="6"/>
      <c r="C86" s="26">
        <f t="shared" si="8"/>
        <v>0.75</v>
      </c>
      <c r="D86" s="24">
        <f t="shared" si="2"/>
        <v>356.1828739597039</v>
      </c>
      <c r="E86" s="27">
        <f t="shared" si="3"/>
        <v>267.13715546977789</v>
      </c>
      <c r="F86" s="26">
        <f t="shared" si="9"/>
        <v>3.78125</v>
      </c>
      <c r="G86" s="24">
        <f t="shared" si="4"/>
        <v>159.80531059084032</v>
      </c>
      <c r="H86" s="27">
        <f t="shared" si="5"/>
        <v>997.01895740934208</v>
      </c>
      <c r="I86" s="26">
        <f t="shared" si="10"/>
        <v>7.125</v>
      </c>
      <c r="J86" s="24">
        <f t="shared" si="6"/>
        <v>159.80531059084032</v>
      </c>
      <c r="K86" s="27">
        <f t="shared" si="7"/>
        <v>1531.3679646974642</v>
      </c>
      <c r="L86" s="1"/>
    </row>
    <row r="87" spans="2:12" x14ac:dyDescent="0.25">
      <c r="B87" s="6"/>
      <c r="C87" s="26">
        <f t="shared" si="8"/>
        <v>1</v>
      </c>
      <c r="D87" s="24">
        <f t="shared" si="2"/>
        <v>356.1828739597039</v>
      </c>
      <c r="E87" s="27">
        <f t="shared" si="3"/>
        <v>356.1828739597039</v>
      </c>
      <c r="F87" s="26">
        <f t="shared" si="9"/>
        <v>4.375</v>
      </c>
      <c r="G87" s="24">
        <f t="shared" si="4"/>
        <v>159.80531059084032</v>
      </c>
      <c r="H87" s="27">
        <f t="shared" si="5"/>
        <v>1091.9033605726536</v>
      </c>
      <c r="I87" s="26">
        <f t="shared" si="10"/>
        <v>7.25</v>
      </c>
      <c r="J87" s="24">
        <f t="shared" si="6"/>
        <v>159.80531059084032</v>
      </c>
      <c r="K87" s="27">
        <f t="shared" si="7"/>
        <v>1551.3436285213195</v>
      </c>
      <c r="L87" s="1"/>
    </row>
    <row r="88" spans="2:12" x14ac:dyDescent="0.25">
      <c r="B88" s="6"/>
      <c r="C88" s="26">
        <f t="shared" si="8"/>
        <v>1.25</v>
      </c>
      <c r="D88" s="24">
        <f t="shared" si="2"/>
        <v>356.1828739597039</v>
      </c>
      <c r="E88" s="27">
        <f t="shared" si="3"/>
        <v>445.2285924496299</v>
      </c>
      <c r="F88" s="26">
        <f t="shared" si="9"/>
        <v>4.96875</v>
      </c>
      <c r="G88" s="24">
        <f t="shared" si="4"/>
        <v>159.80531059084032</v>
      </c>
      <c r="H88" s="27">
        <f t="shared" si="5"/>
        <v>1186.7877637359652</v>
      </c>
      <c r="I88" s="26">
        <f t="shared" si="10"/>
        <v>7.375</v>
      </c>
      <c r="J88" s="24">
        <f t="shared" si="6"/>
        <v>159.80531059084032</v>
      </c>
      <c r="K88" s="27">
        <f t="shared" si="7"/>
        <v>1571.3192923451745</v>
      </c>
      <c r="L88" s="1"/>
    </row>
    <row r="89" spans="2:12" x14ac:dyDescent="0.25">
      <c r="B89" s="6"/>
      <c r="C89" s="26">
        <f t="shared" si="8"/>
        <v>1.5</v>
      </c>
      <c r="D89" s="24">
        <f t="shared" si="2"/>
        <v>356.1828739597039</v>
      </c>
      <c r="E89" s="27">
        <f t="shared" si="3"/>
        <v>534.27431093955579</v>
      </c>
      <c r="F89" s="26">
        <f t="shared" si="9"/>
        <v>5.5625</v>
      </c>
      <c r="G89" s="24">
        <f t="shared" si="4"/>
        <v>159.80531059084032</v>
      </c>
      <c r="H89" s="27">
        <f t="shared" si="5"/>
        <v>1281.6721668992764</v>
      </c>
      <c r="I89" s="26">
        <f t="shared" si="10"/>
        <v>7.5</v>
      </c>
      <c r="J89" s="24">
        <f t="shared" si="6"/>
        <v>159.80531059084032</v>
      </c>
      <c r="K89" s="27">
        <f t="shared" si="7"/>
        <v>1591.2949561690295</v>
      </c>
      <c r="L89" s="1"/>
    </row>
    <row r="90" spans="2:12" x14ac:dyDescent="0.25">
      <c r="B90" s="6"/>
      <c r="C90" s="26">
        <f t="shared" si="8"/>
        <v>1.75</v>
      </c>
      <c r="D90" s="24">
        <f t="shared" si="2"/>
        <v>356.1828739597039</v>
      </c>
      <c r="E90" s="27">
        <f t="shared" si="3"/>
        <v>623.32002942948179</v>
      </c>
      <c r="F90" s="26">
        <f t="shared" si="9"/>
        <v>6.15625</v>
      </c>
      <c r="G90" s="24">
        <f t="shared" si="4"/>
        <v>159.80531059084032</v>
      </c>
      <c r="H90" s="27">
        <f t="shared" si="5"/>
        <v>1376.556570062588</v>
      </c>
      <c r="I90" s="26">
        <f t="shared" si="10"/>
        <v>7.625</v>
      </c>
      <c r="J90" s="24">
        <f t="shared" si="6"/>
        <v>159.80531059084032</v>
      </c>
      <c r="K90" s="27">
        <f t="shared" si="7"/>
        <v>1611.2706199928846</v>
      </c>
      <c r="L90" s="1"/>
    </row>
    <row r="91" spans="2:12" x14ac:dyDescent="0.25">
      <c r="B91" s="6"/>
      <c r="C91" s="28">
        <f t="shared" si="8"/>
        <v>2</v>
      </c>
      <c r="D91" s="25">
        <f t="shared" si="2"/>
        <v>356.1828739597039</v>
      </c>
      <c r="E91" s="29">
        <f t="shared" si="3"/>
        <v>712.3657479194078</v>
      </c>
      <c r="F91" s="28">
        <f t="shared" si="9"/>
        <v>6.75</v>
      </c>
      <c r="G91" s="25">
        <f t="shared" si="4"/>
        <v>159.80531059084032</v>
      </c>
      <c r="H91" s="29">
        <f t="shared" si="5"/>
        <v>1471.4409732258991</v>
      </c>
      <c r="I91" s="28">
        <f t="shared" si="10"/>
        <v>7.75</v>
      </c>
      <c r="J91" s="25">
        <f t="shared" si="6"/>
        <v>159.80531059084032</v>
      </c>
      <c r="K91" s="29">
        <f t="shared" si="7"/>
        <v>1631.2462838167396</v>
      </c>
      <c r="L91" s="1"/>
    </row>
    <row r="92" spans="2:12" x14ac:dyDescent="0.25">
      <c r="B92" s="6"/>
      <c r="C92" s="26">
        <f t="shared" ref="C92:H92" si="11">F83</f>
        <v>2</v>
      </c>
      <c r="D92" s="24">
        <f t="shared" si="11"/>
        <v>159.80531059084032</v>
      </c>
      <c r="E92" s="27">
        <f t="shared" si="11"/>
        <v>712.3657479194078</v>
      </c>
      <c r="F92" s="26">
        <f t="shared" si="11"/>
        <v>6.75</v>
      </c>
      <c r="G92" s="24">
        <f t="shared" si="11"/>
        <v>159.80531059084032</v>
      </c>
      <c r="H92" s="27">
        <f t="shared" si="11"/>
        <v>1471.4409732258991</v>
      </c>
      <c r="I92" s="30">
        <f>C95</f>
        <v>7.75</v>
      </c>
      <c r="J92" s="30">
        <f>D95</f>
        <v>-724.99834836299556</v>
      </c>
      <c r="K92" s="30">
        <f>E95</f>
        <v>1631.2462838167396</v>
      </c>
      <c r="L92" s="1"/>
    </row>
    <row r="93" spans="2:12" x14ac:dyDescent="0.25">
      <c r="B93" s="6"/>
      <c r="C93" s="64" t="s">
        <v>139</v>
      </c>
      <c r="D93" s="65"/>
      <c r="E93" s="66"/>
      <c r="F93" s="64" t="s">
        <v>140</v>
      </c>
      <c r="G93" s="65"/>
      <c r="H93" s="66"/>
      <c r="I93" s="64" t="s">
        <v>141</v>
      </c>
      <c r="J93" s="65"/>
      <c r="K93" s="66"/>
      <c r="L93" s="1"/>
    </row>
    <row r="94" spans="2:12" x14ac:dyDescent="0.25">
      <c r="B94" s="6"/>
      <c r="C94" s="26" t="s">
        <v>144</v>
      </c>
      <c r="D94" s="24" t="s">
        <v>145</v>
      </c>
      <c r="E94" s="27" t="s">
        <v>146</v>
      </c>
      <c r="F94" s="26" t="s">
        <v>144</v>
      </c>
      <c r="G94" s="24" t="s">
        <v>145</v>
      </c>
      <c r="H94" s="27" t="s">
        <v>146</v>
      </c>
      <c r="I94" s="26" t="s">
        <v>144</v>
      </c>
      <c r="J94" s="24" t="s">
        <v>145</v>
      </c>
      <c r="K94" s="27" t="s">
        <v>146</v>
      </c>
      <c r="L94" s="1"/>
    </row>
    <row r="95" spans="2:12" x14ac:dyDescent="0.25">
      <c r="B95" s="6"/>
      <c r="C95" s="26">
        <f>$E$78</f>
        <v>7.75</v>
      </c>
      <c r="D95" s="24">
        <f>$F$70+$G$70+$I$70</f>
        <v>-724.99834836299556</v>
      </c>
      <c r="E95" s="27">
        <f>($F$70*C95)+($G$70*(C95-$E$76))+($I$70*(C95-$E$78))</f>
        <v>1631.2462838167396</v>
      </c>
      <c r="F95" s="26">
        <f>E79</f>
        <v>8.75</v>
      </c>
      <c r="G95" s="24">
        <f>$F$71+$G$71+$I$71</f>
        <v>-724.99834836299556</v>
      </c>
      <c r="H95" s="27">
        <f>($F$70*F95)+($G$70*(F95-$E$76))+($I$70*(F95-$E$78))</f>
        <v>906.24793545374416</v>
      </c>
      <c r="I95" s="26">
        <f>E80</f>
        <v>10</v>
      </c>
      <c r="J95" s="24">
        <f>$F$72+$G$72+$I$72+$K$72</f>
        <v>0</v>
      </c>
      <c r="K95" s="27">
        <f>($F$70*I95)+($G$70*(I95-$E$76))+($I$70*(I95-$E$78))</f>
        <v>0</v>
      </c>
      <c r="L95" s="1"/>
    </row>
    <row r="96" spans="2:12" x14ac:dyDescent="0.25">
      <c r="B96" s="6"/>
      <c r="C96" s="26">
        <f>C95+(($F$78-$E$78)/8)</f>
        <v>7.875</v>
      </c>
      <c r="D96" s="24">
        <f t="shared" ref="D96:D103" si="12">$F$70+$G$70+$I$70</f>
        <v>-724.99834836299556</v>
      </c>
      <c r="E96" s="27">
        <f t="shared" ref="E96:E103" si="13">($F$70*C96)+($G$70*(C96-$E$76))+($I$70*(C96-$E$78))</f>
        <v>1540.6214902713652</v>
      </c>
      <c r="F96" s="26">
        <f>F95+(($F$79-$E$79)/8)</f>
        <v>8.90625</v>
      </c>
      <c r="G96" s="24">
        <f t="shared" ref="G96:G103" si="14">$F$70+$G$70+$I$70</f>
        <v>-724.99834836299556</v>
      </c>
      <c r="H96" s="27">
        <f t="shared" ref="H96:H103" si="15">($F$70*F96)+($G$70*(F96-$E$76))+($I$70*(F96-$E$78))</f>
        <v>792.96694352202587</v>
      </c>
      <c r="I96" s="26">
        <f>I95+(($F$80-$E$80)/8)</f>
        <v>10</v>
      </c>
      <c r="J96" s="24">
        <f t="shared" ref="J96:J103" si="16">$F$72+$G$72+$I$72+$K$72</f>
        <v>0</v>
      </c>
      <c r="K96" s="27">
        <f t="shared" ref="K96:K103" si="17">($F$70*I96)+($G$70*(I96-$E$76))+($I$70*(I96-$E$78))</f>
        <v>0</v>
      </c>
      <c r="L96" s="1"/>
    </row>
    <row r="97" spans="2:12" x14ac:dyDescent="0.25">
      <c r="B97" s="6"/>
      <c r="C97" s="26">
        <f t="shared" ref="C97:C103" si="18">C96+(($F$78-$E$78)/8)</f>
        <v>8</v>
      </c>
      <c r="D97" s="24">
        <f t="shared" si="12"/>
        <v>-724.99834836299556</v>
      </c>
      <c r="E97" s="27">
        <f t="shared" si="13"/>
        <v>1449.9966967259907</v>
      </c>
      <c r="F97" s="26">
        <f t="shared" ref="F97:F103" si="19">F96+(($F$79-$E$79)/8)</f>
        <v>9.0625</v>
      </c>
      <c r="G97" s="24">
        <f t="shared" si="14"/>
        <v>-724.99834836299556</v>
      </c>
      <c r="H97" s="27">
        <f t="shared" si="15"/>
        <v>679.68595159030792</v>
      </c>
      <c r="I97" s="26">
        <f t="shared" ref="I97:I103" si="20">I96+(($F$80-$E$80)/8)</f>
        <v>10</v>
      </c>
      <c r="J97" s="24">
        <f t="shared" si="16"/>
        <v>0</v>
      </c>
      <c r="K97" s="27">
        <f t="shared" si="17"/>
        <v>0</v>
      </c>
      <c r="L97" s="1"/>
    </row>
    <row r="98" spans="2:12" x14ac:dyDescent="0.25">
      <c r="B98" s="6"/>
      <c r="C98" s="26">
        <f t="shared" si="18"/>
        <v>8.125</v>
      </c>
      <c r="D98" s="24">
        <f t="shared" si="12"/>
        <v>-724.99834836299556</v>
      </c>
      <c r="E98" s="27">
        <f t="shared" si="13"/>
        <v>1359.3719031806163</v>
      </c>
      <c r="F98" s="26">
        <f t="shared" si="19"/>
        <v>9.21875</v>
      </c>
      <c r="G98" s="24">
        <f t="shared" si="14"/>
        <v>-724.99834836299556</v>
      </c>
      <c r="H98" s="27">
        <f t="shared" si="15"/>
        <v>566.40495965858963</v>
      </c>
      <c r="I98" s="26">
        <f t="shared" si="20"/>
        <v>10</v>
      </c>
      <c r="J98" s="24">
        <f t="shared" si="16"/>
        <v>0</v>
      </c>
      <c r="K98" s="27">
        <f t="shared" si="17"/>
        <v>0</v>
      </c>
      <c r="L98" s="1"/>
    </row>
    <row r="99" spans="2:12" x14ac:dyDescent="0.25">
      <c r="B99" s="6"/>
      <c r="C99" s="26">
        <f t="shared" si="18"/>
        <v>8.25</v>
      </c>
      <c r="D99" s="24">
        <f t="shared" si="12"/>
        <v>-724.99834836299556</v>
      </c>
      <c r="E99" s="27">
        <f t="shared" si="13"/>
        <v>1268.7471096352417</v>
      </c>
      <c r="F99" s="26">
        <f t="shared" si="19"/>
        <v>9.375</v>
      </c>
      <c r="G99" s="24">
        <f t="shared" si="14"/>
        <v>-724.99834836299556</v>
      </c>
      <c r="H99" s="27">
        <f t="shared" si="15"/>
        <v>453.1239677268718</v>
      </c>
      <c r="I99" s="26">
        <f t="shared" si="20"/>
        <v>10</v>
      </c>
      <c r="J99" s="24">
        <f t="shared" si="16"/>
        <v>0</v>
      </c>
      <c r="K99" s="27">
        <f t="shared" si="17"/>
        <v>0</v>
      </c>
      <c r="L99" s="1"/>
    </row>
    <row r="100" spans="2:12" x14ac:dyDescent="0.25">
      <c r="B100" s="6"/>
      <c r="C100" s="26">
        <f t="shared" si="18"/>
        <v>8.375</v>
      </c>
      <c r="D100" s="24">
        <f t="shared" si="12"/>
        <v>-724.99834836299556</v>
      </c>
      <c r="E100" s="27">
        <f t="shared" si="13"/>
        <v>1178.1223160898676</v>
      </c>
      <c r="F100" s="26">
        <f t="shared" si="19"/>
        <v>9.53125</v>
      </c>
      <c r="G100" s="24">
        <f t="shared" si="14"/>
        <v>-724.99834836299556</v>
      </c>
      <c r="H100" s="27">
        <f t="shared" si="15"/>
        <v>339.84297579515373</v>
      </c>
      <c r="I100" s="26">
        <f t="shared" si="20"/>
        <v>10</v>
      </c>
      <c r="J100" s="24">
        <f t="shared" si="16"/>
        <v>0</v>
      </c>
      <c r="K100" s="27">
        <f t="shared" si="17"/>
        <v>0</v>
      </c>
      <c r="L100" s="1"/>
    </row>
    <row r="101" spans="2:12" x14ac:dyDescent="0.25">
      <c r="B101" s="6"/>
      <c r="C101" s="26">
        <f t="shared" si="18"/>
        <v>8.5</v>
      </c>
      <c r="D101" s="24">
        <f t="shared" si="12"/>
        <v>-724.99834836299556</v>
      </c>
      <c r="E101" s="27">
        <f t="shared" si="13"/>
        <v>1087.4975225444932</v>
      </c>
      <c r="F101" s="26">
        <f t="shared" si="19"/>
        <v>9.6875</v>
      </c>
      <c r="G101" s="24">
        <f t="shared" si="14"/>
        <v>-724.99834836299556</v>
      </c>
      <c r="H101" s="27">
        <f t="shared" si="15"/>
        <v>226.5619838634359</v>
      </c>
      <c r="I101" s="26">
        <f t="shared" si="20"/>
        <v>10</v>
      </c>
      <c r="J101" s="24">
        <f t="shared" si="16"/>
        <v>0</v>
      </c>
      <c r="K101" s="27">
        <f t="shared" si="17"/>
        <v>0</v>
      </c>
      <c r="L101" s="1"/>
    </row>
    <row r="102" spans="2:12" x14ac:dyDescent="0.25">
      <c r="B102" s="6"/>
      <c r="C102" s="26">
        <f t="shared" si="18"/>
        <v>8.625</v>
      </c>
      <c r="D102" s="24">
        <f t="shared" si="12"/>
        <v>-724.99834836299556</v>
      </c>
      <c r="E102" s="27">
        <f t="shared" si="13"/>
        <v>996.87272899911864</v>
      </c>
      <c r="F102" s="26">
        <f t="shared" si="19"/>
        <v>9.84375</v>
      </c>
      <c r="G102" s="24">
        <f t="shared" si="14"/>
        <v>-724.99834836299556</v>
      </c>
      <c r="H102" s="27">
        <f t="shared" si="15"/>
        <v>113.28099193171761</v>
      </c>
      <c r="I102" s="26">
        <f t="shared" si="20"/>
        <v>10</v>
      </c>
      <c r="J102" s="24">
        <f t="shared" si="16"/>
        <v>0</v>
      </c>
      <c r="K102" s="27">
        <f t="shared" si="17"/>
        <v>0</v>
      </c>
      <c r="L102" s="1"/>
    </row>
    <row r="103" spans="2:12" x14ac:dyDescent="0.25">
      <c r="B103" s="6"/>
      <c r="C103" s="28">
        <f t="shared" si="18"/>
        <v>8.75</v>
      </c>
      <c r="D103" s="25">
        <f t="shared" si="12"/>
        <v>-724.99834836299556</v>
      </c>
      <c r="E103" s="29">
        <f t="shared" si="13"/>
        <v>906.24793545374416</v>
      </c>
      <c r="F103" s="28">
        <f t="shared" si="19"/>
        <v>10</v>
      </c>
      <c r="G103" s="25">
        <f t="shared" si="14"/>
        <v>-724.99834836299556</v>
      </c>
      <c r="H103" s="29">
        <f t="shared" si="15"/>
        <v>0</v>
      </c>
      <c r="I103" s="28">
        <f t="shared" si="20"/>
        <v>10</v>
      </c>
      <c r="J103" s="25">
        <f t="shared" si="16"/>
        <v>0</v>
      </c>
      <c r="K103" s="29">
        <f t="shared" si="17"/>
        <v>0</v>
      </c>
      <c r="L103" s="1"/>
    </row>
    <row r="104" spans="2:12" x14ac:dyDescent="0.25">
      <c r="B104" s="6"/>
      <c r="C104" s="8">
        <f t="shared" ref="C104:H104" si="21">F95</f>
        <v>8.75</v>
      </c>
      <c r="D104" s="8">
        <f t="shared" si="21"/>
        <v>-724.99834836299556</v>
      </c>
      <c r="E104" s="8">
        <f t="shared" si="21"/>
        <v>906.24793545374416</v>
      </c>
      <c r="F104" s="26">
        <f t="shared" si="21"/>
        <v>10</v>
      </c>
      <c r="G104" s="24">
        <f t="shared" si="21"/>
        <v>0</v>
      </c>
      <c r="H104" s="27">
        <f t="shared" si="21"/>
        <v>0</v>
      </c>
      <c r="I104" s="1"/>
      <c r="J104" s="1"/>
      <c r="K104" s="1"/>
      <c r="L104" s="1"/>
    </row>
    <row r="105" spans="2:12" x14ac:dyDescent="0.25">
      <c r="B105" s="6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2:12" x14ac:dyDescent="0.25">
      <c r="B106" s="6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2:12" x14ac:dyDescent="0.25">
      <c r="B107" s="6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2:12" x14ac:dyDescent="0.25">
      <c r="B108" s="6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2:12" x14ac:dyDescent="0.25">
      <c r="B109" s="6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2:12" x14ac:dyDescent="0.25">
      <c r="B110" s="6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2:12" x14ac:dyDescent="0.25">
      <c r="B111" s="6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2:12" x14ac:dyDescent="0.25">
      <c r="B112" s="6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2:12" x14ac:dyDescent="0.25">
      <c r="B113" s="6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2:12" x14ac:dyDescent="0.25">
      <c r="B114" s="6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2:12" x14ac:dyDescent="0.25">
      <c r="B115" s="6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2:12" x14ac:dyDescent="0.25">
      <c r="B116" s="6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2:12" x14ac:dyDescent="0.25">
      <c r="B117" s="6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2:12" x14ac:dyDescent="0.25">
      <c r="B118" s="6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2:12" x14ac:dyDescent="0.25">
      <c r="B119" s="6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2:12" x14ac:dyDescent="0.25">
      <c r="B120" s="6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2:12" x14ac:dyDescent="0.25">
      <c r="B121" s="6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2:12" x14ac:dyDescent="0.25">
      <c r="B122" s="6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2:12" x14ac:dyDescent="0.25">
      <c r="B123" s="6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2:12" x14ac:dyDescent="0.25">
      <c r="B124" s="6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2:12" x14ac:dyDescent="0.25">
      <c r="B125" s="6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2:12" x14ac:dyDescent="0.25">
      <c r="B126" s="6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2:12" x14ac:dyDescent="0.25">
      <c r="B127" s="6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2:12" x14ac:dyDescent="0.25">
      <c r="B128" s="6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2:12" x14ac:dyDescent="0.25">
      <c r="B129" s="6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2:12" x14ac:dyDescent="0.25">
      <c r="B130" s="6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2:12" x14ac:dyDescent="0.25">
      <c r="B131" s="6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2:12" x14ac:dyDescent="0.25">
      <c r="B132" s="6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2:12" x14ac:dyDescent="0.25">
      <c r="B133" s="6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2:12" x14ac:dyDescent="0.25">
      <c r="B134" s="6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2:12" x14ac:dyDescent="0.25">
      <c r="B135" s="6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2:12" x14ac:dyDescent="0.25">
      <c r="B136" s="6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2:12" x14ac:dyDescent="0.25">
      <c r="B137" s="6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2:12" x14ac:dyDescent="0.25">
      <c r="B138" s="6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2:12" x14ac:dyDescent="0.25">
      <c r="B139" s="6"/>
      <c r="C139" s="6"/>
      <c r="D139" s="6"/>
      <c r="E139" s="63" t="s">
        <v>148</v>
      </c>
      <c r="F139" s="63"/>
      <c r="G139" s="63"/>
      <c r="H139" s="63"/>
      <c r="I139" s="63"/>
      <c r="J139" s="63"/>
      <c r="K139" s="6"/>
      <c r="L139" s="1"/>
    </row>
    <row r="140" spans="2:12" x14ac:dyDescent="0.25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1"/>
    </row>
    <row r="141" spans="2:12" x14ac:dyDescent="0.25">
      <c r="B141" s="6"/>
      <c r="C141" s="6"/>
      <c r="D141" s="6"/>
      <c r="E141" s="6"/>
      <c r="F141" s="3" t="s">
        <v>63</v>
      </c>
      <c r="G141" s="3" t="s">
        <v>132</v>
      </c>
      <c r="H141" s="3" t="s">
        <v>133</v>
      </c>
      <c r="I141" s="3" t="s">
        <v>134</v>
      </c>
      <c r="J141" s="3" t="s">
        <v>135</v>
      </c>
      <c r="K141" s="3" t="s">
        <v>64</v>
      </c>
      <c r="L141" s="1"/>
    </row>
    <row r="142" spans="2:12" x14ac:dyDescent="0.25">
      <c r="B142" s="6"/>
      <c r="C142" s="6"/>
      <c r="D142" s="6"/>
      <c r="E142" s="6" t="s">
        <v>136</v>
      </c>
      <c r="F142" s="6">
        <f>F60</f>
        <v>115.33572973118362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1"/>
    </row>
    <row r="143" spans="2:12" x14ac:dyDescent="0.25">
      <c r="B143" s="6"/>
      <c r="C143" s="6"/>
      <c r="D143" s="6"/>
      <c r="E143" s="6" t="s">
        <v>137</v>
      </c>
      <c r="F143" s="6">
        <f>F142</f>
        <v>115.33572973118362</v>
      </c>
      <c r="G143" s="9">
        <f>F20</f>
        <v>539.54292104347189</v>
      </c>
      <c r="H143" s="10">
        <v>0</v>
      </c>
      <c r="I143" s="6">
        <v>0</v>
      </c>
      <c r="J143" s="6">
        <v>0</v>
      </c>
      <c r="K143" s="6">
        <v>0</v>
      </c>
      <c r="L143" s="1"/>
    </row>
    <row r="144" spans="2:12" x14ac:dyDescent="0.25">
      <c r="B144" s="6"/>
      <c r="C144" s="6"/>
      <c r="D144" s="6"/>
      <c r="E144" s="6" t="s">
        <v>138</v>
      </c>
      <c r="F144" s="6">
        <f>F143</f>
        <v>115.33572973118362</v>
      </c>
      <c r="G144" s="9">
        <f>G143</f>
        <v>539.54292104347189</v>
      </c>
      <c r="H144" s="6">
        <v>0</v>
      </c>
      <c r="I144" s="6">
        <v>0</v>
      </c>
      <c r="J144" s="6">
        <v>0</v>
      </c>
      <c r="K144" s="6">
        <v>0</v>
      </c>
      <c r="L144" s="1"/>
    </row>
    <row r="145" spans="2:12" x14ac:dyDescent="0.25">
      <c r="B145" s="6"/>
      <c r="C145" s="6"/>
      <c r="D145" s="6"/>
      <c r="E145" s="6" t="s">
        <v>139</v>
      </c>
      <c r="F145" s="6">
        <f t="shared" ref="F145:F147" si="22">F144</f>
        <v>115.33572973118362</v>
      </c>
      <c r="G145" s="9">
        <f t="shared" ref="G145:G147" si="23">G144</f>
        <v>539.54292104347189</v>
      </c>
      <c r="H145" s="6">
        <v>0</v>
      </c>
      <c r="I145" s="10">
        <f>-F21</f>
        <v>-2430.9780736264929</v>
      </c>
      <c r="J145" s="6">
        <v>0</v>
      </c>
      <c r="K145" s="6">
        <v>0</v>
      </c>
      <c r="L145" s="1"/>
    </row>
    <row r="146" spans="2:12" x14ac:dyDescent="0.25">
      <c r="B146" s="6"/>
      <c r="C146" s="6"/>
      <c r="D146" s="6"/>
      <c r="E146" s="6" t="s">
        <v>140</v>
      </c>
      <c r="F146" s="6">
        <f t="shared" si="22"/>
        <v>115.33572973118362</v>
      </c>
      <c r="G146" s="9">
        <f t="shared" si="23"/>
        <v>539.54292104347189</v>
      </c>
      <c r="H146" s="6">
        <v>0</v>
      </c>
      <c r="I146" s="10">
        <f>I145</f>
        <v>-2430.9780736264929</v>
      </c>
      <c r="J146" s="6">
        <v>0</v>
      </c>
      <c r="K146" s="6">
        <v>0</v>
      </c>
      <c r="L146" s="1"/>
    </row>
    <row r="147" spans="2:12" x14ac:dyDescent="0.25">
      <c r="B147" s="6"/>
      <c r="C147" s="6"/>
      <c r="D147" s="6"/>
      <c r="E147" s="6" t="s">
        <v>141</v>
      </c>
      <c r="F147" s="6">
        <f t="shared" si="22"/>
        <v>115.33572973118362</v>
      </c>
      <c r="G147" s="9">
        <f t="shared" si="23"/>
        <v>539.54292104347189</v>
      </c>
      <c r="H147" s="6">
        <v>0</v>
      </c>
      <c r="I147" s="10">
        <f>I145</f>
        <v>-2430.9780736264929</v>
      </c>
      <c r="J147" s="6">
        <v>0</v>
      </c>
      <c r="K147" s="6">
        <f>F62</f>
        <v>1776.0994228518375</v>
      </c>
      <c r="L147" s="1"/>
    </row>
    <row r="148" spans="2:12" x14ac:dyDescent="0.25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1"/>
    </row>
    <row r="149" spans="2:12" x14ac:dyDescent="0.25">
      <c r="B149" s="6"/>
      <c r="C149" s="6"/>
      <c r="D149" s="6"/>
      <c r="E149" s="23" t="s">
        <v>142</v>
      </c>
      <c r="F149" s="23" t="s">
        <v>143</v>
      </c>
      <c r="G149" s="6"/>
      <c r="H149" s="6"/>
      <c r="I149" s="6"/>
      <c r="J149" s="6"/>
      <c r="K149" s="6"/>
      <c r="L149" s="1"/>
    </row>
    <row r="150" spans="2:12" x14ac:dyDescent="0.25">
      <c r="B150" s="6"/>
      <c r="C150" s="6"/>
      <c r="D150" s="6"/>
      <c r="E150" s="23">
        <v>0</v>
      </c>
      <c r="F150" s="23">
        <v>2</v>
      </c>
      <c r="G150" s="6"/>
      <c r="H150" s="6"/>
      <c r="I150" s="6"/>
      <c r="J150" s="6"/>
      <c r="K150" s="6"/>
      <c r="L150" s="1"/>
    </row>
    <row r="151" spans="2:12" x14ac:dyDescent="0.25">
      <c r="B151" s="6"/>
      <c r="C151" s="6"/>
      <c r="D151" s="6"/>
      <c r="E151" s="23">
        <v>2</v>
      </c>
      <c r="F151" s="23">
        <v>6.75</v>
      </c>
      <c r="G151" s="6"/>
      <c r="H151" s="6"/>
      <c r="I151" s="6"/>
      <c r="J151" s="6"/>
      <c r="K151" s="6"/>
      <c r="L151" s="1"/>
    </row>
    <row r="152" spans="2:12" x14ac:dyDescent="0.25">
      <c r="B152" s="6"/>
      <c r="C152" s="6"/>
      <c r="D152" s="6"/>
      <c r="E152" s="23">
        <v>6.75</v>
      </c>
      <c r="F152" s="23">
        <v>7.75</v>
      </c>
      <c r="G152" s="6"/>
      <c r="H152" s="6"/>
      <c r="I152" s="6"/>
      <c r="J152" s="6"/>
      <c r="K152" s="6"/>
      <c r="L152" s="1"/>
    </row>
    <row r="153" spans="2:12" x14ac:dyDescent="0.25">
      <c r="B153" s="6"/>
      <c r="C153" s="6"/>
      <c r="D153" s="6"/>
      <c r="E153" s="23">
        <v>7.75</v>
      </c>
      <c r="F153" s="23">
        <v>8.75</v>
      </c>
      <c r="G153" s="6"/>
      <c r="H153" s="6"/>
      <c r="I153" s="6"/>
      <c r="J153" s="6"/>
      <c r="K153" s="6"/>
      <c r="L153" s="1"/>
    </row>
    <row r="154" spans="2:12" x14ac:dyDescent="0.25">
      <c r="B154" s="6"/>
      <c r="C154" s="6"/>
      <c r="D154" s="6"/>
      <c r="E154" s="23">
        <v>8.75</v>
      </c>
      <c r="F154" s="23">
        <v>10</v>
      </c>
      <c r="G154" s="6"/>
      <c r="H154" s="6"/>
      <c r="I154" s="6"/>
      <c r="J154" s="6"/>
      <c r="K154" s="6"/>
      <c r="L154" s="1"/>
    </row>
    <row r="155" spans="2:12" x14ac:dyDescent="0.25">
      <c r="B155" s="6"/>
      <c r="C155" s="6"/>
      <c r="D155" s="6"/>
      <c r="E155" s="3">
        <v>10</v>
      </c>
      <c r="F155" s="3">
        <v>10</v>
      </c>
      <c r="G155" s="6"/>
      <c r="H155" s="6"/>
      <c r="I155" s="6"/>
      <c r="J155" s="6"/>
      <c r="K155" s="6"/>
      <c r="L155" s="1"/>
    </row>
    <row r="156" spans="2:12" x14ac:dyDescent="0.25">
      <c r="B156" s="6"/>
      <c r="C156" s="60" t="s">
        <v>136</v>
      </c>
      <c r="D156" s="61"/>
      <c r="E156" s="62"/>
      <c r="F156" s="60" t="s">
        <v>137</v>
      </c>
      <c r="G156" s="61"/>
      <c r="H156" s="62"/>
      <c r="I156" s="60" t="s">
        <v>138</v>
      </c>
      <c r="J156" s="61"/>
      <c r="K156" s="62"/>
      <c r="L156" s="1"/>
    </row>
    <row r="157" spans="2:12" x14ac:dyDescent="0.25">
      <c r="B157" s="6"/>
      <c r="C157" s="26" t="s">
        <v>144</v>
      </c>
      <c r="D157" s="24" t="s">
        <v>145</v>
      </c>
      <c r="E157" s="27" t="s">
        <v>146</v>
      </c>
      <c r="F157" s="26" t="s">
        <v>144</v>
      </c>
      <c r="G157" s="24" t="s">
        <v>145</v>
      </c>
      <c r="H157" s="27" t="s">
        <v>146</v>
      </c>
      <c r="I157" s="26" t="s">
        <v>144</v>
      </c>
      <c r="J157" s="24" t="s">
        <v>145</v>
      </c>
      <c r="K157" s="27" t="s">
        <v>146</v>
      </c>
      <c r="L157" s="1"/>
    </row>
    <row r="158" spans="2:12" x14ac:dyDescent="0.25">
      <c r="B158" s="6"/>
      <c r="C158" s="26">
        <f>$E$75</f>
        <v>0</v>
      </c>
      <c r="D158" s="24">
        <f>$F$142</f>
        <v>115.33572973118362</v>
      </c>
      <c r="E158" s="27">
        <f>$F$142*C158</f>
        <v>0</v>
      </c>
      <c r="F158" s="26">
        <f>$E$76</f>
        <v>2</v>
      </c>
      <c r="G158" s="24">
        <f>$F$143+$G$143</f>
        <v>654.87865077465551</v>
      </c>
      <c r="H158" s="27">
        <f>($F$143*F158)+($G$143*(F158-$E$76))</f>
        <v>230.67145946236724</v>
      </c>
      <c r="I158" s="26">
        <f>$E$77</f>
        <v>6.75</v>
      </c>
      <c r="J158" s="24">
        <f>$F$144+$G$144</f>
        <v>654.87865077465551</v>
      </c>
      <c r="K158" s="27">
        <f>($F$144*I158)+($G$144*(I158-$E$76))</f>
        <v>3341.3450506419808</v>
      </c>
      <c r="L158" s="1"/>
    </row>
    <row r="159" spans="2:12" x14ac:dyDescent="0.25">
      <c r="B159" s="6"/>
      <c r="C159" s="26">
        <f>C158+($F$75-$E$75)/8</f>
        <v>0.25</v>
      </c>
      <c r="D159" s="24">
        <f t="shared" ref="D159:D166" si="24">$F$142</f>
        <v>115.33572973118362</v>
      </c>
      <c r="E159" s="27">
        <f t="shared" ref="E159:E166" si="25">$F$142*C159</f>
        <v>28.833932432795905</v>
      </c>
      <c r="F159" s="26">
        <f>F158+($F$76-$E$76)/8</f>
        <v>2.59375</v>
      </c>
      <c r="G159" s="24">
        <f t="shared" ref="G159:G166" si="26">$F$143+$G$143</f>
        <v>654.87865077465551</v>
      </c>
      <c r="H159" s="27">
        <f t="shared" ref="H159:H166" si="27">($F$143*F159)+($G$143*(F159-$E$76))</f>
        <v>619.50565835981888</v>
      </c>
      <c r="I159" s="26">
        <f>I158+(($F$77-$E$77)/8)</f>
        <v>6.875</v>
      </c>
      <c r="J159" s="24">
        <f t="shared" ref="J159:J166" si="28">$F$144+$G$144</f>
        <v>654.87865077465551</v>
      </c>
      <c r="K159" s="27">
        <f t="shared" ref="K159:K166" si="29">($F$144*I159)+($G$144*(I159-$E$76))</f>
        <v>3423.2048819888132</v>
      </c>
      <c r="L159" s="1"/>
    </row>
    <row r="160" spans="2:12" x14ac:dyDescent="0.25">
      <c r="B160" s="6"/>
      <c r="C160" s="26">
        <f t="shared" ref="C160:C166" si="30">C159+($F$75-$E$75)/8</f>
        <v>0.5</v>
      </c>
      <c r="D160" s="24">
        <f t="shared" si="24"/>
        <v>115.33572973118362</v>
      </c>
      <c r="E160" s="27">
        <f t="shared" si="25"/>
        <v>57.66786486559181</v>
      </c>
      <c r="F160" s="26">
        <f t="shared" ref="F160:F166" si="31">F159+($F$76-$E$76)/8</f>
        <v>3.1875</v>
      </c>
      <c r="G160" s="24">
        <f t="shared" si="26"/>
        <v>654.87865077465551</v>
      </c>
      <c r="H160" s="27">
        <f t="shared" si="27"/>
        <v>1008.3398572572706</v>
      </c>
      <c r="I160" s="26">
        <f t="shared" ref="I160:I166" si="32">I159+(($F$77-$E$77)/8)</f>
        <v>7</v>
      </c>
      <c r="J160" s="24">
        <f t="shared" si="28"/>
        <v>654.87865077465551</v>
      </c>
      <c r="K160" s="27">
        <f t="shared" si="29"/>
        <v>3505.0647133356447</v>
      </c>
      <c r="L160" s="1"/>
    </row>
    <row r="161" spans="2:12" x14ac:dyDescent="0.25">
      <c r="B161" s="6"/>
      <c r="C161" s="26">
        <f t="shared" si="30"/>
        <v>0.75</v>
      </c>
      <c r="D161" s="24">
        <f t="shared" si="24"/>
        <v>115.33572973118362</v>
      </c>
      <c r="E161" s="27">
        <f t="shared" si="25"/>
        <v>86.501797298387714</v>
      </c>
      <c r="F161" s="26">
        <f t="shared" si="31"/>
        <v>3.78125</v>
      </c>
      <c r="G161" s="24">
        <f t="shared" si="26"/>
        <v>654.87865077465551</v>
      </c>
      <c r="H161" s="27">
        <f t="shared" si="27"/>
        <v>1397.1740561547224</v>
      </c>
      <c r="I161" s="26">
        <f t="shared" si="32"/>
        <v>7.125</v>
      </c>
      <c r="J161" s="24">
        <f t="shared" si="28"/>
        <v>654.87865077465551</v>
      </c>
      <c r="K161" s="27">
        <f t="shared" si="29"/>
        <v>3586.9245446824771</v>
      </c>
      <c r="L161" s="1"/>
    </row>
    <row r="162" spans="2:12" x14ac:dyDescent="0.25">
      <c r="B162" s="6"/>
      <c r="C162" s="26">
        <f t="shared" si="30"/>
        <v>1</v>
      </c>
      <c r="D162" s="24">
        <f t="shared" si="24"/>
        <v>115.33572973118362</v>
      </c>
      <c r="E162" s="27">
        <f t="shared" si="25"/>
        <v>115.33572973118362</v>
      </c>
      <c r="F162" s="26">
        <f t="shared" si="31"/>
        <v>4.375</v>
      </c>
      <c r="G162" s="24">
        <f t="shared" si="26"/>
        <v>654.87865077465551</v>
      </c>
      <c r="H162" s="27">
        <f t="shared" si="27"/>
        <v>1786.008255052174</v>
      </c>
      <c r="I162" s="26">
        <f t="shared" si="32"/>
        <v>7.25</v>
      </c>
      <c r="J162" s="24">
        <f t="shared" si="28"/>
        <v>654.87865077465551</v>
      </c>
      <c r="K162" s="27">
        <f t="shared" si="29"/>
        <v>3668.7843760293085</v>
      </c>
      <c r="L162" s="1"/>
    </row>
    <row r="163" spans="2:12" x14ac:dyDescent="0.25">
      <c r="B163" s="6"/>
      <c r="C163" s="26">
        <f t="shared" si="30"/>
        <v>1.25</v>
      </c>
      <c r="D163" s="24">
        <f t="shared" si="24"/>
        <v>115.33572973118362</v>
      </c>
      <c r="E163" s="27">
        <f t="shared" si="25"/>
        <v>144.16966216397952</v>
      </c>
      <c r="F163" s="26">
        <f t="shared" si="31"/>
        <v>4.96875</v>
      </c>
      <c r="G163" s="24">
        <f t="shared" si="26"/>
        <v>654.87865077465551</v>
      </c>
      <c r="H163" s="27">
        <f t="shared" si="27"/>
        <v>2174.8424539496259</v>
      </c>
      <c r="I163" s="26">
        <f t="shared" si="32"/>
        <v>7.375</v>
      </c>
      <c r="J163" s="24">
        <f t="shared" si="28"/>
        <v>654.87865077465551</v>
      </c>
      <c r="K163" s="27">
        <f t="shared" si="29"/>
        <v>3750.6442073761405</v>
      </c>
      <c r="L163" s="1"/>
    </row>
    <row r="164" spans="2:12" x14ac:dyDescent="0.25">
      <c r="B164" s="6"/>
      <c r="C164" s="26">
        <f t="shared" si="30"/>
        <v>1.5</v>
      </c>
      <c r="D164" s="24">
        <f t="shared" si="24"/>
        <v>115.33572973118362</v>
      </c>
      <c r="E164" s="27">
        <f t="shared" si="25"/>
        <v>173.00359459677543</v>
      </c>
      <c r="F164" s="26">
        <f t="shared" si="31"/>
        <v>5.5625</v>
      </c>
      <c r="G164" s="24">
        <f t="shared" si="26"/>
        <v>654.87865077465551</v>
      </c>
      <c r="H164" s="27">
        <f t="shared" si="27"/>
        <v>2563.6766528470775</v>
      </c>
      <c r="I164" s="26">
        <f t="shared" si="32"/>
        <v>7.5</v>
      </c>
      <c r="J164" s="24">
        <f t="shared" si="28"/>
        <v>654.87865077465551</v>
      </c>
      <c r="K164" s="27">
        <f t="shared" si="29"/>
        <v>3832.5040387229728</v>
      </c>
      <c r="L164" s="1"/>
    </row>
    <row r="165" spans="2:12" x14ac:dyDescent="0.25">
      <c r="B165" s="6"/>
      <c r="C165" s="26">
        <f t="shared" si="30"/>
        <v>1.75</v>
      </c>
      <c r="D165" s="24">
        <f t="shared" si="24"/>
        <v>115.33572973118362</v>
      </c>
      <c r="E165" s="27">
        <f t="shared" si="25"/>
        <v>201.83752702957133</v>
      </c>
      <c r="F165" s="26">
        <f t="shared" si="31"/>
        <v>6.15625</v>
      </c>
      <c r="G165" s="24">
        <f t="shared" si="26"/>
        <v>654.87865077465551</v>
      </c>
      <c r="H165" s="27">
        <f t="shared" si="27"/>
        <v>2952.5108517445292</v>
      </c>
      <c r="I165" s="26">
        <f t="shared" si="32"/>
        <v>7.625</v>
      </c>
      <c r="J165" s="24">
        <f t="shared" si="28"/>
        <v>654.87865077465551</v>
      </c>
      <c r="K165" s="27">
        <f t="shared" si="29"/>
        <v>3914.3638700698043</v>
      </c>
      <c r="L165" s="1"/>
    </row>
    <row r="166" spans="2:12" x14ac:dyDescent="0.25">
      <c r="B166" s="6"/>
      <c r="C166" s="28">
        <f t="shared" si="30"/>
        <v>2</v>
      </c>
      <c r="D166" s="25">
        <f t="shared" si="24"/>
        <v>115.33572973118362</v>
      </c>
      <c r="E166" s="29">
        <f t="shared" si="25"/>
        <v>230.67145946236724</v>
      </c>
      <c r="F166" s="28">
        <f t="shared" si="31"/>
        <v>6.75</v>
      </c>
      <c r="G166" s="25">
        <f t="shared" si="26"/>
        <v>654.87865077465551</v>
      </c>
      <c r="H166" s="29">
        <f t="shared" si="27"/>
        <v>3341.3450506419808</v>
      </c>
      <c r="I166" s="28">
        <f t="shared" si="32"/>
        <v>7.75</v>
      </c>
      <c r="J166" s="25">
        <f t="shared" si="28"/>
        <v>654.87865077465551</v>
      </c>
      <c r="K166" s="29">
        <f t="shared" si="29"/>
        <v>3996.2237014166367</v>
      </c>
      <c r="L166" s="1"/>
    </row>
    <row r="167" spans="2:12" x14ac:dyDescent="0.25">
      <c r="B167" s="6"/>
      <c r="C167" s="26">
        <f t="shared" ref="C167:H167" si="33">F158</f>
        <v>2</v>
      </c>
      <c r="D167" s="24">
        <f t="shared" si="33"/>
        <v>654.87865077465551</v>
      </c>
      <c r="E167" s="27">
        <f t="shared" si="33"/>
        <v>230.67145946236724</v>
      </c>
      <c r="F167" s="26">
        <f t="shared" si="33"/>
        <v>6.75</v>
      </c>
      <c r="G167" s="24">
        <f t="shared" si="33"/>
        <v>654.87865077465551</v>
      </c>
      <c r="H167" s="27">
        <f t="shared" si="33"/>
        <v>3341.3450506419808</v>
      </c>
      <c r="I167" s="30">
        <f>C170</f>
        <v>7.75</v>
      </c>
      <c r="J167" s="30">
        <f>D170</f>
        <v>-1776.0994228518375</v>
      </c>
      <c r="K167" s="30">
        <f>E170</f>
        <v>3996.2237014166367</v>
      </c>
      <c r="L167" s="1"/>
    </row>
    <row r="168" spans="2:12" x14ac:dyDescent="0.25">
      <c r="B168" s="6"/>
      <c r="C168" s="64" t="s">
        <v>139</v>
      </c>
      <c r="D168" s="65"/>
      <c r="E168" s="66"/>
      <c r="F168" s="64" t="s">
        <v>140</v>
      </c>
      <c r="G168" s="65"/>
      <c r="H168" s="66"/>
      <c r="I168" s="64" t="s">
        <v>141</v>
      </c>
      <c r="J168" s="65"/>
      <c r="K168" s="66"/>
      <c r="L168" s="1"/>
    </row>
    <row r="169" spans="2:12" x14ac:dyDescent="0.25">
      <c r="B169" s="6"/>
      <c r="C169" s="26" t="s">
        <v>144</v>
      </c>
      <c r="D169" s="24" t="s">
        <v>145</v>
      </c>
      <c r="E169" s="27" t="s">
        <v>146</v>
      </c>
      <c r="F169" s="26" t="s">
        <v>144</v>
      </c>
      <c r="G169" s="24" t="s">
        <v>145</v>
      </c>
      <c r="H169" s="27" t="s">
        <v>146</v>
      </c>
      <c r="I169" s="26" t="s">
        <v>144</v>
      </c>
      <c r="J169" s="24" t="s">
        <v>145</v>
      </c>
      <c r="K169" s="27" t="s">
        <v>146</v>
      </c>
      <c r="L169" s="1"/>
    </row>
    <row r="170" spans="2:12" x14ac:dyDescent="0.25">
      <c r="B170" s="6"/>
      <c r="C170" s="26">
        <f>$E$78</f>
        <v>7.75</v>
      </c>
      <c r="D170" s="24">
        <f>$F$145+$G$145+$I$145</f>
        <v>-1776.0994228518375</v>
      </c>
      <c r="E170" s="27">
        <f>($F$145*C170)+($G$145*(C170-$E$76))+($I$145*(C170-$E$78))</f>
        <v>3996.2237014166367</v>
      </c>
      <c r="F170" s="26">
        <f>E154</f>
        <v>8.75</v>
      </c>
      <c r="G170" s="24">
        <f>$F$146+$G$146+$I$146</f>
        <v>-1776.0994228518375</v>
      </c>
      <c r="H170" s="27">
        <f>($F$146*F170)+($G$146*(F170-$E$76))+($I$146*(F170-$E$78))</f>
        <v>2220.1242785647992</v>
      </c>
      <c r="I170" s="26">
        <f>E155</f>
        <v>10</v>
      </c>
      <c r="J170" s="24">
        <f>$F$147+$G$147+$I$147+$K$147</f>
        <v>0</v>
      </c>
      <c r="K170" s="27">
        <f>($F$147*I170)+($G$147*(I170-$E$76))+($I$147*(I170-$E$78))</f>
        <v>0</v>
      </c>
      <c r="L170" s="1"/>
    </row>
    <row r="171" spans="2:12" x14ac:dyDescent="0.25">
      <c r="B171" s="6"/>
      <c r="C171" s="26">
        <f>C170+(($F$78-$E$78)/8)</f>
        <v>7.875</v>
      </c>
      <c r="D171" s="24">
        <f t="shared" ref="D171:D178" si="34">$F$145+$G$145+$I$145</f>
        <v>-1776.0994228518375</v>
      </c>
      <c r="E171" s="27">
        <f t="shared" ref="E171:E178" si="35">($F$145*C171)+($G$145*(C171-$E$76))+($I$145*(C171-$E$78))</f>
        <v>3774.2112735601568</v>
      </c>
      <c r="F171" s="26">
        <f>F170+(($F$79-$E$79)/8)</f>
        <v>8.90625</v>
      </c>
      <c r="G171" s="24">
        <f t="shared" ref="G171:G178" si="36">$F$146+$G$146+$I$146</f>
        <v>-1776.0994228518375</v>
      </c>
      <c r="H171" s="27">
        <f t="shared" ref="H171:H178" si="37">($F$146*F171)+($G$146*(F171-$E$76))+($I$146*(F171-$E$78))</f>
        <v>1942.6087437441997</v>
      </c>
      <c r="I171" s="26">
        <f>I170+(($F$80-$E$80)/8)</f>
        <v>10</v>
      </c>
      <c r="J171" s="24">
        <f t="shared" ref="J171:J178" si="38">$F$147+$G$147+$I$147+$K$147</f>
        <v>0</v>
      </c>
      <c r="K171" s="27">
        <f t="shared" ref="K171:K178" si="39">($F$147*I171)+($G$147*(I171-$E$76))+($I$147*(I171-$E$78))</f>
        <v>0</v>
      </c>
      <c r="L171" s="1"/>
    </row>
    <row r="172" spans="2:12" x14ac:dyDescent="0.25">
      <c r="B172" s="6"/>
      <c r="C172" s="26">
        <f t="shared" ref="C172:C178" si="40">C171+(($F$78-$E$78)/8)</f>
        <v>8</v>
      </c>
      <c r="D172" s="24">
        <f t="shared" si="34"/>
        <v>-1776.0994228518375</v>
      </c>
      <c r="E172" s="27">
        <f t="shared" si="35"/>
        <v>3552.1988457036773</v>
      </c>
      <c r="F172" s="26">
        <f t="shared" ref="F172:F178" si="41">F171+(($F$79-$E$79)/8)</f>
        <v>9.0625</v>
      </c>
      <c r="G172" s="24">
        <f t="shared" si="36"/>
        <v>-1776.0994228518375</v>
      </c>
      <c r="H172" s="27">
        <f t="shared" si="37"/>
        <v>1665.0932089235998</v>
      </c>
      <c r="I172" s="26">
        <f t="shared" ref="I172:I178" si="42">I171+(($F$80-$E$80)/8)</f>
        <v>10</v>
      </c>
      <c r="J172" s="24">
        <f t="shared" si="38"/>
        <v>0</v>
      </c>
      <c r="K172" s="27">
        <f t="shared" si="39"/>
        <v>0</v>
      </c>
      <c r="L172" s="1"/>
    </row>
    <row r="173" spans="2:12" x14ac:dyDescent="0.25">
      <c r="B173" s="6"/>
      <c r="C173" s="26">
        <f t="shared" si="40"/>
        <v>8.125</v>
      </c>
      <c r="D173" s="24">
        <f t="shared" si="34"/>
        <v>-1776.0994228518375</v>
      </c>
      <c r="E173" s="27">
        <f t="shared" si="35"/>
        <v>3330.1864178471978</v>
      </c>
      <c r="F173" s="26">
        <f t="shared" si="41"/>
        <v>9.21875</v>
      </c>
      <c r="G173" s="24">
        <f t="shared" si="36"/>
        <v>-1776.0994228518375</v>
      </c>
      <c r="H173" s="27">
        <f t="shared" si="37"/>
        <v>1387.5776741030004</v>
      </c>
      <c r="I173" s="26">
        <f t="shared" si="42"/>
        <v>10</v>
      </c>
      <c r="J173" s="24">
        <f t="shared" si="38"/>
        <v>0</v>
      </c>
      <c r="K173" s="27">
        <f t="shared" si="39"/>
        <v>0</v>
      </c>
      <c r="L173" s="1"/>
    </row>
    <row r="174" spans="2:12" x14ac:dyDescent="0.25">
      <c r="B174" s="6"/>
      <c r="C174" s="26">
        <f t="shared" si="40"/>
        <v>8.25</v>
      </c>
      <c r="D174" s="24">
        <f t="shared" si="34"/>
        <v>-1776.0994228518375</v>
      </c>
      <c r="E174" s="27">
        <f t="shared" si="35"/>
        <v>3108.1739899907179</v>
      </c>
      <c r="F174" s="26">
        <f t="shared" si="41"/>
        <v>9.375</v>
      </c>
      <c r="G174" s="24">
        <f t="shared" si="36"/>
        <v>-1776.0994228518375</v>
      </c>
      <c r="H174" s="27">
        <f t="shared" si="37"/>
        <v>1110.0621392824005</v>
      </c>
      <c r="I174" s="26">
        <f t="shared" si="42"/>
        <v>10</v>
      </c>
      <c r="J174" s="24">
        <f t="shared" si="38"/>
        <v>0</v>
      </c>
      <c r="K174" s="27">
        <f t="shared" si="39"/>
        <v>0</v>
      </c>
      <c r="L174" s="1"/>
    </row>
    <row r="175" spans="2:12" x14ac:dyDescent="0.25">
      <c r="B175" s="6"/>
      <c r="C175" s="26">
        <f t="shared" si="40"/>
        <v>8.375</v>
      </c>
      <c r="D175" s="24">
        <f t="shared" si="34"/>
        <v>-1776.0994228518375</v>
      </c>
      <c r="E175" s="27">
        <f t="shared" si="35"/>
        <v>2886.161562134238</v>
      </c>
      <c r="F175" s="26">
        <f t="shared" si="41"/>
        <v>9.53125</v>
      </c>
      <c r="G175" s="24">
        <f t="shared" si="36"/>
        <v>-1776.0994228518375</v>
      </c>
      <c r="H175" s="27">
        <f t="shared" si="37"/>
        <v>832.54660446180151</v>
      </c>
      <c r="I175" s="26">
        <f t="shared" si="42"/>
        <v>10</v>
      </c>
      <c r="J175" s="24">
        <f t="shared" si="38"/>
        <v>0</v>
      </c>
      <c r="K175" s="27">
        <f t="shared" si="39"/>
        <v>0</v>
      </c>
      <c r="L175" s="1"/>
    </row>
    <row r="176" spans="2:12" x14ac:dyDescent="0.25">
      <c r="B176" s="6"/>
      <c r="C176" s="26">
        <f t="shared" si="40"/>
        <v>8.5</v>
      </c>
      <c r="D176" s="24">
        <f t="shared" si="34"/>
        <v>-1776.0994228518375</v>
      </c>
      <c r="E176" s="27">
        <f t="shared" si="35"/>
        <v>2664.1491342777585</v>
      </c>
      <c r="F176" s="26">
        <f t="shared" si="41"/>
        <v>9.6875</v>
      </c>
      <c r="G176" s="24">
        <f t="shared" si="36"/>
        <v>-1776.0994228518375</v>
      </c>
      <c r="H176" s="27">
        <f t="shared" si="37"/>
        <v>555.03106964120161</v>
      </c>
      <c r="I176" s="26">
        <f t="shared" si="42"/>
        <v>10</v>
      </c>
      <c r="J176" s="24">
        <f t="shared" si="38"/>
        <v>0</v>
      </c>
      <c r="K176" s="27">
        <f t="shared" si="39"/>
        <v>0</v>
      </c>
      <c r="L176" s="1"/>
    </row>
    <row r="177" spans="2:12" x14ac:dyDescent="0.25">
      <c r="B177" s="6"/>
      <c r="C177" s="26">
        <f t="shared" si="40"/>
        <v>8.625</v>
      </c>
      <c r="D177" s="24">
        <f t="shared" si="34"/>
        <v>-1776.0994228518375</v>
      </c>
      <c r="E177" s="27">
        <f t="shared" si="35"/>
        <v>2442.1367064212791</v>
      </c>
      <c r="F177" s="26">
        <f t="shared" si="41"/>
        <v>9.84375</v>
      </c>
      <c r="G177" s="24">
        <f t="shared" si="36"/>
        <v>-1776.0994228518375</v>
      </c>
      <c r="H177" s="27">
        <f t="shared" si="37"/>
        <v>277.51553482060172</v>
      </c>
      <c r="I177" s="26">
        <f t="shared" si="42"/>
        <v>10</v>
      </c>
      <c r="J177" s="24">
        <f t="shared" si="38"/>
        <v>0</v>
      </c>
      <c r="K177" s="27">
        <f t="shared" si="39"/>
        <v>0</v>
      </c>
      <c r="L177" s="1"/>
    </row>
    <row r="178" spans="2:12" x14ac:dyDescent="0.25">
      <c r="B178" s="6"/>
      <c r="C178" s="28">
        <f t="shared" si="40"/>
        <v>8.75</v>
      </c>
      <c r="D178" s="25">
        <f t="shared" si="34"/>
        <v>-1776.0994228518375</v>
      </c>
      <c r="E178" s="29">
        <f t="shared" si="35"/>
        <v>2220.1242785647992</v>
      </c>
      <c r="F178" s="28">
        <f t="shared" si="41"/>
        <v>10</v>
      </c>
      <c r="G178" s="25">
        <f t="shared" si="36"/>
        <v>-1776.0994228518375</v>
      </c>
      <c r="H178" s="29">
        <f t="shared" si="37"/>
        <v>0</v>
      </c>
      <c r="I178" s="28">
        <f t="shared" si="42"/>
        <v>10</v>
      </c>
      <c r="J178" s="25">
        <f t="shared" si="38"/>
        <v>0</v>
      </c>
      <c r="K178" s="29">
        <f t="shared" si="39"/>
        <v>0</v>
      </c>
      <c r="L178" s="1"/>
    </row>
    <row r="179" spans="2:12" x14ac:dyDescent="0.25">
      <c r="B179" s="6"/>
      <c r="C179" s="8">
        <f t="shared" ref="C179:H179" si="43">F170</f>
        <v>8.75</v>
      </c>
      <c r="D179" s="8">
        <f t="shared" si="43"/>
        <v>-1776.0994228518375</v>
      </c>
      <c r="E179" s="8">
        <f t="shared" si="43"/>
        <v>2220.1242785647992</v>
      </c>
      <c r="F179" s="26">
        <f t="shared" si="43"/>
        <v>10</v>
      </c>
      <c r="G179" s="24">
        <f t="shared" si="43"/>
        <v>0</v>
      </c>
      <c r="H179" s="27">
        <f t="shared" si="43"/>
        <v>0</v>
      </c>
      <c r="I179" s="6"/>
      <c r="J179" s="6"/>
      <c r="K179" s="6"/>
      <c r="L179" s="1"/>
    </row>
    <row r="180" spans="2:12" x14ac:dyDescent="0.25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2:12" x14ac:dyDescent="0.25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2:12" x14ac:dyDescent="0.25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2:12" x14ac:dyDescent="0.25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2:12" x14ac:dyDescent="0.25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2:12" x14ac:dyDescent="0.25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2:12" x14ac:dyDescent="0.25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2:12" x14ac:dyDescent="0.25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2:12" x14ac:dyDescent="0.25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2:12" x14ac:dyDescent="0.25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2:12" x14ac:dyDescent="0.25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2:12" x14ac:dyDescent="0.25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2:12" x14ac:dyDescent="0.25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2:12" x14ac:dyDescent="0.25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2:12" x14ac:dyDescent="0.25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2:12" x14ac:dyDescent="0.25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2:12" x14ac:dyDescent="0.25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2:12" x14ac:dyDescent="0.25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2:12" x14ac:dyDescent="0.25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2:12" x14ac:dyDescent="0.25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2:12" x14ac:dyDescent="0.25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2:12" x14ac:dyDescent="0.25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2:12" x14ac:dyDescent="0.25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2:12" x14ac:dyDescent="0.25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2:12" x14ac:dyDescent="0.25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2:12" x14ac:dyDescent="0.25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2:12" x14ac:dyDescent="0.25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2:12" x14ac:dyDescent="0.25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2:12" x14ac:dyDescent="0.25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2:12" x14ac:dyDescent="0.25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2:12" x14ac:dyDescent="0.25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2:12" x14ac:dyDescent="0.25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2:12" x14ac:dyDescent="0.25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2:12" x14ac:dyDescent="0.25">
      <c r="B213" s="6"/>
      <c r="C213" s="53" t="s">
        <v>149</v>
      </c>
      <c r="D213" s="53"/>
      <c r="E213" s="53"/>
      <c r="F213" s="6"/>
      <c r="G213" s="6"/>
      <c r="H213" s="6"/>
      <c r="I213" s="6"/>
      <c r="J213" s="6"/>
      <c r="K213" s="6"/>
      <c r="L213" s="6"/>
    </row>
    <row r="214" spans="2:12" x14ac:dyDescent="0.25">
      <c r="B214" s="6"/>
      <c r="C214" s="6" t="s">
        <v>150</v>
      </c>
      <c r="D214" s="6">
        <f>SQRT(($E$166^2)+($E$91^2))</f>
        <v>748.78186477723659</v>
      </c>
      <c r="E214" s="6" t="s">
        <v>151</v>
      </c>
      <c r="F214" s="6"/>
      <c r="G214" s="6" t="s">
        <v>156</v>
      </c>
      <c r="H214" s="6">
        <f>$F$20*($K$26/2)</f>
        <v>3237.2575262608316</v>
      </c>
      <c r="I214" s="6" t="s">
        <v>155</v>
      </c>
      <c r="J214" s="6"/>
      <c r="K214" s="6"/>
      <c r="L214" s="6"/>
    </row>
    <row r="215" spans="2:12" x14ac:dyDescent="0.25">
      <c r="B215" s="6"/>
      <c r="C215" s="6" t="s">
        <v>153</v>
      </c>
      <c r="D215" s="6">
        <f>SQRT(($H$166^2)+($H$91^2))</f>
        <v>3650.9896309271603</v>
      </c>
      <c r="E215" s="6" t="s">
        <v>151</v>
      </c>
      <c r="F215" s="6"/>
      <c r="G215" s="6"/>
      <c r="H215" s="6"/>
      <c r="I215" s="6"/>
      <c r="J215" s="6"/>
      <c r="K215" s="6"/>
      <c r="L215" s="6"/>
    </row>
    <row r="216" spans="2:12" x14ac:dyDescent="0.25">
      <c r="B216" s="6"/>
      <c r="C216" s="6" t="s">
        <v>152</v>
      </c>
      <c r="D216" s="6">
        <f>SQRT(($K$166^2)+($K$91^2))</f>
        <v>4316.3373721513026</v>
      </c>
      <c r="E216" s="6" t="s">
        <v>151</v>
      </c>
      <c r="F216" s="6"/>
      <c r="G216" s="6"/>
      <c r="H216" s="6"/>
      <c r="I216" s="6"/>
      <c r="J216" s="6"/>
      <c r="K216" s="6"/>
      <c r="L216" s="6"/>
    </row>
    <row r="217" spans="2:12" x14ac:dyDescent="0.25">
      <c r="B217" s="6"/>
      <c r="C217" s="6" t="s">
        <v>154</v>
      </c>
      <c r="D217" s="6">
        <f>SQRT(($E$178^2)+($E$103^2))</f>
        <v>2397.9652067507241</v>
      </c>
      <c r="E217" s="6" t="s">
        <v>151</v>
      </c>
      <c r="F217" s="6"/>
      <c r="G217" s="6"/>
      <c r="H217" s="6"/>
      <c r="I217" s="6"/>
      <c r="J217" s="6"/>
      <c r="K217" s="6"/>
      <c r="L217" s="6"/>
    </row>
    <row r="218" spans="2:12" x14ac:dyDescent="0.25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2:12" x14ac:dyDescent="0.25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2:12" x14ac:dyDescent="0.25">
      <c r="B220" s="53" t="s">
        <v>157</v>
      </c>
      <c r="C220" s="53"/>
      <c r="D220" s="53"/>
      <c r="E220" s="53"/>
      <c r="F220" s="53"/>
      <c r="G220" s="53"/>
      <c r="H220" s="53"/>
      <c r="I220" s="53"/>
      <c r="J220" s="6"/>
      <c r="K220" s="6"/>
      <c r="L220" s="6"/>
    </row>
    <row r="221" spans="2:12" x14ac:dyDescent="0.25">
      <c r="B221" s="31" t="s">
        <v>193</v>
      </c>
      <c r="C221" s="31"/>
      <c r="D221" s="31" t="s">
        <v>158</v>
      </c>
      <c r="E221" s="31"/>
      <c r="F221" s="31"/>
      <c r="G221" s="31" t="s">
        <v>161</v>
      </c>
      <c r="H221" s="31"/>
      <c r="I221" s="6"/>
      <c r="J221" s="6"/>
      <c r="K221" s="6"/>
      <c r="L221" s="6"/>
    </row>
    <row r="222" spans="2:12" x14ac:dyDescent="0.25">
      <c r="B222" s="6"/>
      <c r="C222" s="6"/>
      <c r="D222" s="57" t="s">
        <v>160</v>
      </c>
      <c r="E222" s="57"/>
      <c r="F222" s="57"/>
      <c r="G222" s="6">
        <v>1.7</v>
      </c>
      <c r="H222" s="6"/>
      <c r="I222" s="6"/>
      <c r="J222" s="6"/>
      <c r="K222" s="6"/>
      <c r="L222" s="6"/>
    </row>
    <row r="223" spans="2:12" x14ac:dyDescent="0.25">
      <c r="B223" s="6"/>
      <c r="C223" s="6"/>
      <c r="D223" s="6"/>
      <c r="E223" s="6" t="s">
        <v>159</v>
      </c>
      <c r="F223" s="6"/>
      <c r="G223" s="6">
        <v>1.5</v>
      </c>
      <c r="H223" s="6"/>
      <c r="I223" s="6"/>
      <c r="J223" s="6"/>
      <c r="K223" s="6"/>
      <c r="L223" s="6"/>
    </row>
    <row r="224" spans="2:12" x14ac:dyDescent="0.25">
      <c r="B224" s="6"/>
      <c r="C224" s="6"/>
      <c r="D224" s="6"/>
      <c r="E224" s="6" t="s">
        <v>162</v>
      </c>
      <c r="F224" s="6"/>
      <c r="G224" s="6">
        <f>G222</f>
        <v>1.7</v>
      </c>
      <c r="H224" s="6"/>
      <c r="I224" s="6"/>
      <c r="J224" s="6"/>
      <c r="K224" s="6"/>
      <c r="L224" s="6"/>
    </row>
    <row r="225" spans="2:12" x14ac:dyDescent="0.25">
      <c r="B225" s="6"/>
      <c r="C225" s="6"/>
      <c r="D225" s="6"/>
      <c r="E225" s="6" t="s">
        <v>163</v>
      </c>
      <c r="F225" s="6"/>
      <c r="G225" s="6">
        <f>G223</f>
        <v>1.5</v>
      </c>
      <c r="H225" s="6"/>
      <c r="I225" s="6"/>
      <c r="J225" s="6"/>
      <c r="K225" s="6"/>
      <c r="L225" s="6"/>
    </row>
    <row r="226" spans="2:12" x14ac:dyDescent="0.25">
      <c r="B226" s="6"/>
      <c r="C226" s="6"/>
      <c r="D226" s="6"/>
      <c r="E226" s="58" t="s">
        <v>165</v>
      </c>
      <c r="F226" s="58"/>
      <c r="G226" s="6">
        <v>100</v>
      </c>
      <c r="H226" s="6" t="s">
        <v>169</v>
      </c>
      <c r="I226" s="6" t="s">
        <v>197</v>
      </c>
      <c r="J226" s="6"/>
      <c r="K226" s="6"/>
      <c r="L226" s="6"/>
    </row>
    <row r="227" spans="2:12" x14ac:dyDescent="0.25">
      <c r="B227" s="6"/>
      <c r="C227" s="6"/>
      <c r="D227" s="6"/>
      <c r="E227" s="58" t="s">
        <v>166</v>
      </c>
      <c r="F227" s="58"/>
      <c r="G227" s="6">
        <v>2.7</v>
      </c>
      <c r="H227" s="6" t="s">
        <v>168</v>
      </c>
      <c r="I227" s="6"/>
      <c r="J227" s="6"/>
      <c r="K227" s="6"/>
      <c r="L227" s="6"/>
    </row>
    <row r="228" spans="2:12" x14ac:dyDescent="0.25">
      <c r="B228" s="6"/>
      <c r="C228" s="6"/>
      <c r="D228" s="6"/>
      <c r="E228" s="58" t="s">
        <v>167</v>
      </c>
      <c r="F228" s="58"/>
      <c r="G228" s="6">
        <v>-0.26500000000000001</v>
      </c>
      <c r="H228" s="6"/>
      <c r="I228" s="6"/>
      <c r="J228" s="6"/>
      <c r="K228" s="6"/>
      <c r="L228" s="6"/>
    </row>
    <row r="229" spans="2:12" x14ac:dyDescent="0.25">
      <c r="B229" s="6"/>
      <c r="C229" s="6"/>
      <c r="D229" s="6"/>
      <c r="E229" s="58" t="s">
        <v>164</v>
      </c>
      <c r="F229" s="58"/>
      <c r="G229" s="6">
        <f>(G227)*(G226^G228)</f>
        <v>0.79682649119992388</v>
      </c>
      <c r="H229" s="6"/>
      <c r="I229" s="6"/>
      <c r="J229" s="6"/>
      <c r="K229" s="6"/>
      <c r="L229" s="6"/>
    </row>
    <row r="230" spans="2:12" x14ac:dyDescent="0.25">
      <c r="B230" s="6"/>
      <c r="C230" s="6"/>
      <c r="D230" s="6"/>
      <c r="E230" s="6" t="s">
        <v>173</v>
      </c>
      <c r="F230" s="6"/>
      <c r="G230" s="6">
        <v>0.9</v>
      </c>
      <c r="H230" s="6"/>
      <c r="I230" s="6"/>
      <c r="J230" s="6"/>
      <c r="K230" s="6"/>
      <c r="L230" s="6"/>
    </row>
    <row r="231" spans="2:12" x14ac:dyDescent="0.25">
      <c r="B231" s="6"/>
      <c r="C231" s="6"/>
      <c r="D231" s="6"/>
      <c r="E231" s="52" t="s">
        <v>170</v>
      </c>
      <c r="F231" s="52"/>
      <c r="G231" s="6">
        <v>0.85</v>
      </c>
      <c r="H231" s="6"/>
      <c r="I231" s="6"/>
      <c r="J231" s="6"/>
      <c r="K231" s="6"/>
      <c r="L231" s="6"/>
    </row>
    <row r="232" spans="2:12" x14ac:dyDescent="0.25">
      <c r="B232" s="6"/>
      <c r="C232" s="6"/>
      <c r="D232" s="6"/>
      <c r="E232" s="52" t="s">
        <v>171</v>
      </c>
      <c r="F232" s="52"/>
      <c r="G232" s="6">
        <v>1</v>
      </c>
      <c r="H232" s="6"/>
      <c r="I232" s="6"/>
      <c r="J232" s="6"/>
      <c r="K232" s="6"/>
      <c r="L232" s="6"/>
    </row>
    <row r="233" spans="2:12" x14ac:dyDescent="0.25">
      <c r="B233" s="6"/>
      <c r="C233" s="6"/>
      <c r="D233" s="6"/>
      <c r="E233" s="52" t="s">
        <v>172</v>
      </c>
      <c r="F233" s="52"/>
      <c r="G233" s="6">
        <v>0.89</v>
      </c>
      <c r="H233" s="6"/>
      <c r="I233" s="6"/>
      <c r="J233" s="6"/>
      <c r="K233" s="6"/>
      <c r="L233" s="6"/>
    </row>
    <row r="234" spans="2:12" x14ac:dyDescent="0.25">
      <c r="B234" s="6"/>
      <c r="C234" s="6"/>
      <c r="D234" s="6"/>
      <c r="E234" s="52" t="s">
        <v>175</v>
      </c>
      <c r="F234" s="52"/>
      <c r="G234" s="6">
        <v>0.5</v>
      </c>
      <c r="H234" s="6"/>
      <c r="I234" s="6"/>
      <c r="J234" s="6"/>
      <c r="K234" s="6"/>
      <c r="L234" s="6"/>
    </row>
    <row r="235" spans="2:12" x14ac:dyDescent="0.25">
      <c r="B235" s="6"/>
      <c r="C235" s="6"/>
      <c r="D235" s="6"/>
      <c r="E235" s="52" t="s">
        <v>174</v>
      </c>
      <c r="F235" s="52"/>
      <c r="G235" s="6">
        <f>G234*G233*G232*G231*G230*G229*G226</f>
        <v>27.125965826673408</v>
      </c>
      <c r="H235" s="6" t="s">
        <v>169</v>
      </c>
      <c r="I235" s="6"/>
      <c r="J235" s="6"/>
      <c r="K235" s="6"/>
      <c r="L235" s="6"/>
    </row>
    <row r="236" spans="2:12" x14ac:dyDescent="0.25">
      <c r="B236" s="6"/>
      <c r="C236" s="6"/>
      <c r="D236" s="6"/>
      <c r="E236" s="52"/>
      <c r="F236" s="52"/>
      <c r="G236" s="6"/>
      <c r="H236" s="6"/>
      <c r="I236" s="6"/>
      <c r="J236" s="6"/>
      <c r="K236" s="6"/>
      <c r="L236" s="6"/>
    </row>
    <row r="237" spans="2:12" x14ac:dyDescent="0.25">
      <c r="B237" s="6"/>
      <c r="C237" s="6"/>
      <c r="D237" s="6"/>
      <c r="E237" s="57" t="s">
        <v>176</v>
      </c>
      <c r="F237" s="57"/>
      <c r="G237" s="57"/>
      <c r="H237" s="6"/>
      <c r="I237" s="6"/>
      <c r="J237" s="6"/>
      <c r="K237" s="6"/>
      <c r="L237" s="6"/>
    </row>
    <row r="238" spans="2:12" x14ac:dyDescent="0.25">
      <c r="B238" s="6"/>
      <c r="C238" s="6"/>
      <c r="D238" s="6"/>
      <c r="E238" s="52" t="s">
        <v>177</v>
      </c>
      <c r="F238" s="52"/>
      <c r="G238" s="6">
        <f>(((16*1.5)/PI())*(((2*G224*D215)/(G235*1000))+(((3*((G225*H214)^2)^(1/2))/(G226*1000)))))^(1/3)</f>
        <v>1.6641682740197283</v>
      </c>
      <c r="H238" s="6" t="s">
        <v>50</v>
      </c>
      <c r="I238" s="6"/>
      <c r="J238" s="6"/>
      <c r="K238" s="6"/>
      <c r="L238" s="6"/>
    </row>
    <row r="239" spans="2:12" x14ac:dyDescent="0.25">
      <c r="B239" s="6"/>
      <c r="C239" s="6"/>
      <c r="D239" s="6"/>
      <c r="E239" s="59" t="s">
        <v>178</v>
      </c>
      <c r="F239" s="59"/>
      <c r="G239" s="6"/>
      <c r="H239" s="6"/>
      <c r="I239" s="6"/>
      <c r="J239" s="6"/>
      <c r="K239" s="6"/>
      <c r="L239" s="6"/>
    </row>
    <row r="240" spans="2:12" x14ac:dyDescent="0.25">
      <c r="B240" s="6"/>
      <c r="C240" s="6"/>
      <c r="D240" s="6"/>
      <c r="E240" s="59"/>
      <c r="F240" s="59"/>
      <c r="G240" s="6">
        <v>1.625</v>
      </c>
      <c r="H240" s="6" t="s">
        <v>50</v>
      </c>
      <c r="I240" s="6"/>
      <c r="J240" s="6"/>
      <c r="K240" s="6"/>
      <c r="L240" s="6"/>
    </row>
    <row r="241" spans="2:12" x14ac:dyDescent="0.25">
      <c r="B241" s="6"/>
      <c r="C241" s="6"/>
      <c r="D241" s="6"/>
      <c r="E241" s="52" t="s">
        <v>179</v>
      </c>
      <c r="F241" s="52"/>
      <c r="G241" s="6">
        <f>1.2</f>
        <v>1.2</v>
      </c>
      <c r="H241" s="6"/>
      <c r="I241" s="6"/>
      <c r="J241" s="6"/>
      <c r="K241" s="6"/>
      <c r="L241" s="6"/>
    </row>
    <row r="242" spans="2:12" x14ac:dyDescent="0.25">
      <c r="B242" s="6"/>
      <c r="C242" s="6"/>
      <c r="D242" s="6"/>
      <c r="E242" s="52" t="s">
        <v>180</v>
      </c>
      <c r="F242" s="52"/>
      <c r="G242" s="6">
        <f>G241*G240</f>
        <v>1.95</v>
      </c>
      <c r="H242" s="6" t="s">
        <v>50</v>
      </c>
      <c r="I242" s="6"/>
      <c r="J242" s="6"/>
      <c r="K242" s="6"/>
      <c r="L242" s="6"/>
    </row>
    <row r="243" spans="2:12" x14ac:dyDescent="0.25">
      <c r="B243" s="6"/>
      <c r="C243" s="6"/>
      <c r="D243" s="6"/>
      <c r="E243" s="52" t="s">
        <v>182</v>
      </c>
      <c r="F243" s="52"/>
      <c r="G243" s="6">
        <v>2</v>
      </c>
      <c r="H243" s="6" t="s">
        <v>50</v>
      </c>
      <c r="I243" s="6"/>
      <c r="J243" s="6"/>
      <c r="K243" s="6"/>
      <c r="L243" s="6"/>
    </row>
    <row r="244" spans="2:12" x14ac:dyDescent="0.25">
      <c r="B244" s="6"/>
      <c r="C244" s="6"/>
      <c r="D244" s="6"/>
      <c r="E244" s="52" t="s">
        <v>181</v>
      </c>
      <c r="F244" s="52"/>
      <c r="G244" s="6">
        <f>G243/G240</f>
        <v>1.2307692307692308</v>
      </c>
      <c r="H244" s="6"/>
      <c r="I244" s="6"/>
      <c r="J244" s="6"/>
      <c r="K244" s="6"/>
      <c r="L244" s="6"/>
    </row>
    <row r="245" spans="2:12" x14ac:dyDescent="0.25">
      <c r="B245" s="6"/>
      <c r="C245" s="6"/>
      <c r="D245" s="6"/>
      <c r="E245" s="52" t="s">
        <v>185</v>
      </c>
      <c r="F245" s="52"/>
      <c r="G245" s="6">
        <f>0.1*G240</f>
        <v>0.16250000000000001</v>
      </c>
      <c r="H245" s="6" t="s">
        <v>50</v>
      </c>
      <c r="I245" s="6"/>
      <c r="J245" s="6"/>
      <c r="K245" s="6"/>
      <c r="L245" s="6"/>
    </row>
    <row r="246" spans="2:12" x14ac:dyDescent="0.25">
      <c r="B246" s="6"/>
      <c r="C246" s="6"/>
      <c r="D246" s="6"/>
      <c r="E246" s="52" t="s">
        <v>183</v>
      </c>
      <c r="F246" s="52"/>
      <c r="G246" s="6">
        <v>1.8</v>
      </c>
      <c r="H246" s="6"/>
      <c r="I246" s="6"/>
      <c r="J246" s="6"/>
      <c r="K246" s="6"/>
      <c r="L246" s="6"/>
    </row>
    <row r="247" spans="2:12" x14ac:dyDescent="0.25">
      <c r="B247" s="6"/>
      <c r="C247" s="6"/>
      <c r="D247" s="6"/>
      <c r="E247" s="52" t="s">
        <v>184</v>
      </c>
      <c r="F247" s="52"/>
      <c r="G247" s="6">
        <v>0.87</v>
      </c>
      <c r="H247" s="6"/>
      <c r="I247" s="6"/>
      <c r="J247" s="6"/>
      <c r="K247" s="6"/>
      <c r="L247" s="6"/>
    </row>
    <row r="248" spans="2:12" x14ac:dyDescent="0.25">
      <c r="B248" s="6"/>
      <c r="C248" s="6"/>
      <c r="D248" s="6"/>
      <c r="E248" s="52" t="s">
        <v>162</v>
      </c>
      <c r="F248" s="52"/>
      <c r="G248" s="6">
        <f>1+(G247*(G246-1))</f>
        <v>1.6960000000000002</v>
      </c>
      <c r="H248" s="6"/>
      <c r="I248" s="6"/>
      <c r="J248" s="6"/>
      <c r="K248" s="6"/>
      <c r="L248" s="6"/>
    </row>
    <row r="249" spans="2:12" x14ac:dyDescent="0.25">
      <c r="B249" s="6"/>
      <c r="C249" s="6"/>
      <c r="D249" s="6"/>
      <c r="E249" s="52" t="s">
        <v>186</v>
      </c>
      <c r="F249" s="52"/>
      <c r="G249" s="6">
        <v>1.35</v>
      </c>
      <c r="H249" s="6"/>
      <c r="I249" s="6"/>
      <c r="J249" s="6"/>
      <c r="K249" s="6"/>
      <c r="L249" s="6"/>
    </row>
    <row r="250" spans="2:12" x14ac:dyDescent="0.25">
      <c r="B250" s="6"/>
      <c r="C250" s="6"/>
      <c r="D250" s="6"/>
      <c r="E250" s="52" t="s">
        <v>187</v>
      </c>
      <c r="F250" s="52"/>
      <c r="G250" s="6">
        <v>0.85</v>
      </c>
      <c r="H250" s="6"/>
      <c r="I250" s="6"/>
      <c r="J250" s="6"/>
      <c r="K250" s="6"/>
      <c r="L250" s="6"/>
    </row>
    <row r="251" spans="2:12" x14ac:dyDescent="0.25">
      <c r="B251" s="6"/>
      <c r="C251" s="6"/>
      <c r="D251" s="6"/>
      <c r="E251" s="6" t="s">
        <v>163</v>
      </c>
      <c r="F251" s="6"/>
      <c r="G251" s="6">
        <f>1+(G250*(G249-1))</f>
        <v>1.2975000000000001</v>
      </c>
      <c r="H251" s="6"/>
      <c r="I251" s="6"/>
      <c r="J251" s="6"/>
      <c r="K251" s="6"/>
      <c r="L251" s="6"/>
    </row>
    <row r="252" spans="2:12" x14ac:dyDescent="0.25">
      <c r="B252" s="6"/>
      <c r="C252" s="6"/>
      <c r="D252" s="6"/>
      <c r="E252" s="6" t="s">
        <v>188</v>
      </c>
      <c r="F252" s="6"/>
      <c r="G252" s="6">
        <f>(G240/0.3)^-0.107</f>
        <v>0.83462360655515366</v>
      </c>
      <c r="H252" s="6"/>
      <c r="I252" s="6"/>
      <c r="J252" s="6"/>
      <c r="K252" s="6"/>
      <c r="L252" s="6"/>
    </row>
    <row r="253" spans="2:12" x14ac:dyDescent="0.25">
      <c r="B253" s="6"/>
      <c r="C253" s="6"/>
      <c r="D253" s="6"/>
      <c r="E253" s="6" t="s">
        <v>174</v>
      </c>
      <c r="F253" s="6"/>
      <c r="G253" s="6">
        <f>G252*G229*G234*G226</f>
        <v>33.252509994198441</v>
      </c>
      <c r="H253" s="6" t="s">
        <v>169</v>
      </c>
      <c r="I253" s="6"/>
      <c r="J253" s="6"/>
      <c r="K253" s="6"/>
      <c r="L253" s="6"/>
    </row>
    <row r="254" spans="2:12" x14ac:dyDescent="0.25">
      <c r="B254" s="6"/>
      <c r="C254" s="6"/>
      <c r="D254" s="6"/>
      <c r="E254" s="6" t="s">
        <v>189</v>
      </c>
      <c r="F254" s="6"/>
      <c r="G254" s="6">
        <f>(32*G248*D215)/(PI()*(G240^3))</f>
        <v>14698.616439314575</v>
      </c>
      <c r="H254" s="6" t="s">
        <v>82</v>
      </c>
      <c r="I254" s="6"/>
      <c r="J254" s="6"/>
      <c r="K254" s="6"/>
      <c r="L254" s="6"/>
    </row>
    <row r="255" spans="2:12" x14ac:dyDescent="0.25">
      <c r="B255" s="6"/>
      <c r="C255" s="6"/>
      <c r="D255" s="6"/>
      <c r="E255" s="6" t="s">
        <v>190</v>
      </c>
      <c r="F255" s="6"/>
      <c r="G255" s="6">
        <f>(3*(((16*G251*H214)/(PI()*(G240^3)))^2))^(1/2)</f>
        <v>8634.8591357690038</v>
      </c>
      <c r="H255" s="6" t="s">
        <v>82</v>
      </c>
      <c r="I255" s="6"/>
      <c r="J255" s="6"/>
      <c r="K255" s="6"/>
      <c r="L255" s="6"/>
    </row>
    <row r="256" spans="2:12" x14ac:dyDescent="0.25">
      <c r="B256" s="6"/>
      <c r="C256" s="6"/>
      <c r="D256" s="6"/>
      <c r="E256" s="6" t="s">
        <v>191</v>
      </c>
      <c r="F256" s="6"/>
      <c r="G256" s="6">
        <f>(G254/(G253*1000))+(G255/(G226*1000))</f>
        <v>0.52837887544388507</v>
      </c>
      <c r="H256" s="6"/>
      <c r="I256" s="6"/>
      <c r="J256" s="6"/>
      <c r="K256" s="6"/>
      <c r="L256" s="6"/>
    </row>
    <row r="257" spans="2:12" x14ac:dyDescent="0.25">
      <c r="B257" s="6"/>
      <c r="C257" s="6"/>
      <c r="D257" s="6"/>
      <c r="E257" s="6" t="s">
        <v>192</v>
      </c>
      <c r="F257" s="6"/>
      <c r="G257" s="6">
        <f>1/G256</f>
        <v>1.8925813397818212</v>
      </c>
      <c r="H257" s="6"/>
      <c r="I257" s="6"/>
      <c r="J257" s="6"/>
      <c r="K257" s="6"/>
      <c r="L257" s="6"/>
    </row>
    <row r="258" spans="2:12" x14ac:dyDescent="0.25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 spans="2:12" x14ac:dyDescent="0.25">
      <c r="B259" s="31" t="s">
        <v>195</v>
      </c>
      <c r="C259" s="31"/>
      <c r="D259" s="31" t="s">
        <v>158</v>
      </c>
      <c r="E259" s="31"/>
      <c r="F259" s="31"/>
      <c r="G259" s="31" t="s">
        <v>194</v>
      </c>
      <c r="H259" s="31"/>
      <c r="I259" s="6"/>
      <c r="J259" s="6"/>
      <c r="K259" s="6"/>
      <c r="L259" s="6"/>
    </row>
    <row r="260" spans="2:12" x14ac:dyDescent="0.25">
      <c r="B260" s="22" t="s">
        <v>146</v>
      </c>
      <c r="C260" s="22">
        <v>3750</v>
      </c>
      <c r="D260" s="57" t="s">
        <v>160</v>
      </c>
      <c r="E260" s="57"/>
      <c r="F260" s="57"/>
      <c r="G260" s="22">
        <v>2.14</v>
      </c>
      <c r="H260" s="22"/>
      <c r="I260" s="6"/>
      <c r="J260" s="6"/>
      <c r="K260" s="6"/>
      <c r="L260" s="6"/>
    </row>
    <row r="261" spans="2:12" x14ac:dyDescent="0.25">
      <c r="B261" s="22"/>
      <c r="C261" s="22"/>
      <c r="D261" s="22"/>
      <c r="E261" s="22" t="s">
        <v>159</v>
      </c>
      <c r="F261" s="22"/>
      <c r="G261" s="22">
        <v>3</v>
      </c>
      <c r="H261" s="22"/>
      <c r="I261" s="6"/>
      <c r="J261" s="6"/>
      <c r="K261" s="6"/>
      <c r="L261" s="6"/>
    </row>
    <row r="262" spans="2:12" x14ac:dyDescent="0.25">
      <c r="B262" s="22"/>
      <c r="C262" s="22"/>
      <c r="D262" s="22"/>
      <c r="E262" s="22" t="s">
        <v>162</v>
      </c>
      <c r="F262" s="22"/>
      <c r="G262" s="22">
        <f>G260</f>
        <v>2.14</v>
      </c>
      <c r="H262" s="22"/>
      <c r="I262" s="6"/>
      <c r="J262" s="6"/>
      <c r="K262" s="6"/>
      <c r="L262" s="6"/>
    </row>
    <row r="263" spans="2:12" x14ac:dyDescent="0.25">
      <c r="B263" s="22"/>
      <c r="C263" s="22"/>
      <c r="D263" s="22"/>
      <c r="E263" s="22" t="s">
        <v>163</v>
      </c>
      <c r="F263" s="22"/>
      <c r="G263" s="22">
        <f>G261</f>
        <v>3</v>
      </c>
      <c r="H263" s="22"/>
      <c r="I263" s="6"/>
      <c r="J263" s="6"/>
      <c r="K263" s="6"/>
      <c r="L263" s="6"/>
    </row>
    <row r="264" spans="2:12" x14ac:dyDescent="0.25">
      <c r="B264" s="22"/>
      <c r="C264" s="22"/>
      <c r="D264" s="22"/>
      <c r="E264" s="58" t="s">
        <v>165</v>
      </c>
      <c r="F264" s="58"/>
      <c r="G264" s="22">
        <v>100</v>
      </c>
      <c r="H264" s="22" t="s">
        <v>169</v>
      </c>
      <c r="I264" s="6"/>
      <c r="J264" s="6"/>
      <c r="K264" s="6"/>
      <c r="L264" s="6"/>
    </row>
    <row r="265" spans="2:12" x14ac:dyDescent="0.25">
      <c r="B265" s="22"/>
      <c r="C265" s="22"/>
      <c r="D265" s="22"/>
      <c r="E265" s="58" t="s">
        <v>166</v>
      </c>
      <c r="F265" s="58"/>
      <c r="G265" s="22">
        <v>2.7</v>
      </c>
      <c r="H265" s="22" t="s">
        <v>168</v>
      </c>
      <c r="I265" s="6"/>
      <c r="J265" s="6"/>
      <c r="K265" s="6"/>
      <c r="L265" s="6"/>
    </row>
    <row r="266" spans="2:12" x14ac:dyDescent="0.25">
      <c r="B266" s="22"/>
      <c r="C266" s="22"/>
      <c r="D266" s="22"/>
      <c r="E266" s="58" t="s">
        <v>167</v>
      </c>
      <c r="F266" s="58"/>
      <c r="G266" s="22">
        <v>-0.26500000000000001</v>
      </c>
      <c r="H266" s="22"/>
      <c r="I266" s="6"/>
      <c r="J266" s="6"/>
      <c r="K266" s="6"/>
      <c r="L266" s="6"/>
    </row>
    <row r="267" spans="2:12" x14ac:dyDescent="0.25">
      <c r="B267" s="22"/>
      <c r="C267" s="22"/>
      <c r="D267" s="22"/>
      <c r="E267" s="58" t="s">
        <v>164</v>
      </c>
      <c r="F267" s="58"/>
      <c r="G267" s="22">
        <f>(G265)*(G264^G266)</f>
        <v>0.79682649119992388</v>
      </c>
      <c r="H267" s="22"/>
      <c r="I267" s="6"/>
      <c r="J267" s="6"/>
      <c r="K267" s="6"/>
      <c r="L267" s="6"/>
    </row>
    <row r="268" spans="2:12" x14ac:dyDescent="0.25">
      <c r="B268" s="22"/>
      <c r="C268" s="22"/>
      <c r="D268" s="22"/>
      <c r="E268" s="22" t="s">
        <v>173</v>
      </c>
      <c r="F268" s="22"/>
      <c r="G268" s="22">
        <v>0.9</v>
      </c>
      <c r="H268" s="22"/>
      <c r="I268" s="6"/>
      <c r="J268" s="6"/>
      <c r="K268" s="6"/>
      <c r="L268" s="6"/>
    </row>
    <row r="269" spans="2:12" x14ac:dyDescent="0.25">
      <c r="B269" s="22"/>
      <c r="C269" s="22"/>
      <c r="D269" s="22"/>
      <c r="E269" s="52" t="s">
        <v>170</v>
      </c>
      <c r="F269" s="52"/>
      <c r="G269" s="22">
        <v>0.59</v>
      </c>
      <c r="H269" s="22"/>
      <c r="I269" s="6"/>
      <c r="J269" s="6"/>
      <c r="K269" s="6"/>
      <c r="L269" s="6"/>
    </row>
    <row r="270" spans="2:12" x14ac:dyDescent="0.25">
      <c r="B270" s="22"/>
      <c r="C270" s="22"/>
      <c r="D270" s="22"/>
      <c r="E270" s="52" t="s">
        <v>171</v>
      </c>
      <c r="F270" s="52"/>
      <c r="G270" s="22">
        <v>1</v>
      </c>
      <c r="H270" s="22"/>
      <c r="I270" s="6"/>
      <c r="J270" s="6"/>
      <c r="K270" s="6"/>
      <c r="L270" s="6"/>
    </row>
    <row r="271" spans="2:12" x14ac:dyDescent="0.25">
      <c r="B271" s="22"/>
      <c r="C271" s="22"/>
      <c r="D271" s="22"/>
      <c r="E271" s="52" t="s">
        <v>172</v>
      </c>
      <c r="F271" s="52"/>
      <c r="G271" s="22">
        <v>0.89</v>
      </c>
      <c r="H271" s="22"/>
      <c r="I271" s="6"/>
      <c r="J271" s="6"/>
      <c r="K271" s="6"/>
      <c r="L271" s="6"/>
    </row>
    <row r="272" spans="2:12" x14ac:dyDescent="0.25">
      <c r="B272" s="22"/>
      <c r="C272" s="22"/>
      <c r="D272" s="22"/>
      <c r="E272" s="52" t="s">
        <v>175</v>
      </c>
      <c r="F272" s="52"/>
      <c r="G272" s="22">
        <v>0.5</v>
      </c>
      <c r="H272" s="22"/>
      <c r="I272" s="6"/>
      <c r="J272" s="6"/>
      <c r="K272" s="6"/>
      <c r="L272" s="6"/>
    </row>
    <row r="273" spans="2:12" x14ac:dyDescent="0.25">
      <c r="B273" s="22"/>
      <c r="C273" s="22"/>
      <c r="D273" s="22"/>
      <c r="E273" s="52" t="s">
        <v>174</v>
      </c>
      <c r="F273" s="52"/>
      <c r="G273" s="22">
        <f>G272*G271*G270*G269*G268*G267*G264</f>
        <v>18.828611573808601</v>
      </c>
      <c r="H273" s="22" t="s">
        <v>169</v>
      </c>
      <c r="I273" s="6"/>
      <c r="J273" s="6"/>
      <c r="K273" s="6"/>
      <c r="L273" s="6"/>
    </row>
    <row r="274" spans="2:12" x14ac:dyDescent="0.25">
      <c r="B274" s="22"/>
      <c r="C274" s="22"/>
      <c r="D274" s="22"/>
      <c r="E274" s="52"/>
      <c r="F274" s="52"/>
      <c r="G274" s="22"/>
      <c r="H274" s="22"/>
      <c r="I274" s="22"/>
      <c r="J274" s="22"/>
      <c r="K274" s="22"/>
      <c r="L274" s="22"/>
    </row>
    <row r="275" spans="2:12" hidden="1" x14ac:dyDescent="0.25">
      <c r="B275" s="22"/>
      <c r="C275" s="22"/>
      <c r="D275" s="22"/>
      <c r="E275" s="57" t="s">
        <v>176</v>
      </c>
      <c r="F275" s="57"/>
      <c r="G275" s="57"/>
      <c r="H275" s="22"/>
      <c r="I275" s="22"/>
      <c r="J275" s="22"/>
      <c r="K275" s="22"/>
      <c r="L275" s="22"/>
    </row>
    <row r="276" spans="2:12" hidden="1" x14ac:dyDescent="0.25">
      <c r="B276" s="22"/>
      <c r="C276" s="22"/>
      <c r="D276" s="22"/>
      <c r="E276" s="52" t="s">
        <v>177</v>
      </c>
      <c r="F276" s="52"/>
      <c r="G276" s="22">
        <f>(((16*1.5)/PI())*(((2*G262*C260)/(G273*1000))+(((3*((G263*H214)^2)^(1/2))/(G264*1000)))))^(1/3)</f>
        <v>2.0596868586294477</v>
      </c>
      <c r="H276" s="22" t="s">
        <v>50</v>
      </c>
      <c r="I276" s="22"/>
      <c r="J276" s="22"/>
      <c r="K276" s="22"/>
      <c r="L276" s="22"/>
    </row>
    <row r="277" spans="2:12" x14ac:dyDescent="0.25">
      <c r="B277" s="22"/>
      <c r="C277" s="22"/>
      <c r="D277" s="22"/>
      <c r="E277" s="59" t="s">
        <v>178</v>
      </c>
      <c r="F277" s="59"/>
      <c r="G277" s="22"/>
      <c r="H277" s="22"/>
      <c r="I277" s="22"/>
      <c r="J277" s="22"/>
      <c r="K277" s="22"/>
      <c r="L277" s="22"/>
    </row>
    <row r="278" spans="2:12" x14ac:dyDescent="0.25">
      <c r="B278" s="22"/>
      <c r="C278" s="22"/>
      <c r="D278" s="22"/>
      <c r="E278" s="59"/>
      <c r="F278" s="59"/>
      <c r="G278" s="22">
        <v>1.625</v>
      </c>
      <c r="H278" s="22" t="s">
        <v>50</v>
      </c>
      <c r="I278" s="22"/>
      <c r="J278" s="22"/>
      <c r="K278" s="22"/>
      <c r="L278" s="22"/>
    </row>
    <row r="279" spans="2:12" x14ac:dyDescent="0.25">
      <c r="B279" s="22"/>
      <c r="C279" s="22"/>
      <c r="D279" s="22"/>
      <c r="E279" s="52" t="s">
        <v>179</v>
      </c>
      <c r="F279" s="52"/>
      <c r="G279" s="22">
        <f>1.2</f>
        <v>1.2</v>
      </c>
      <c r="H279" s="22"/>
      <c r="I279" s="22"/>
      <c r="J279" s="22"/>
      <c r="K279" s="22"/>
      <c r="L279" s="22"/>
    </row>
    <row r="280" spans="2:12" x14ac:dyDescent="0.25">
      <c r="B280" s="22"/>
      <c r="C280" s="22"/>
      <c r="D280" s="22"/>
      <c r="E280" s="52" t="s">
        <v>180</v>
      </c>
      <c r="F280" s="52"/>
      <c r="G280" s="22">
        <f>G279*G278</f>
        <v>1.95</v>
      </c>
      <c r="H280" s="22" t="s">
        <v>50</v>
      </c>
      <c r="I280" s="22"/>
      <c r="J280" s="22"/>
      <c r="K280" s="22"/>
      <c r="L280" s="22"/>
    </row>
    <row r="281" spans="2:12" x14ac:dyDescent="0.25">
      <c r="B281" s="22"/>
      <c r="C281" s="22"/>
      <c r="D281" s="22"/>
      <c r="E281" s="52" t="s">
        <v>182</v>
      </c>
      <c r="F281" s="52"/>
      <c r="G281" s="22">
        <v>2</v>
      </c>
      <c r="H281" s="22" t="s">
        <v>50</v>
      </c>
      <c r="I281" s="22"/>
      <c r="J281" s="22"/>
      <c r="K281" s="22"/>
      <c r="L281" s="22"/>
    </row>
    <row r="282" spans="2:12" x14ac:dyDescent="0.25">
      <c r="B282" s="22"/>
      <c r="C282" s="22"/>
      <c r="D282" s="22"/>
      <c r="E282" s="52" t="s">
        <v>181</v>
      </c>
      <c r="F282" s="52"/>
      <c r="G282" s="22">
        <f>G281/G278</f>
        <v>1.2307692307692308</v>
      </c>
      <c r="H282" s="22"/>
      <c r="I282" s="22"/>
      <c r="J282" s="22"/>
      <c r="K282" s="22"/>
      <c r="L282" s="22"/>
    </row>
    <row r="283" spans="2:12" x14ac:dyDescent="0.25">
      <c r="B283" s="22"/>
      <c r="C283" s="22"/>
      <c r="D283" s="22"/>
      <c r="E283" s="52" t="s">
        <v>196</v>
      </c>
      <c r="F283" s="52"/>
      <c r="G283" s="22">
        <f>0.02*G278</f>
        <v>3.2500000000000001E-2</v>
      </c>
      <c r="H283" s="22" t="s">
        <v>50</v>
      </c>
      <c r="I283" s="22"/>
      <c r="J283" s="22"/>
      <c r="K283" s="22"/>
      <c r="L283" s="22"/>
    </row>
    <row r="284" spans="2:12" x14ac:dyDescent="0.25">
      <c r="B284" s="22"/>
      <c r="C284" s="22"/>
      <c r="D284" s="22"/>
      <c r="E284" s="52" t="s">
        <v>183</v>
      </c>
      <c r="F284" s="52"/>
      <c r="G284" s="22">
        <v>2.14</v>
      </c>
      <c r="H284" s="22"/>
      <c r="I284" s="22"/>
      <c r="J284" s="22"/>
      <c r="K284" s="22"/>
      <c r="L284" s="22"/>
    </row>
    <row r="285" spans="2:12" x14ac:dyDescent="0.25">
      <c r="B285" s="22"/>
      <c r="C285" s="22"/>
      <c r="D285" s="22"/>
      <c r="E285" s="52" t="s">
        <v>184</v>
      </c>
      <c r="F285" s="52"/>
      <c r="G285" s="22">
        <v>0.72</v>
      </c>
      <c r="H285" s="22"/>
      <c r="I285" s="22"/>
      <c r="J285" s="22"/>
      <c r="K285" s="22"/>
      <c r="L285" s="22"/>
    </row>
    <row r="286" spans="2:12" x14ac:dyDescent="0.25">
      <c r="B286" s="22"/>
      <c r="C286" s="22"/>
      <c r="D286" s="22"/>
      <c r="E286" s="52" t="s">
        <v>162</v>
      </c>
      <c r="F286" s="52"/>
      <c r="G286" s="22">
        <f>1+(G285*(G284-1))</f>
        <v>1.8208000000000002</v>
      </c>
      <c r="H286" s="22"/>
      <c r="I286" s="22"/>
      <c r="J286" s="22"/>
      <c r="K286" s="22"/>
      <c r="L286" s="22"/>
    </row>
    <row r="287" spans="2:12" x14ac:dyDescent="0.25">
      <c r="B287" s="22"/>
      <c r="C287" s="22"/>
      <c r="D287" s="22"/>
      <c r="E287" s="52" t="s">
        <v>186</v>
      </c>
      <c r="F287" s="52"/>
      <c r="G287" s="22">
        <v>1.35</v>
      </c>
      <c r="H287" s="22"/>
      <c r="I287" s="22"/>
      <c r="J287" s="22"/>
      <c r="K287" s="22"/>
      <c r="L287" s="22"/>
    </row>
    <row r="288" spans="2:12" x14ac:dyDescent="0.25">
      <c r="B288" s="22"/>
      <c r="C288" s="22"/>
      <c r="D288" s="22"/>
      <c r="E288" s="52" t="s">
        <v>187</v>
      </c>
      <c r="F288" s="52"/>
      <c r="G288" s="22">
        <v>0.85</v>
      </c>
      <c r="H288" s="22"/>
      <c r="I288" s="22"/>
      <c r="J288" s="22"/>
      <c r="K288" s="22"/>
      <c r="L288" s="22"/>
    </row>
    <row r="289" spans="2:12" x14ac:dyDescent="0.25">
      <c r="B289" s="22"/>
      <c r="C289" s="22"/>
      <c r="D289" s="22"/>
      <c r="E289" s="22" t="s">
        <v>163</v>
      </c>
      <c r="F289" s="22"/>
      <c r="G289" s="22">
        <f>1+(G288*(G287-1))</f>
        <v>1.2975000000000001</v>
      </c>
      <c r="H289" s="22"/>
      <c r="I289" s="22"/>
      <c r="J289" s="22"/>
      <c r="K289" s="22"/>
      <c r="L289" s="22"/>
    </row>
    <row r="290" spans="2:12" x14ac:dyDescent="0.25">
      <c r="B290" s="22"/>
      <c r="C290" s="22"/>
      <c r="D290" s="22"/>
      <c r="E290" s="22" t="s">
        <v>188</v>
      </c>
      <c r="F290" s="22"/>
      <c r="G290" s="22">
        <f>(G278/0.3)^-0.107</f>
        <v>0.83462360655515366</v>
      </c>
      <c r="H290" s="22"/>
      <c r="I290" s="22"/>
      <c r="J290" s="22"/>
      <c r="K290" s="22"/>
      <c r="L290" s="22"/>
    </row>
    <row r="291" spans="2:12" x14ac:dyDescent="0.25">
      <c r="B291" s="22"/>
      <c r="C291" s="22"/>
      <c r="D291" s="22"/>
      <c r="E291" s="22" t="s">
        <v>174</v>
      </c>
      <c r="F291" s="22"/>
      <c r="G291" s="22">
        <f>G290*G267*G272*G264</f>
        <v>33.252509994198441</v>
      </c>
      <c r="H291" s="22" t="s">
        <v>169</v>
      </c>
      <c r="I291" s="22"/>
      <c r="J291" s="22"/>
      <c r="K291" s="22"/>
      <c r="L291" s="22"/>
    </row>
    <row r="292" spans="2:12" x14ac:dyDescent="0.25">
      <c r="B292" s="22"/>
      <c r="C292" s="22"/>
      <c r="D292" s="22"/>
      <c r="E292" s="22" t="s">
        <v>189</v>
      </c>
      <c r="F292" s="22"/>
      <c r="G292" s="22">
        <f>(32*G286*C260)/(PI()*(G278^3))</f>
        <v>16208.152794040114</v>
      </c>
      <c r="H292" s="22" t="s">
        <v>82</v>
      </c>
      <c r="I292" s="22"/>
      <c r="J292" s="22"/>
      <c r="K292" s="22"/>
      <c r="L292" s="22"/>
    </row>
    <row r="293" spans="2:12" x14ac:dyDescent="0.25">
      <c r="B293" s="22"/>
      <c r="C293" s="22"/>
      <c r="D293" s="22"/>
      <c r="E293" s="22" t="s">
        <v>190</v>
      </c>
      <c r="F293" s="22"/>
      <c r="G293" s="22">
        <f>(3*(((16*G289*H214)/(PI()*(G278^3)))^2))^(1/2)</f>
        <v>8634.8591357690038</v>
      </c>
      <c r="H293" s="22" t="s">
        <v>82</v>
      </c>
      <c r="I293" s="22"/>
      <c r="J293" s="22"/>
      <c r="K293" s="22"/>
      <c r="L293" s="22"/>
    </row>
    <row r="294" spans="2:12" x14ac:dyDescent="0.25">
      <c r="B294" s="22"/>
      <c r="C294" s="22"/>
      <c r="D294" s="22"/>
      <c r="E294" s="22" t="s">
        <v>191</v>
      </c>
      <c r="F294" s="22"/>
      <c r="G294" s="22">
        <f>(G292/(G291*1000))+(G292/(G264*1000))</f>
        <v>0.64950797475202382</v>
      </c>
      <c r="H294" s="22"/>
      <c r="I294" s="22"/>
      <c r="J294" s="22"/>
      <c r="K294" s="22"/>
      <c r="L294" s="22"/>
    </row>
    <row r="295" spans="2:12" x14ac:dyDescent="0.25">
      <c r="B295" s="22"/>
      <c r="C295" s="22"/>
      <c r="D295" s="22"/>
      <c r="E295" s="22" t="s">
        <v>192</v>
      </c>
      <c r="F295" s="22"/>
      <c r="G295" s="22">
        <f>1/G294</f>
        <v>1.5396269774544198</v>
      </c>
      <c r="H295" s="22"/>
      <c r="I295" s="22"/>
      <c r="J295" s="22"/>
      <c r="K295" s="22"/>
      <c r="L295" s="22"/>
    </row>
    <row r="296" spans="2:12" x14ac:dyDescent="0.25"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</row>
    <row r="297" spans="2:12" x14ac:dyDescent="0.25">
      <c r="B297" s="22"/>
      <c r="C297" s="22"/>
      <c r="D297" s="22"/>
      <c r="E297" s="33" t="s">
        <v>212</v>
      </c>
      <c r="F297" s="22"/>
      <c r="G297" s="22"/>
      <c r="H297" s="22"/>
      <c r="I297" s="22"/>
      <c r="J297" s="22"/>
      <c r="K297" s="22"/>
      <c r="L297" s="22"/>
    </row>
    <row r="298" spans="2:12" x14ac:dyDescent="0.25">
      <c r="B298" s="22" t="s">
        <v>146</v>
      </c>
      <c r="C298" s="22">
        <f>D217</f>
        <v>2397.9652067507241</v>
      </c>
      <c r="D298" s="22"/>
      <c r="E298" s="22" t="s">
        <v>198</v>
      </c>
      <c r="F298" s="22"/>
      <c r="G298" s="22">
        <v>4.8000000000000001E-2</v>
      </c>
      <c r="H298" s="22" t="s">
        <v>50</v>
      </c>
      <c r="I298" s="22"/>
      <c r="J298" s="22"/>
      <c r="K298" s="22"/>
      <c r="L298" s="22"/>
    </row>
    <row r="299" spans="2:12" x14ac:dyDescent="0.25">
      <c r="B299" s="22"/>
      <c r="C299" s="22"/>
      <c r="D299" s="22"/>
      <c r="E299" s="22" t="s">
        <v>199</v>
      </c>
      <c r="F299" s="22"/>
      <c r="G299" s="22">
        <v>6.8000000000000005E-2</v>
      </c>
      <c r="H299" s="22" t="s">
        <v>50</v>
      </c>
      <c r="I299" s="22"/>
      <c r="J299" s="22"/>
      <c r="K299" s="22"/>
      <c r="L299" s="22"/>
    </row>
    <row r="300" spans="2:12" x14ac:dyDescent="0.25">
      <c r="B300" s="22"/>
      <c r="C300" s="22"/>
      <c r="D300" s="22"/>
      <c r="E300" s="22" t="s">
        <v>200</v>
      </c>
      <c r="F300" s="22"/>
      <c r="G300" s="22">
        <v>0.01</v>
      </c>
      <c r="H300" s="22" t="s">
        <v>50</v>
      </c>
      <c r="I300" s="22"/>
      <c r="J300" s="22"/>
      <c r="K300" s="22"/>
      <c r="L300" s="22"/>
    </row>
    <row r="301" spans="2:12" x14ac:dyDescent="0.25">
      <c r="B301" s="22"/>
      <c r="C301" s="22"/>
      <c r="D301" s="22"/>
      <c r="E301" s="22" t="s">
        <v>201</v>
      </c>
      <c r="F301" s="22"/>
      <c r="G301" s="22">
        <f>G300/G298</f>
        <v>0.20833333333333334</v>
      </c>
      <c r="H301" s="22"/>
      <c r="I301" s="22"/>
      <c r="J301" s="22"/>
      <c r="K301" s="22"/>
      <c r="L301" s="22"/>
    </row>
    <row r="302" spans="2:12" x14ac:dyDescent="0.25">
      <c r="B302" s="22"/>
      <c r="C302" s="22"/>
      <c r="D302" s="22"/>
      <c r="E302" s="22" t="s">
        <v>202</v>
      </c>
      <c r="F302" s="22"/>
      <c r="G302" s="22">
        <f>G299/G298</f>
        <v>1.4166666666666667</v>
      </c>
      <c r="H302" s="22"/>
      <c r="I302" s="22"/>
      <c r="J302" s="22"/>
      <c r="K302" s="22"/>
      <c r="L302" s="22"/>
    </row>
    <row r="303" spans="2:12" x14ac:dyDescent="0.25">
      <c r="B303" s="22"/>
      <c r="C303" s="22"/>
      <c r="D303" s="22"/>
      <c r="E303" s="22" t="s">
        <v>203</v>
      </c>
      <c r="F303" s="22"/>
      <c r="G303" s="22">
        <v>4.3</v>
      </c>
      <c r="H303" s="22"/>
      <c r="I303" s="22"/>
      <c r="J303" s="22"/>
      <c r="K303" s="22"/>
      <c r="L303" s="22"/>
    </row>
    <row r="304" spans="2:12" x14ac:dyDescent="0.25">
      <c r="B304" s="22"/>
      <c r="C304" s="22"/>
      <c r="D304" s="22"/>
      <c r="E304" s="22" t="s">
        <v>184</v>
      </c>
      <c r="F304" s="22"/>
      <c r="G304" s="22">
        <v>0.65</v>
      </c>
      <c r="H304" s="22"/>
      <c r="I304" s="22"/>
      <c r="J304" s="22"/>
      <c r="K304" s="22"/>
      <c r="L304" s="22"/>
    </row>
    <row r="305" spans="2:12" x14ac:dyDescent="0.25">
      <c r="B305" s="22"/>
      <c r="C305" s="22"/>
      <c r="D305" s="22"/>
      <c r="E305" s="22" t="s">
        <v>162</v>
      </c>
      <c r="F305" s="22"/>
      <c r="G305" s="22">
        <f>1+(G304*(G303-1))</f>
        <v>3.145</v>
      </c>
      <c r="H305" s="22"/>
      <c r="I305" s="22"/>
      <c r="J305" s="22"/>
      <c r="K305" s="22"/>
      <c r="L305" s="22"/>
    </row>
    <row r="306" spans="2:12" x14ac:dyDescent="0.25">
      <c r="B306" s="22"/>
      <c r="C306" s="22"/>
      <c r="D306" s="22"/>
      <c r="E306" s="22" t="s">
        <v>189</v>
      </c>
      <c r="F306" s="22"/>
      <c r="G306" s="22">
        <f>(32*G305*C298)/(PI()*(G278^3))</f>
        <v>17902.081786023038</v>
      </c>
      <c r="H306" s="22" t="s">
        <v>82</v>
      </c>
      <c r="I306" s="22"/>
      <c r="J306" s="22"/>
      <c r="K306" s="22"/>
      <c r="L306" s="22"/>
    </row>
    <row r="307" spans="2:12" x14ac:dyDescent="0.25">
      <c r="B307" s="22"/>
      <c r="C307" s="22"/>
      <c r="D307" s="22"/>
      <c r="E307" s="22" t="s">
        <v>192</v>
      </c>
      <c r="F307" s="22"/>
      <c r="G307" s="22">
        <f>G291*1000/G306</f>
        <v>1.8574660976110706</v>
      </c>
      <c r="H307" s="22"/>
      <c r="I307" s="22"/>
      <c r="J307" s="22"/>
      <c r="K307" s="22"/>
      <c r="L307" s="22"/>
    </row>
    <row r="308" spans="2:12" x14ac:dyDescent="0.25"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</row>
    <row r="309" spans="2:12" x14ac:dyDescent="0.25">
      <c r="B309" s="22"/>
      <c r="C309" s="22"/>
      <c r="D309" s="53" t="s">
        <v>204</v>
      </c>
      <c r="E309" s="53"/>
      <c r="F309" s="53"/>
      <c r="G309" s="22">
        <v>1</v>
      </c>
      <c r="H309" s="22" t="s">
        <v>50</v>
      </c>
      <c r="I309" s="22"/>
      <c r="J309" s="22"/>
      <c r="K309" s="22"/>
      <c r="L309" s="22"/>
    </row>
    <row r="310" spans="2:12" x14ac:dyDescent="0.25">
      <c r="B310" s="22" t="s">
        <v>146</v>
      </c>
      <c r="C310" s="22">
        <f>D214</f>
        <v>748.78186477723659</v>
      </c>
      <c r="D310" s="22"/>
      <c r="E310" s="22" t="s">
        <v>237</v>
      </c>
      <c r="F310" s="22"/>
      <c r="G310" s="22">
        <f>G309*0.02</f>
        <v>0.02</v>
      </c>
      <c r="H310" s="22"/>
      <c r="I310" s="22"/>
      <c r="J310" s="22"/>
      <c r="K310" s="22"/>
      <c r="L310" s="22"/>
    </row>
    <row r="311" spans="2:12" hidden="1" x14ac:dyDescent="0.25">
      <c r="B311" s="22"/>
      <c r="C311" s="22"/>
      <c r="D311" s="22"/>
      <c r="E311" s="22" t="s">
        <v>202</v>
      </c>
      <c r="F311" s="22"/>
      <c r="G311" s="22">
        <f>G308/G307</f>
        <v>0</v>
      </c>
      <c r="H311" s="22"/>
      <c r="I311" s="22"/>
      <c r="J311" s="22"/>
      <c r="K311" s="22"/>
      <c r="L311" s="22"/>
    </row>
    <row r="312" spans="2:12" x14ac:dyDescent="0.25">
      <c r="B312" s="22"/>
      <c r="C312" s="22"/>
      <c r="D312" s="22"/>
      <c r="E312" s="22" t="s">
        <v>203</v>
      </c>
      <c r="F312" s="22"/>
      <c r="G312" s="22">
        <v>2.7</v>
      </c>
      <c r="H312" s="22"/>
      <c r="I312" s="22"/>
      <c r="J312" s="22"/>
      <c r="K312" s="22"/>
      <c r="L312" s="22"/>
    </row>
    <row r="313" spans="2:12" x14ac:dyDescent="0.25">
      <c r="B313" s="22"/>
      <c r="C313" s="22"/>
      <c r="D313" s="22"/>
      <c r="E313" s="22" t="s">
        <v>184</v>
      </c>
      <c r="F313" s="22"/>
      <c r="G313" s="22">
        <v>0.7</v>
      </c>
      <c r="H313" s="22"/>
      <c r="I313" s="22"/>
      <c r="J313" s="22"/>
      <c r="K313" s="22"/>
      <c r="L313" s="22"/>
    </row>
    <row r="314" spans="2:12" x14ac:dyDescent="0.25">
      <c r="B314" s="22"/>
      <c r="C314" s="22"/>
      <c r="D314" s="22"/>
      <c r="E314" s="22" t="s">
        <v>162</v>
      </c>
      <c r="F314" s="22"/>
      <c r="G314" s="22">
        <f>1+(G313*(G312-1))</f>
        <v>2.19</v>
      </c>
      <c r="H314" s="22"/>
      <c r="I314" s="22"/>
      <c r="J314" s="22"/>
      <c r="K314" s="22"/>
      <c r="L314" s="22"/>
    </row>
    <row r="315" spans="2:12" x14ac:dyDescent="0.25">
      <c r="B315" s="22"/>
      <c r="C315" s="22"/>
      <c r="D315" s="22"/>
      <c r="E315" s="22" t="s">
        <v>189</v>
      </c>
      <c r="F315" s="22"/>
      <c r="G315" s="22">
        <f>(32*G314*C310)/(PI()*(G309^3))</f>
        <v>16703.194484373311</v>
      </c>
      <c r="H315" s="22" t="s">
        <v>82</v>
      </c>
      <c r="I315" s="22"/>
      <c r="J315" s="22"/>
      <c r="K315" s="22"/>
      <c r="L315" s="22"/>
    </row>
    <row r="316" spans="2:12" x14ac:dyDescent="0.25">
      <c r="B316" s="22"/>
      <c r="C316" s="22"/>
      <c r="D316" s="22"/>
      <c r="E316" s="22" t="s">
        <v>192</v>
      </c>
      <c r="F316" s="22"/>
      <c r="G316" s="22">
        <f>G291*1000/G315</f>
        <v>1.9907874523827076</v>
      </c>
      <c r="H316" s="22"/>
      <c r="I316" s="22"/>
      <c r="J316" s="22"/>
      <c r="K316" s="22"/>
      <c r="L316" s="22"/>
    </row>
    <row r="317" spans="2:12" x14ac:dyDescent="0.25">
      <c r="B317" s="22"/>
      <c r="C317" s="22"/>
      <c r="D317" s="22"/>
      <c r="E317" s="22" t="s">
        <v>208</v>
      </c>
      <c r="F317" s="22"/>
      <c r="G317" s="22">
        <f>G278-0.225</f>
        <v>1.4</v>
      </c>
      <c r="H317" s="22"/>
      <c r="I317" s="22"/>
      <c r="J317" s="22"/>
      <c r="K317" s="22"/>
      <c r="L317" s="22"/>
    </row>
    <row r="318" spans="2:12" x14ac:dyDescent="0.25"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</row>
    <row r="319" spans="2:12" x14ac:dyDescent="0.25"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</row>
    <row r="320" spans="2:12" x14ac:dyDescent="0.25"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</row>
    <row r="321" spans="2:12" x14ac:dyDescent="0.25"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</row>
    <row r="322" spans="2:12" x14ac:dyDescent="0.25"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</row>
    <row r="323" spans="2:12" x14ac:dyDescent="0.25"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</row>
    <row r="324" spans="2:12" ht="15" customHeight="1" x14ac:dyDescent="0.25"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</row>
    <row r="325" spans="2:12" x14ac:dyDescent="0.25"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</row>
    <row r="326" spans="2:12" x14ac:dyDescent="0.25"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</row>
    <row r="327" spans="2:12" x14ac:dyDescent="0.25"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</row>
    <row r="328" spans="2:12" x14ac:dyDescent="0.25"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</row>
    <row r="329" spans="2:12" x14ac:dyDescent="0.25"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</row>
    <row r="330" spans="2:12" x14ac:dyDescent="0.25"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</row>
    <row r="331" spans="2:12" x14ac:dyDescent="0.25"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</row>
    <row r="332" spans="2:12" x14ac:dyDescent="0.25"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</row>
    <row r="333" spans="2:12" x14ac:dyDescent="0.25"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</row>
    <row r="334" spans="2:12" x14ac:dyDescent="0.25"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</row>
    <row r="335" spans="2:12" x14ac:dyDescent="0.25"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</row>
    <row r="336" spans="2:12" x14ac:dyDescent="0.25"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</row>
    <row r="337" spans="2:12" x14ac:dyDescent="0.25"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</row>
    <row r="338" spans="2:12" x14ac:dyDescent="0.25"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</row>
    <row r="339" spans="2:12" x14ac:dyDescent="0.25"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</row>
    <row r="340" spans="2:12" x14ac:dyDescent="0.25"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</row>
    <row r="341" spans="2:12" x14ac:dyDescent="0.25"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</row>
    <row r="342" spans="2:12" x14ac:dyDescent="0.25"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</row>
    <row r="343" spans="2:12" x14ac:dyDescent="0.25"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</row>
    <row r="344" spans="2:12" x14ac:dyDescent="0.25"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</row>
    <row r="345" spans="2:12" x14ac:dyDescent="0.25"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</row>
    <row r="346" spans="2:12" x14ac:dyDescent="0.25"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</row>
    <row r="347" spans="2:12" x14ac:dyDescent="0.25"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</row>
    <row r="348" spans="2:12" x14ac:dyDescent="0.25"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</row>
    <row r="349" spans="2:12" x14ac:dyDescent="0.25"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</row>
    <row r="350" spans="2:12" x14ac:dyDescent="0.25"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</row>
    <row r="351" spans="2:12" x14ac:dyDescent="0.25"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</row>
    <row r="352" spans="2:12" x14ac:dyDescent="0.25"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</row>
    <row r="353" spans="2:12" x14ac:dyDescent="0.25"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</row>
    <row r="354" spans="2:12" x14ac:dyDescent="0.25"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</row>
    <row r="355" spans="2:12" x14ac:dyDescent="0.25"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</row>
    <row r="356" spans="2:12" x14ac:dyDescent="0.25"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</row>
    <row r="357" spans="2:12" x14ac:dyDescent="0.25"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</row>
    <row r="358" spans="2:12" x14ac:dyDescent="0.25"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</row>
    <row r="359" spans="2:12" x14ac:dyDescent="0.25"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</row>
    <row r="360" spans="2:12" x14ac:dyDescent="0.25"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</row>
    <row r="361" spans="2:12" x14ac:dyDescent="0.25"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</row>
    <row r="362" spans="2:12" ht="15" customHeight="1" x14ac:dyDescent="0.25"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</row>
    <row r="363" spans="2:12" x14ac:dyDescent="0.25"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</row>
    <row r="364" spans="2:12" x14ac:dyDescent="0.25"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</row>
    <row r="365" spans="2:12" x14ac:dyDescent="0.25"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</row>
    <row r="366" spans="2:12" x14ac:dyDescent="0.25"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</row>
    <row r="367" spans="2:12" x14ac:dyDescent="0.25"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</row>
    <row r="368" spans="2:12" x14ac:dyDescent="0.25"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</row>
    <row r="369" spans="2:12" x14ac:dyDescent="0.25"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</row>
    <row r="370" spans="2:12" x14ac:dyDescent="0.25"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</row>
    <row r="371" spans="2:12" x14ac:dyDescent="0.25"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</row>
    <row r="372" spans="2:12" x14ac:dyDescent="0.25"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</row>
    <row r="373" spans="2:12" x14ac:dyDescent="0.25"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</row>
    <row r="374" spans="2:12" x14ac:dyDescent="0.25"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</row>
    <row r="375" spans="2:12" x14ac:dyDescent="0.25"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</row>
    <row r="376" spans="2:12" x14ac:dyDescent="0.25"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</row>
    <row r="377" spans="2:12" x14ac:dyDescent="0.25"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</row>
    <row r="378" spans="2:12" x14ac:dyDescent="0.25"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</row>
    <row r="379" spans="2:12" x14ac:dyDescent="0.25"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</row>
    <row r="380" spans="2:12" x14ac:dyDescent="0.25"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</row>
    <row r="381" spans="2:12" x14ac:dyDescent="0.25"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</row>
    <row r="382" spans="2:12" x14ac:dyDescent="0.25"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</row>
    <row r="383" spans="2:12" x14ac:dyDescent="0.25"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</row>
    <row r="384" spans="2:12" x14ac:dyDescent="0.25"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</row>
    <row r="385" spans="2:12" x14ac:dyDescent="0.25"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</row>
    <row r="386" spans="2:12" x14ac:dyDescent="0.25"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</row>
    <row r="387" spans="2:12" x14ac:dyDescent="0.25"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</row>
    <row r="388" spans="2:12" x14ac:dyDescent="0.25"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</row>
    <row r="389" spans="2:12" x14ac:dyDescent="0.25"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</row>
    <row r="390" spans="2:12" x14ac:dyDescent="0.25"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</row>
    <row r="391" spans="2:12" x14ac:dyDescent="0.25"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</row>
    <row r="392" spans="2:12" x14ac:dyDescent="0.25"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</row>
    <row r="393" spans="2:12" x14ac:dyDescent="0.25"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</row>
    <row r="394" spans="2:12" x14ac:dyDescent="0.25"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</row>
    <row r="395" spans="2:12" x14ac:dyDescent="0.25"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</row>
    <row r="396" spans="2:12" x14ac:dyDescent="0.25"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</row>
    <row r="397" spans="2:12" x14ac:dyDescent="0.25"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</row>
    <row r="398" spans="2:12" x14ac:dyDescent="0.25"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</row>
    <row r="399" spans="2:12" x14ac:dyDescent="0.25"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</row>
    <row r="400" spans="2:12" x14ac:dyDescent="0.25"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</row>
    <row r="401" spans="2:12" x14ac:dyDescent="0.25"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</row>
    <row r="402" spans="2:12" x14ac:dyDescent="0.25"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</row>
    <row r="403" spans="2:12" x14ac:dyDescent="0.25"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</row>
    <row r="404" spans="2:12" x14ac:dyDescent="0.25"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</row>
    <row r="405" spans="2:12" x14ac:dyDescent="0.25"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</row>
    <row r="406" spans="2:12" x14ac:dyDescent="0.25"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</row>
    <row r="407" spans="2:12" x14ac:dyDescent="0.25"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</row>
    <row r="408" spans="2:12" x14ac:dyDescent="0.25"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</row>
    <row r="409" spans="2:12" x14ac:dyDescent="0.25"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</row>
    <row r="410" spans="2:12" x14ac:dyDescent="0.25"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</row>
    <row r="411" spans="2:12" x14ac:dyDescent="0.25"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</row>
    <row r="412" spans="2:12" x14ac:dyDescent="0.25"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</row>
    <row r="413" spans="2:12" x14ac:dyDescent="0.25"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</row>
    <row r="414" spans="2:12" x14ac:dyDescent="0.25"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</row>
    <row r="415" spans="2:12" x14ac:dyDescent="0.25"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</row>
    <row r="416" spans="2:12" x14ac:dyDescent="0.25"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</row>
    <row r="417" spans="2:12" x14ac:dyDescent="0.25"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</row>
    <row r="418" spans="2:12" x14ac:dyDescent="0.25"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</row>
    <row r="419" spans="2:12" x14ac:dyDescent="0.25"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</row>
    <row r="420" spans="2:12" x14ac:dyDescent="0.25"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</row>
    <row r="421" spans="2:12" x14ac:dyDescent="0.25"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</row>
    <row r="422" spans="2:12" x14ac:dyDescent="0.25"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</row>
    <row r="423" spans="2:12" x14ac:dyDescent="0.25"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</row>
    <row r="424" spans="2:12" x14ac:dyDescent="0.25"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</row>
    <row r="425" spans="2:12" x14ac:dyDescent="0.25"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</row>
    <row r="426" spans="2:12" x14ac:dyDescent="0.25"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</row>
    <row r="427" spans="2:12" x14ac:dyDescent="0.25"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</row>
    <row r="428" spans="2:12" x14ac:dyDescent="0.25"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</row>
    <row r="429" spans="2:12" x14ac:dyDescent="0.25"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</row>
    <row r="430" spans="2:12" x14ac:dyDescent="0.25"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</row>
    <row r="431" spans="2:12" x14ac:dyDescent="0.25"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</row>
    <row r="432" spans="2:12" x14ac:dyDescent="0.25"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</row>
    <row r="433" spans="2:12" x14ac:dyDescent="0.25"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</row>
    <row r="434" spans="2:12" x14ac:dyDescent="0.25"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</row>
    <row r="435" spans="2:12" x14ac:dyDescent="0.25"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</row>
    <row r="436" spans="2:12" x14ac:dyDescent="0.25"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</row>
    <row r="437" spans="2:12" x14ac:dyDescent="0.25"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</row>
    <row r="438" spans="2:12" x14ac:dyDescent="0.25"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</row>
    <row r="439" spans="2:12" x14ac:dyDescent="0.25"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</row>
    <row r="440" spans="2:12" x14ac:dyDescent="0.25"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</row>
    <row r="441" spans="2:12" x14ac:dyDescent="0.25"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</row>
    <row r="442" spans="2:12" x14ac:dyDescent="0.25"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</row>
    <row r="443" spans="2:12" x14ac:dyDescent="0.25"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</row>
    <row r="444" spans="2:12" x14ac:dyDescent="0.25"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</row>
    <row r="445" spans="2:12" x14ac:dyDescent="0.25"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</row>
    <row r="446" spans="2:12" x14ac:dyDescent="0.25"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</row>
    <row r="447" spans="2:12" x14ac:dyDescent="0.25"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</row>
    <row r="448" spans="2:12" x14ac:dyDescent="0.25"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</row>
    <row r="449" spans="2:12" x14ac:dyDescent="0.25"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</row>
    <row r="450" spans="2:12" x14ac:dyDescent="0.25"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</row>
    <row r="451" spans="2:12" x14ac:dyDescent="0.25"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</row>
    <row r="452" spans="2:12" x14ac:dyDescent="0.25"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</row>
    <row r="453" spans="2:12" x14ac:dyDescent="0.25"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</row>
    <row r="454" spans="2:12" x14ac:dyDescent="0.25"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</row>
    <row r="455" spans="2:12" x14ac:dyDescent="0.25"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</row>
    <row r="456" spans="2:12" x14ac:dyDescent="0.25"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</row>
    <row r="457" spans="2:12" x14ac:dyDescent="0.25"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</row>
    <row r="458" spans="2:12" x14ac:dyDescent="0.25"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</row>
    <row r="459" spans="2:12" x14ac:dyDescent="0.25"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</row>
    <row r="460" spans="2:12" x14ac:dyDescent="0.25"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</row>
    <row r="461" spans="2:12" x14ac:dyDescent="0.25"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</row>
    <row r="462" spans="2:12" x14ac:dyDescent="0.25"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</row>
    <row r="463" spans="2:12" x14ac:dyDescent="0.25"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</row>
    <row r="464" spans="2:12" x14ac:dyDescent="0.25"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</row>
    <row r="465" spans="2:12" x14ac:dyDescent="0.25"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</row>
    <row r="466" spans="2:12" x14ac:dyDescent="0.25"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</row>
    <row r="467" spans="2:12" x14ac:dyDescent="0.25"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</row>
    <row r="468" spans="2:12" x14ac:dyDescent="0.25"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</row>
    <row r="469" spans="2:12" x14ac:dyDescent="0.25"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</row>
    <row r="470" spans="2:12" x14ac:dyDescent="0.25"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</row>
    <row r="471" spans="2:12" x14ac:dyDescent="0.25"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</row>
    <row r="472" spans="2:12" x14ac:dyDescent="0.25"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</row>
    <row r="473" spans="2:12" x14ac:dyDescent="0.25"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</row>
    <row r="474" spans="2:12" x14ac:dyDescent="0.25"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</row>
    <row r="475" spans="2:12" x14ac:dyDescent="0.25"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</row>
    <row r="476" spans="2:12" x14ac:dyDescent="0.25"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</row>
    <row r="477" spans="2:12" x14ac:dyDescent="0.25"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</row>
    <row r="478" spans="2:12" x14ac:dyDescent="0.25"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</row>
  </sheetData>
  <mergeCells count="68">
    <mergeCell ref="E248:F248"/>
    <mergeCell ref="E249:F249"/>
    <mergeCell ref="E250:F250"/>
    <mergeCell ref="E243:F243"/>
    <mergeCell ref="E244:F244"/>
    <mergeCell ref="E245:F245"/>
    <mergeCell ref="E246:F246"/>
    <mergeCell ref="E247:F247"/>
    <mergeCell ref="E241:F241"/>
    <mergeCell ref="E239:F240"/>
    <mergeCell ref="E242:F242"/>
    <mergeCell ref="E234:F234"/>
    <mergeCell ref="E235:F235"/>
    <mergeCell ref="E236:F236"/>
    <mergeCell ref="E237:G237"/>
    <mergeCell ref="E238:F238"/>
    <mergeCell ref="E229:F229"/>
    <mergeCell ref="E228:F228"/>
    <mergeCell ref="E231:F231"/>
    <mergeCell ref="E232:F232"/>
    <mergeCell ref="E233:F233"/>
    <mergeCell ref="D222:F222"/>
    <mergeCell ref="E226:F226"/>
    <mergeCell ref="E227:F227"/>
    <mergeCell ref="C168:E168"/>
    <mergeCell ref="F168:H168"/>
    <mergeCell ref="I168:K168"/>
    <mergeCell ref="C213:E213"/>
    <mergeCell ref="B220:I220"/>
    <mergeCell ref="C93:E93"/>
    <mergeCell ref="F93:H93"/>
    <mergeCell ref="I93:K93"/>
    <mergeCell ref="E139:J139"/>
    <mergeCell ref="C156:E156"/>
    <mergeCell ref="F156:H156"/>
    <mergeCell ref="I156:K156"/>
    <mergeCell ref="D3:L3"/>
    <mergeCell ref="I19:L19"/>
    <mergeCell ref="D19:H19"/>
    <mergeCell ref="C81:E81"/>
    <mergeCell ref="E64:J64"/>
    <mergeCell ref="F81:H81"/>
    <mergeCell ref="I81:K81"/>
    <mergeCell ref="D260:F260"/>
    <mergeCell ref="E264:F264"/>
    <mergeCell ref="E265:F265"/>
    <mergeCell ref="E266:F266"/>
    <mergeCell ref="E267:F267"/>
    <mergeCell ref="E269:F269"/>
    <mergeCell ref="E270:F270"/>
    <mergeCell ref="E271:F271"/>
    <mergeCell ref="E272:F272"/>
    <mergeCell ref="E273:F273"/>
    <mergeCell ref="E274:F274"/>
    <mergeCell ref="E275:G275"/>
    <mergeCell ref="E276:F276"/>
    <mergeCell ref="E277:F278"/>
    <mergeCell ref="E279:F279"/>
    <mergeCell ref="E280:F280"/>
    <mergeCell ref="E281:F281"/>
    <mergeCell ref="E282:F282"/>
    <mergeCell ref="E283:F283"/>
    <mergeCell ref="E284:F284"/>
    <mergeCell ref="D309:F309"/>
    <mergeCell ref="E285:F285"/>
    <mergeCell ref="E286:F286"/>
    <mergeCell ref="E287:F287"/>
    <mergeCell ref="E288:F288"/>
  </mergeCells>
  <phoneticPr fontId="4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D1C5-540D-460B-9C21-5A984B87EBA6}">
  <dimension ref="B2:N50"/>
  <sheetViews>
    <sheetView topLeftCell="B34" workbookViewId="0">
      <selection activeCell="P9" sqref="P9"/>
    </sheetView>
  </sheetViews>
  <sheetFormatPr baseColWidth="10" defaultRowHeight="15" x14ac:dyDescent="0.25"/>
  <cols>
    <col min="5" max="5" width="11.85546875" bestFit="1" customWidth="1"/>
    <col min="11" max="11" width="12.5703125" customWidth="1"/>
    <col min="12" max="12" width="12" bestFit="1" customWidth="1"/>
  </cols>
  <sheetData>
    <row r="2" spans="2:14" x14ac:dyDescent="0.25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2:14" x14ac:dyDescent="0.25">
      <c r="B3" s="32"/>
      <c r="C3" s="32"/>
      <c r="D3" s="32"/>
      <c r="E3" s="53" t="s">
        <v>217</v>
      </c>
      <c r="F3" s="53"/>
      <c r="G3" s="53"/>
      <c r="H3" s="53"/>
      <c r="I3" s="53"/>
      <c r="J3" s="53"/>
      <c r="K3" s="53"/>
      <c r="L3" s="32"/>
      <c r="M3" s="32"/>
      <c r="N3" s="32"/>
    </row>
    <row r="4" spans="2:14" x14ac:dyDescent="0.25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</row>
    <row r="5" spans="2:14" x14ac:dyDescent="0.25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</row>
    <row r="6" spans="2:14" x14ac:dyDescent="0.25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</row>
    <row r="7" spans="2:14" x14ac:dyDescent="0.25"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</row>
    <row r="8" spans="2:14" x14ac:dyDescent="0.25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</row>
    <row r="9" spans="2:14" x14ac:dyDescent="0.25"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</row>
    <row r="10" spans="2:14" x14ac:dyDescent="0.25"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</row>
    <row r="11" spans="2:14" x14ac:dyDescent="0.25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2:14" x14ac:dyDescent="0.25"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</row>
    <row r="13" spans="2:14" x14ac:dyDescent="0.25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</row>
    <row r="14" spans="2:14" x14ac:dyDescent="0.25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</row>
    <row r="15" spans="2:14" x14ac:dyDescent="0.25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</row>
    <row r="16" spans="2:14" x14ac:dyDescent="0.25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 t="s">
        <v>218</v>
      </c>
      <c r="M16" s="32">
        <v>12000</v>
      </c>
      <c r="N16" s="32" t="s">
        <v>81</v>
      </c>
    </row>
    <row r="17" spans="2:14" x14ac:dyDescent="0.25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</row>
    <row r="18" spans="2:14" x14ac:dyDescent="0.25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</row>
    <row r="19" spans="2:14" x14ac:dyDescent="0.25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</row>
    <row r="20" spans="2:14" x14ac:dyDescent="0.25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</row>
    <row r="21" spans="2:14" x14ac:dyDescent="0.25">
      <c r="B21" s="32"/>
      <c r="C21" s="32"/>
      <c r="D21" s="32"/>
      <c r="E21" s="57" t="s">
        <v>213</v>
      </c>
      <c r="F21" s="57"/>
      <c r="G21" s="8">
        <f>'Relacion de (Vel.), par T. y E '!F28</f>
        <v>388.88888888888886</v>
      </c>
      <c r="H21" s="32" t="s">
        <v>28</v>
      </c>
      <c r="I21" s="32"/>
      <c r="J21" s="32"/>
      <c r="K21" s="32"/>
      <c r="L21" s="32"/>
      <c r="M21" s="32"/>
      <c r="N21" s="32"/>
    </row>
    <row r="22" spans="2:14" x14ac:dyDescent="0.25">
      <c r="B22" s="32"/>
      <c r="C22" s="32"/>
      <c r="D22" s="32"/>
      <c r="E22" s="52" t="s">
        <v>214</v>
      </c>
      <c r="F22" s="52"/>
      <c r="G22" s="32">
        <f>SQRT(('Analisis de Fuerzas'!F59^2)+('Analisis de Fuerzas'!F60^2))</f>
        <v>374.3909323886183</v>
      </c>
      <c r="H22" s="32"/>
      <c r="I22" s="32"/>
      <c r="J22" s="32"/>
      <c r="K22" s="32"/>
      <c r="L22" s="32"/>
      <c r="M22" s="32"/>
      <c r="N22" s="32"/>
    </row>
    <row r="23" spans="2:14" x14ac:dyDescent="0.25">
      <c r="B23" s="32"/>
      <c r="C23" s="32"/>
      <c r="D23" s="32"/>
      <c r="E23" s="52" t="s">
        <v>215</v>
      </c>
      <c r="F23" s="52"/>
      <c r="G23" s="32">
        <f>SQRT(('Analisis de Fuerzas'!F61^2)+('Analisis de Fuerzas'!F62^2))</f>
        <v>1918.3721654005778</v>
      </c>
      <c r="H23" s="32"/>
      <c r="I23" s="32"/>
      <c r="J23" s="32"/>
      <c r="K23" s="32"/>
      <c r="L23" s="32"/>
      <c r="M23" s="32"/>
      <c r="N23" s="32"/>
    </row>
    <row r="24" spans="2:14" x14ac:dyDescent="0.25">
      <c r="B24" s="32"/>
      <c r="C24" s="32"/>
      <c r="D24" s="32"/>
      <c r="E24" s="52" t="s">
        <v>216</v>
      </c>
      <c r="F24" s="52"/>
      <c r="G24" s="32">
        <f>M16*(60)*G21</f>
        <v>280000000</v>
      </c>
      <c r="H24" s="32"/>
      <c r="I24" s="32"/>
      <c r="J24" s="32"/>
      <c r="K24" s="32"/>
      <c r="L24" s="32"/>
      <c r="M24" s="32"/>
      <c r="N24" s="32"/>
    </row>
    <row r="25" spans="2:14" x14ac:dyDescent="0.25">
      <c r="B25" s="32"/>
      <c r="C25" s="32"/>
      <c r="D25" s="32"/>
      <c r="E25" s="67" t="s">
        <v>221</v>
      </c>
      <c r="F25" s="67"/>
      <c r="G25" s="67"/>
      <c r="H25" s="32"/>
      <c r="I25" s="32"/>
      <c r="J25" s="67" t="s">
        <v>222</v>
      </c>
      <c r="K25" s="67"/>
      <c r="L25" s="67"/>
      <c r="M25" s="32"/>
      <c r="N25" s="32"/>
    </row>
    <row r="26" spans="2:14" x14ac:dyDescent="0.25">
      <c r="B26" s="32"/>
      <c r="C26" s="32"/>
      <c r="D26" s="32"/>
      <c r="E26" s="52" t="s">
        <v>219</v>
      </c>
      <c r="F26" s="52"/>
      <c r="G26" s="32">
        <v>3</v>
      </c>
      <c r="H26" s="32"/>
      <c r="I26" s="32"/>
      <c r="J26" s="52" t="s">
        <v>220</v>
      </c>
      <c r="K26" s="52"/>
      <c r="L26" s="8">
        <v>3.3333333333333335</v>
      </c>
      <c r="M26" s="32"/>
      <c r="N26" s="32"/>
    </row>
    <row r="27" spans="2:14" x14ac:dyDescent="0.25">
      <c r="B27" s="32"/>
      <c r="C27" s="32"/>
      <c r="D27" s="32"/>
      <c r="E27" s="52" t="s">
        <v>223</v>
      </c>
      <c r="F27" s="52"/>
      <c r="G27" s="32">
        <v>0.02</v>
      </c>
      <c r="H27" s="32"/>
      <c r="I27" s="32"/>
      <c r="J27" s="52" t="s">
        <v>223</v>
      </c>
      <c r="K27" s="52"/>
      <c r="L27" s="32">
        <v>0.02</v>
      </c>
      <c r="M27" s="32"/>
      <c r="N27" s="32"/>
    </row>
    <row r="28" spans="2:14" x14ac:dyDescent="0.25">
      <c r="B28" s="32"/>
      <c r="C28" s="32"/>
      <c r="D28" s="32"/>
      <c r="E28" s="52" t="s">
        <v>224</v>
      </c>
      <c r="F28" s="52"/>
      <c r="G28" s="32">
        <v>4.4589999999999996</v>
      </c>
      <c r="H28" s="32"/>
      <c r="I28" s="32"/>
      <c r="J28" s="52" t="s">
        <v>224</v>
      </c>
      <c r="K28" s="52"/>
      <c r="L28" s="32">
        <v>4.4589999999999996</v>
      </c>
      <c r="M28" s="32"/>
      <c r="N28" s="32"/>
    </row>
    <row r="29" spans="2:14" x14ac:dyDescent="0.25">
      <c r="B29" s="32"/>
      <c r="C29" s="32"/>
      <c r="D29" s="32"/>
      <c r="E29" s="52" t="s">
        <v>225</v>
      </c>
      <c r="F29" s="52"/>
      <c r="G29" s="32">
        <v>1.4830000000000001</v>
      </c>
      <c r="H29" s="32"/>
      <c r="I29" s="32"/>
      <c r="J29" s="52" t="s">
        <v>225</v>
      </c>
      <c r="K29" s="52"/>
      <c r="L29" s="32">
        <v>1.4830000000000001</v>
      </c>
      <c r="M29" s="32"/>
      <c r="N29" s="32"/>
    </row>
    <row r="30" spans="2:14" x14ac:dyDescent="0.25">
      <c r="B30" s="32"/>
      <c r="C30" s="32"/>
      <c r="D30" s="32"/>
      <c r="E30" s="52" t="s">
        <v>226</v>
      </c>
      <c r="F30" s="52"/>
      <c r="G30" s="32">
        <f>(1.1)*(G23)*((G24/(10^6))/(G27+((G28-G27)*((1-0.99)^(1/G29)))))^(1/G26)</f>
        <v>22906.201152666283</v>
      </c>
      <c r="H30" s="32"/>
      <c r="I30" s="32"/>
      <c r="J30" s="52" t="s">
        <v>226</v>
      </c>
      <c r="K30" s="52"/>
      <c r="L30" s="32">
        <f>(1.1)*G23*((G24/(10^6))/(L27+(L28-L27)*((1-0.99)^(1/L29))))^(1/L26)</f>
        <v>18046.389146960835</v>
      </c>
      <c r="M30" s="32"/>
      <c r="N30" s="32"/>
    </row>
    <row r="31" spans="2:14" x14ac:dyDescent="0.25">
      <c r="B31" s="32"/>
      <c r="C31" s="32"/>
      <c r="D31" s="32"/>
      <c r="E31" s="52"/>
      <c r="F31" s="52"/>
      <c r="G31" s="32"/>
      <c r="H31" s="32"/>
      <c r="I31" s="32"/>
      <c r="J31" s="52"/>
      <c r="K31" s="52"/>
      <c r="L31" s="32"/>
      <c r="M31" s="32"/>
      <c r="N31" s="32"/>
    </row>
    <row r="32" spans="2:14" x14ac:dyDescent="0.25">
      <c r="B32" s="32"/>
      <c r="C32" s="32"/>
      <c r="D32" s="32"/>
      <c r="E32" s="53" t="s">
        <v>227</v>
      </c>
      <c r="F32" s="53"/>
      <c r="G32" s="53"/>
      <c r="H32" s="53"/>
      <c r="I32" s="53"/>
      <c r="J32" s="53"/>
      <c r="K32" s="53"/>
      <c r="L32" s="53"/>
      <c r="M32" s="53"/>
      <c r="N32" s="32"/>
    </row>
    <row r="33" spans="2:14" x14ac:dyDescent="0.25">
      <c r="B33" s="32"/>
      <c r="C33" s="32"/>
      <c r="D33" s="32"/>
      <c r="E33" s="67" t="s">
        <v>221</v>
      </c>
      <c r="F33" s="67"/>
      <c r="G33" s="67"/>
      <c r="H33" s="32"/>
      <c r="I33" s="32"/>
      <c r="J33" s="67" t="s">
        <v>222</v>
      </c>
      <c r="K33" s="67"/>
      <c r="L33" s="67"/>
      <c r="M33" s="32"/>
      <c r="N33" s="32"/>
    </row>
    <row r="34" spans="2:14" x14ac:dyDescent="0.25">
      <c r="B34" s="32"/>
      <c r="C34" s="32"/>
      <c r="D34" s="32"/>
      <c r="E34" s="52" t="s">
        <v>219</v>
      </c>
      <c r="F34" s="52"/>
      <c r="G34" s="32">
        <v>3</v>
      </c>
      <c r="H34" s="32"/>
      <c r="I34" s="32"/>
      <c r="J34" s="52" t="s">
        <v>220</v>
      </c>
      <c r="K34" s="52"/>
      <c r="L34" s="8">
        <v>3.3333333333333335</v>
      </c>
      <c r="M34" s="32"/>
      <c r="N34" s="32"/>
    </row>
    <row r="35" spans="2:14" x14ac:dyDescent="0.25">
      <c r="B35" s="32"/>
      <c r="C35" s="32"/>
      <c r="D35" s="32"/>
      <c r="E35" s="52" t="s">
        <v>223</v>
      </c>
      <c r="F35" s="52"/>
      <c r="G35" s="32">
        <v>0.02</v>
      </c>
      <c r="H35" s="32"/>
      <c r="I35" s="32"/>
      <c r="J35" s="52" t="s">
        <v>223</v>
      </c>
      <c r="K35" s="52"/>
      <c r="L35" s="32">
        <v>0.02</v>
      </c>
      <c r="M35" s="32"/>
      <c r="N35" s="32"/>
    </row>
    <row r="36" spans="2:14" x14ac:dyDescent="0.25">
      <c r="B36" s="32"/>
      <c r="C36" s="32"/>
      <c r="D36" s="32"/>
      <c r="E36" s="52" t="s">
        <v>224</v>
      </c>
      <c r="F36" s="52"/>
      <c r="G36" s="32">
        <v>4.4589999999999996</v>
      </c>
      <c r="H36" s="32"/>
      <c r="I36" s="32"/>
      <c r="J36" s="52" t="s">
        <v>224</v>
      </c>
      <c r="K36" s="52"/>
      <c r="L36" s="32">
        <v>4.4589999999999996</v>
      </c>
      <c r="M36" s="32"/>
      <c r="N36" s="32"/>
    </row>
    <row r="37" spans="2:14" x14ac:dyDescent="0.25">
      <c r="B37" s="32"/>
      <c r="C37" s="32"/>
      <c r="D37" s="32"/>
      <c r="E37" s="52" t="s">
        <v>225</v>
      </c>
      <c r="F37" s="52"/>
      <c r="G37" s="32">
        <v>1.4830000000000001</v>
      </c>
      <c r="H37" s="32"/>
      <c r="I37" s="32"/>
      <c r="J37" s="52" t="s">
        <v>225</v>
      </c>
      <c r="K37" s="52"/>
      <c r="L37" s="32">
        <v>1.4830000000000001</v>
      </c>
      <c r="M37" s="32"/>
      <c r="N37" s="32"/>
    </row>
    <row r="38" spans="2:14" x14ac:dyDescent="0.25">
      <c r="B38" s="32"/>
      <c r="C38" s="32"/>
      <c r="D38" s="32"/>
      <c r="E38" s="52" t="s">
        <v>226</v>
      </c>
      <c r="F38" s="52"/>
      <c r="G38" s="32">
        <f>(1.1)*(G22)*((G24/(10^6))/(G35+((G36-G35)*((1-0.99)^(1/G37)))))^(1/G34)</f>
        <v>4470.3911794076894</v>
      </c>
      <c r="H38" s="32"/>
      <c r="I38" s="32"/>
      <c r="J38" s="52" t="s">
        <v>226</v>
      </c>
      <c r="K38" s="52"/>
      <c r="L38" s="32">
        <f>(1.1)*G22*((G24/(10^6))/(L35+(L36-L35)*((1-0.99)^(1/L37))))^(1/L34)</f>
        <v>3521.9466695961441</v>
      </c>
      <c r="M38" s="32"/>
      <c r="N38" s="32"/>
    </row>
    <row r="39" spans="2:14" x14ac:dyDescent="0.25"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</row>
    <row r="40" spans="2:14" x14ac:dyDescent="0.25"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</row>
    <row r="41" spans="2:14" x14ac:dyDescent="0.25"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</row>
    <row r="42" spans="2:14" x14ac:dyDescent="0.25"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</row>
    <row r="43" spans="2:14" x14ac:dyDescent="0.25"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</row>
    <row r="44" spans="2:14" x14ac:dyDescent="0.25"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</row>
    <row r="45" spans="2:14" x14ac:dyDescent="0.25"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</row>
    <row r="46" spans="2:14" x14ac:dyDescent="0.25"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</row>
    <row r="47" spans="2:14" x14ac:dyDescent="0.25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</row>
    <row r="48" spans="2:14" x14ac:dyDescent="0.25"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</row>
    <row r="49" spans="2:14" x14ac:dyDescent="0.25"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</row>
    <row r="50" spans="2:14" x14ac:dyDescent="0.25"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</row>
  </sheetData>
  <mergeCells count="32">
    <mergeCell ref="E37:F37"/>
    <mergeCell ref="J37:K37"/>
    <mergeCell ref="E38:F38"/>
    <mergeCell ref="J38:K38"/>
    <mergeCell ref="E32:M32"/>
    <mergeCell ref="E34:F34"/>
    <mergeCell ref="J34:K34"/>
    <mergeCell ref="E35:F35"/>
    <mergeCell ref="J35:K35"/>
    <mergeCell ref="E36:F36"/>
    <mergeCell ref="J36:K36"/>
    <mergeCell ref="J30:K30"/>
    <mergeCell ref="J31:K31"/>
    <mergeCell ref="E30:F30"/>
    <mergeCell ref="E31:F31"/>
    <mergeCell ref="E33:G33"/>
    <mergeCell ref="J33:L33"/>
    <mergeCell ref="E25:G25"/>
    <mergeCell ref="J25:L25"/>
    <mergeCell ref="J27:K27"/>
    <mergeCell ref="J28:K28"/>
    <mergeCell ref="J29:K29"/>
    <mergeCell ref="J26:K26"/>
    <mergeCell ref="E27:F27"/>
    <mergeCell ref="E28:F28"/>
    <mergeCell ref="E29:F29"/>
    <mergeCell ref="E26:F26"/>
    <mergeCell ref="E3:K3"/>
    <mergeCell ref="E21:F21"/>
    <mergeCell ref="E22:F22"/>
    <mergeCell ref="E23:F23"/>
    <mergeCell ref="E24:F2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2B71-3652-444E-89F7-CC46FED621DF}">
  <dimension ref="B2:L59"/>
  <sheetViews>
    <sheetView topLeftCell="B1" workbookViewId="0">
      <selection activeCell="E13" sqref="E13:G13"/>
    </sheetView>
  </sheetViews>
  <sheetFormatPr baseColWidth="10" defaultRowHeight="15" x14ac:dyDescent="0.25"/>
  <sheetData>
    <row r="2" spans="2:12" x14ac:dyDescent="0.25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2:12" x14ac:dyDescent="0.25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</row>
    <row r="4" spans="2:12" x14ac:dyDescent="0.25">
      <c r="B4" s="32"/>
      <c r="C4" s="32"/>
      <c r="D4" s="53" t="s">
        <v>228</v>
      </c>
      <c r="E4" s="53"/>
      <c r="F4" s="53"/>
      <c r="G4" s="53"/>
      <c r="H4" s="53"/>
      <c r="I4" s="53"/>
      <c r="J4" s="53"/>
      <c r="K4" s="32"/>
      <c r="L4" s="32"/>
    </row>
    <row r="5" spans="2:12" x14ac:dyDescent="0.25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</row>
    <row r="6" spans="2:12" x14ac:dyDescent="0.25">
      <c r="B6" s="32"/>
      <c r="C6" s="32"/>
      <c r="D6" s="32"/>
      <c r="E6" s="52" t="s">
        <v>229</v>
      </c>
      <c r="F6" s="52"/>
      <c r="G6" s="52"/>
      <c r="H6" s="32">
        <v>1.625</v>
      </c>
      <c r="I6" s="32"/>
      <c r="J6" s="32"/>
      <c r="K6" s="32"/>
      <c r="L6" s="32"/>
    </row>
    <row r="7" spans="2:12" x14ac:dyDescent="0.25">
      <c r="B7" s="32"/>
      <c r="C7" s="32"/>
      <c r="D7" s="32"/>
      <c r="E7" s="52" t="s">
        <v>232</v>
      </c>
      <c r="F7" s="52"/>
      <c r="G7" s="52"/>
      <c r="H7" s="8">
        <f>'Analisis de Fuerzas'!H214</f>
        <v>3237.2575262608316</v>
      </c>
      <c r="I7" s="32"/>
      <c r="J7" s="32"/>
      <c r="K7" s="32"/>
      <c r="L7" s="32"/>
    </row>
    <row r="8" spans="2:12" x14ac:dyDescent="0.25">
      <c r="B8" s="32"/>
      <c r="C8" s="32"/>
      <c r="D8" s="32"/>
      <c r="E8" s="52" t="s">
        <v>233</v>
      </c>
      <c r="F8" s="52"/>
      <c r="G8" s="52"/>
      <c r="H8" s="32">
        <v>1.5</v>
      </c>
      <c r="I8" s="32" t="s">
        <v>50</v>
      </c>
      <c r="J8" s="32"/>
      <c r="K8" s="32"/>
      <c r="L8" s="32"/>
    </row>
    <row r="9" spans="2:12" x14ac:dyDescent="0.25">
      <c r="B9" s="32"/>
      <c r="C9" s="32"/>
      <c r="D9" s="32"/>
      <c r="E9" s="52" t="s">
        <v>234</v>
      </c>
      <c r="F9" s="52"/>
      <c r="G9" s="52"/>
      <c r="H9" s="8">
        <v>2</v>
      </c>
      <c r="I9" s="32" t="s">
        <v>50</v>
      </c>
      <c r="J9" s="32"/>
      <c r="K9" s="32"/>
      <c r="L9" s="32"/>
    </row>
    <row r="10" spans="2:12" x14ac:dyDescent="0.25">
      <c r="B10" s="32"/>
      <c r="C10" s="32"/>
      <c r="D10" s="32"/>
      <c r="E10" s="52" t="s">
        <v>230</v>
      </c>
      <c r="F10" s="52"/>
      <c r="G10" s="52"/>
      <c r="H10" s="8">
        <f>(3/8)</f>
        <v>0.375</v>
      </c>
      <c r="I10" s="32"/>
      <c r="J10" s="32"/>
      <c r="K10" s="32"/>
      <c r="L10" s="32"/>
    </row>
    <row r="11" spans="2:12" x14ac:dyDescent="0.25">
      <c r="B11" s="32"/>
      <c r="C11" s="32"/>
      <c r="D11" s="32"/>
      <c r="E11" s="32" t="s">
        <v>231</v>
      </c>
      <c r="F11" s="32"/>
      <c r="G11" s="32"/>
      <c r="H11" s="32">
        <v>57000</v>
      </c>
      <c r="I11" s="32" t="s">
        <v>82</v>
      </c>
      <c r="J11" s="32"/>
      <c r="K11" s="32"/>
      <c r="L11" s="32"/>
    </row>
    <row r="12" spans="2:12" x14ac:dyDescent="0.25">
      <c r="B12" s="32"/>
      <c r="C12" s="32"/>
      <c r="D12" s="32"/>
      <c r="E12" s="52" t="s">
        <v>235</v>
      </c>
      <c r="F12" s="52"/>
      <c r="G12" s="52"/>
      <c r="H12" s="32">
        <f>H7/(H6/2)</f>
        <v>3984.3169553979465</v>
      </c>
      <c r="I12" s="32"/>
      <c r="J12" s="32"/>
      <c r="K12" s="32"/>
      <c r="L12" s="32"/>
    </row>
    <row r="13" spans="2:12" x14ac:dyDescent="0.25">
      <c r="B13" s="32"/>
      <c r="C13" s="32"/>
      <c r="D13" s="32"/>
      <c r="E13" s="52" t="s">
        <v>236</v>
      </c>
      <c r="F13" s="52"/>
      <c r="G13" s="52"/>
      <c r="H13" s="32">
        <f>(2*H12*2)/(H10*H11)</f>
        <v>0.74560317293996659</v>
      </c>
      <c r="I13" s="32"/>
      <c r="J13" s="32"/>
      <c r="K13" s="32"/>
      <c r="L13" s="32"/>
    </row>
    <row r="14" spans="2:12" x14ac:dyDescent="0.25">
      <c r="B14" s="32"/>
      <c r="C14" s="32"/>
      <c r="D14" s="32"/>
      <c r="E14" s="52"/>
      <c r="F14" s="52"/>
      <c r="G14" s="52"/>
      <c r="H14" s="32"/>
      <c r="I14" s="32"/>
      <c r="J14" s="32"/>
      <c r="K14" s="32"/>
      <c r="L14" s="32"/>
    </row>
    <row r="15" spans="2:12" x14ac:dyDescent="0.25">
      <c r="B15" s="32"/>
      <c r="C15" s="32"/>
      <c r="D15" s="32"/>
      <c r="E15" s="52"/>
      <c r="F15" s="52"/>
      <c r="G15" s="52"/>
      <c r="H15" s="32"/>
      <c r="I15" s="32"/>
      <c r="J15" s="32"/>
      <c r="K15" s="32"/>
      <c r="L15" s="32"/>
    </row>
    <row r="16" spans="2:12" x14ac:dyDescent="0.25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</row>
    <row r="17" spans="2:12" x14ac:dyDescent="0.25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spans="2:12" x14ac:dyDescent="0.25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2:12" x14ac:dyDescent="0.25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  <row r="20" spans="2:12" x14ac:dyDescent="0.25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</row>
    <row r="21" spans="2:12" x14ac:dyDescent="0.25"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</row>
    <row r="22" spans="2:12" x14ac:dyDescent="0.25"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</row>
    <row r="23" spans="2:12" x14ac:dyDescent="0.25"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</row>
    <row r="24" spans="2:12" x14ac:dyDescent="0.25"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</row>
    <row r="25" spans="2:12" x14ac:dyDescent="0.25"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</row>
    <row r="26" spans="2:12" x14ac:dyDescent="0.25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</row>
    <row r="27" spans="2:12" x14ac:dyDescent="0.25"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</row>
    <row r="28" spans="2:12" x14ac:dyDescent="0.25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</row>
    <row r="29" spans="2:12" x14ac:dyDescent="0.25"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</row>
    <row r="30" spans="2:12" x14ac:dyDescent="0.25"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</row>
    <row r="31" spans="2:12" x14ac:dyDescent="0.25"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</row>
    <row r="32" spans="2:12" x14ac:dyDescent="0.25"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</row>
    <row r="33" spans="2:12" x14ac:dyDescent="0.25"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</row>
    <row r="34" spans="2:12" x14ac:dyDescent="0.25"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</row>
    <row r="35" spans="2:12" x14ac:dyDescent="0.25"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</row>
    <row r="36" spans="2:12" x14ac:dyDescent="0.25"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7" spans="2:12" x14ac:dyDescent="0.25"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</row>
    <row r="38" spans="2:12" x14ac:dyDescent="0.25"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</row>
    <row r="39" spans="2:12" x14ac:dyDescent="0.25"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</row>
    <row r="40" spans="2:12" x14ac:dyDescent="0.25"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</row>
    <row r="41" spans="2:12" x14ac:dyDescent="0.25"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</row>
    <row r="42" spans="2:12" x14ac:dyDescent="0.25"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</row>
    <row r="43" spans="2:12" x14ac:dyDescent="0.25"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</row>
    <row r="44" spans="2:12" x14ac:dyDescent="0.25"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</row>
    <row r="45" spans="2:12" x14ac:dyDescent="0.25"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</row>
    <row r="46" spans="2:12" x14ac:dyDescent="0.25"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</row>
    <row r="47" spans="2:12" x14ac:dyDescent="0.25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</row>
    <row r="48" spans="2:12" x14ac:dyDescent="0.25"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</row>
    <row r="49" spans="2:12" x14ac:dyDescent="0.25"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</row>
    <row r="50" spans="2:12" x14ac:dyDescent="0.25"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</row>
    <row r="51" spans="2:12" x14ac:dyDescent="0.25"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</row>
    <row r="52" spans="2:12" x14ac:dyDescent="0.25"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</row>
    <row r="53" spans="2:12" x14ac:dyDescent="0.25"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</row>
    <row r="54" spans="2:12" x14ac:dyDescent="0.25"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</row>
    <row r="55" spans="2:12" x14ac:dyDescent="0.25"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</row>
    <row r="56" spans="2:12" x14ac:dyDescent="0.25"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</row>
    <row r="57" spans="2:12" x14ac:dyDescent="0.25"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</row>
    <row r="58" spans="2:12" x14ac:dyDescent="0.25"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</row>
    <row r="59" spans="2:12" x14ac:dyDescent="0.25"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</row>
  </sheetData>
  <mergeCells count="10">
    <mergeCell ref="E12:G12"/>
    <mergeCell ref="E13:G13"/>
    <mergeCell ref="E14:G14"/>
    <mergeCell ref="E15:G15"/>
    <mergeCell ref="D4:J4"/>
    <mergeCell ref="E6:G6"/>
    <mergeCell ref="E7:G7"/>
    <mergeCell ref="E8:G8"/>
    <mergeCell ref="E9:G9"/>
    <mergeCell ref="E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Especificaciones De Diseño</vt:lpstr>
      <vt:lpstr>Relacion de (Vel.), par T. y E </vt:lpstr>
      <vt:lpstr>Analisis de Fuerzas</vt:lpstr>
      <vt:lpstr>Seleccion de Cojinetes</vt:lpstr>
      <vt:lpstr>Cuñas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2021-05-01T18:09:54Z</dcterms:created>
  <dcterms:modified xsi:type="dcterms:W3CDTF">2021-05-10T00:26:52Z</dcterms:modified>
</cp:coreProperties>
</file>