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https://d.docs.live.net/711f26309c79f7f8/Universidad_Distrital/2024-03/Ingenieria_Economica_81/Trabajo Crédito Empleados/"/>
    </mc:Choice>
  </mc:AlternateContent>
  <xr:revisionPtr revIDLastSave="0" documentId="8_{D08D1AC4-67FE-443F-BD17-641FEF5ACA8C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Política" sheetId="2" r:id="rId1"/>
    <sheet name="Trabajador" sheetId="1" r:id="rId2"/>
    <sheet name="Salario" sheetId="7" r:id="rId3"/>
    <sheet name="Aporte" sheetId="6" r:id="rId4"/>
    <sheet name="Crédito" sheetId="4" r:id="rId5"/>
    <sheet name="Amortización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5" l="1"/>
  <c r="AA4" i="5" s="1"/>
  <c r="C11" i="5"/>
  <c r="Q4" i="5" s="1"/>
  <c r="C15" i="5"/>
  <c r="C13" i="5"/>
  <c r="C14" i="5"/>
  <c r="C4" i="5"/>
  <c r="C5" i="5" s="1"/>
  <c r="C10" i="5"/>
  <c r="C9" i="5"/>
  <c r="M5" i="5" s="1"/>
  <c r="C3" i="5"/>
  <c r="AA5" i="5" l="1"/>
  <c r="AD26" i="5"/>
  <c r="AD38" i="5"/>
  <c r="AD22" i="5"/>
  <c r="AD34" i="5"/>
  <c r="AD18" i="5"/>
  <c r="AD30" i="5"/>
  <c r="AD41" i="5"/>
  <c r="AD37" i="5"/>
  <c r="AD33" i="5"/>
  <c r="AD29" i="5"/>
  <c r="AD25" i="5"/>
  <c r="AD21" i="5"/>
  <c r="AD17" i="5"/>
  <c r="AD40" i="5"/>
  <c r="AD36" i="5"/>
  <c r="AD32" i="5"/>
  <c r="AD28" i="5"/>
  <c r="AD24" i="5"/>
  <c r="AD20" i="5"/>
  <c r="AD16" i="5"/>
  <c r="AD39" i="5"/>
  <c r="AD35" i="5"/>
  <c r="AD31" i="5"/>
  <c r="AD27" i="5"/>
  <c r="AD23" i="5"/>
  <c r="AD19" i="5"/>
  <c r="AD15" i="5"/>
  <c r="L5" i="5"/>
  <c r="W25" i="5"/>
  <c r="W19" i="5"/>
  <c r="W41" i="5"/>
  <c r="T39" i="5"/>
  <c r="T35" i="5"/>
  <c r="T31" i="5"/>
  <c r="T27" i="5"/>
  <c r="T23" i="5"/>
  <c r="T19" i="5"/>
  <c r="T15" i="5"/>
  <c r="AA7" i="5"/>
  <c r="AA8" i="5" s="1"/>
  <c r="AE16" i="5"/>
  <c r="AF17" i="5"/>
  <c r="AG18" i="5"/>
  <c r="AE20" i="5"/>
  <c r="AF21" i="5"/>
  <c r="AG22" i="5"/>
  <c r="AE24" i="5"/>
  <c r="AF25" i="5"/>
  <c r="AG26" i="5"/>
  <c r="AE28" i="5"/>
  <c r="AF29" i="5"/>
  <c r="AG30" i="5"/>
  <c r="AE32" i="5"/>
  <c r="AF33" i="5"/>
  <c r="AG34" i="5"/>
  <c r="AE36" i="5"/>
  <c r="AF37" i="5"/>
  <c r="AG38" i="5"/>
  <c r="AE40" i="5"/>
  <c r="AF41" i="5"/>
  <c r="T38" i="5"/>
  <c r="T34" i="5"/>
  <c r="T30" i="5"/>
  <c r="T26" i="5"/>
  <c r="T22" i="5"/>
  <c r="T18" i="5"/>
  <c r="AF5" i="5"/>
  <c r="AE15" i="5"/>
  <c r="AF16" i="5"/>
  <c r="AG17" i="5"/>
  <c r="AE19" i="5"/>
  <c r="AF20" i="5"/>
  <c r="AG21" i="5"/>
  <c r="AE23" i="5"/>
  <c r="AF24" i="5"/>
  <c r="AG25" i="5"/>
  <c r="AE27" i="5"/>
  <c r="AF28" i="5"/>
  <c r="AG29" i="5"/>
  <c r="AE31" i="5"/>
  <c r="AF32" i="5"/>
  <c r="AG33" i="5"/>
  <c r="AE35" i="5"/>
  <c r="AF36" i="5"/>
  <c r="AG37" i="5"/>
  <c r="AE39" i="5"/>
  <c r="AF40" i="5"/>
  <c r="AG41" i="5"/>
  <c r="V30" i="5"/>
  <c r="T41" i="5"/>
  <c r="T37" i="5"/>
  <c r="T33" i="5"/>
  <c r="T29" i="5"/>
  <c r="T25" i="5"/>
  <c r="T21" i="5"/>
  <c r="T17" i="5"/>
  <c r="AG5" i="5"/>
  <c r="AE6" i="5" s="1"/>
  <c r="AF15" i="5"/>
  <c r="AG16" i="5"/>
  <c r="AE18" i="5"/>
  <c r="AF19" i="5"/>
  <c r="AG20" i="5"/>
  <c r="AE22" i="5"/>
  <c r="AF23" i="5"/>
  <c r="AG24" i="5"/>
  <c r="AE26" i="5"/>
  <c r="AF27" i="5"/>
  <c r="AG28" i="5"/>
  <c r="AE30" i="5"/>
  <c r="AF31" i="5"/>
  <c r="AG32" i="5"/>
  <c r="AE34" i="5"/>
  <c r="AF35" i="5"/>
  <c r="AG36" i="5"/>
  <c r="AE38" i="5"/>
  <c r="AF39" i="5"/>
  <c r="AG40" i="5"/>
  <c r="AA6" i="5"/>
  <c r="W35" i="5"/>
  <c r="T40" i="5"/>
  <c r="T36" i="5"/>
  <c r="T32" i="5"/>
  <c r="T28" i="5"/>
  <c r="T24" i="5"/>
  <c r="T20" i="5"/>
  <c r="T16" i="5"/>
  <c r="AG15" i="5"/>
  <c r="AE17" i="5"/>
  <c r="AF18" i="5"/>
  <c r="AG19" i="5"/>
  <c r="AE21" i="5"/>
  <c r="AF22" i="5"/>
  <c r="AG23" i="5"/>
  <c r="AE25" i="5"/>
  <c r="AF26" i="5"/>
  <c r="AG27" i="5"/>
  <c r="AE29" i="5"/>
  <c r="AF30" i="5"/>
  <c r="AG31" i="5"/>
  <c r="AE33" i="5"/>
  <c r="AF34" i="5"/>
  <c r="AG35" i="5"/>
  <c r="AE37" i="5"/>
  <c r="AF38" i="5"/>
  <c r="AG39" i="5"/>
  <c r="AE41" i="5"/>
  <c r="W15" i="5"/>
  <c r="W21" i="5"/>
  <c r="V26" i="5"/>
  <c r="W31" i="5"/>
  <c r="W37" i="5"/>
  <c r="W17" i="5"/>
  <c r="V22" i="5"/>
  <c r="W27" i="5"/>
  <c r="W33" i="5"/>
  <c r="V38" i="5"/>
  <c r="V18" i="5"/>
  <c r="W23" i="5"/>
  <c r="W29" i="5"/>
  <c r="V34" i="5"/>
  <c r="W39" i="5"/>
  <c r="Q5" i="5"/>
  <c r="Q6" i="5" s="1"/>
  <c r="Q7" i="5"/>
  <c r="Q8" i="5" s="1"/>
  <c r="V16" i="5"/>
  <c r="V20" i="5"/>
  <c r="V24" i="5"/>
  <c r="V28" i="5"/>
  <c r="V32" i="5"/>
  <c r="V36" i="5"/>
  <c r="V40" i="5"/>
  <c r="G6" i="5"/>
  <c r="G7" i="5" s="1"/>
  <c r="W5" i="5"/>
  <c r="U6" i="5" s="1"/>
  <c r="W16" i="5"/>
  <c r="W18" i="5"/>
  <c r="W20" i="5"/>
  <c r="W22" i="5"/>
  <c r="W24" i="5"/>
  <c r="W26" i="5"/>
  <c r="W28" i="5"/>
  <c r="W30" i="5"/>
  <c r="W32" i="5"/>
  <c r="W34" i="5"/>
  <c r="W36" i="5"/>
  <c r="W38" i="5"/>
  <c r="W40" i="5"/>
  <c r="V15" i="5"/>
  <c r="V17" i="5"/>
  <c r="V19" i="5"/>
  <c r="V21" i="5"/>
  <c r="V23" i="5"/>
  <c r="V25" i="5"/>
  <c r="V27" i="5"/>
  <c r="V29" i="5"/>
  <c r="V31" i="5"/>
  <c r="V33" i="5"/>
  <c r="V35" i="5"/>
  <c r="V37" i="5"/>
  <c r="V39" i="5"/>
  <c r="V41" i="5"/>
  <c r="V5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L26" i="5"/>
  <c r="M26" i="5"/>
  <c r="L38" i="5"/>
  <c r="L22" i="5"/>
  <c r="M38" i="5"/>
  <c r="M22" i="5"/>
  <c r="L34" i="5"/>
  <c r="L18" i="5"/>
  <c r="M34" i="5"/>
  <c r="M18" i="5"/>
  <c r="L30" i="5"/>
  <c r="M30" i="5"/>
  <c r="C8" i="5"/>
  <c r="L41" i="5"/>
  <c r="L37" i="5"/>
  <c r="L33" i="5"/>
  <c r="L29" i="5"/>
  <c r="L25" i="5"/>
  <c r="L21" i="5"/>
  <c r="L17" i="5"/>
  <c r="M41" i="5"/>
  <c r="M37" i="5"/>
  <c r="M33" i="5"/>
  <c r="M29" i="5"/>
  <c r="M25" i="5"/>
  <c r="M21" i="5"/>
  <c r="M17" i="5"/>
  <c r="C7" i="5"/>
  <c r="L40" i="5"/>
  <c r="L36" i="5"/>
  <c r="L32" i="5"/>
  <c r="L28" i="5"/>
  <c r="L24" i="5"/>
  <c r="L20" i="5"/>
  <c r="L16" i="5"/>
  <c r="M40" i="5"/>
  <c r="M36" i="5"/>
  <c r="M32" i="5"/>
  <c r="M28" i="5"/>
  <c r="M24" i="5"/>
  <c r="M20" i="5"/>
  <c r="M16" i="5"/>
  <c r="C6" i="5"/>
  <c r="L39" i="5"/>
  <c r="L35" i="5"/>
  <c r="L31" i="5"/>
  <c r="L27" i="5"/>
  <c r="L23" i="5"/>
  <c r="L19" i="5"/>
  <c r="L15" i="5"/>
  <c r="M39" i="5"/>
  <c r="M35" i="5"/>
  <c r="M31" i="5"/>
  <c r="M27" i="5"/>
  <c r="M23" i="5"/>
  <c r="M19" i="5"/>
  <c r="M15" i="5"/>
  <c r="J40" i="5"/>
  <c r="J39" i="5"/>
  <c r="J31" i="5"/>
  <c r="J38" i="5"/>
  <c r="J34" i="5"/>
  <c r="J30" i="5"/>
  <c r="J26" i="5"/>
  <c r="J22" i="5"/>
  <c r="J18" i="5"/>
  <c r="J41" i="5"/>
  <c r="J37" i="5"/>
  <c r="J33" i="5"/>
  <c r="J29" i="5"/>
  <c r="J25" i="5"/>
  <c r="J21" i="5"/>
  <c r="J17" i="5"/>
  <c r="J36" i="5"/>
  <c r="J32" i="5"/>
  <c r="J28" i="5"/>
  <c r="J24" i="5"/>
  <c r="J20" i="5"/>
  <c r="J16" i="5"/>
  <c r="J35" i="5"/>
  <c r="J27" i="5"/>
  <c r="J23" i="5"/>
  <c r="J19" i="5"/>
  <c r="J15" i="5"/>
  <c r="G4" i="5"/>
  <c r="G5" i="5" s="1"/>
  <c r="K6" i="5" l="1"/>
  <c r="E3" i="4" l="1"/>
  <c r="C24" i="6"/>
  <c r="D24" i="6" s="1" a="1"/>
  <c r="D24" i="6" s="1"/>
  <c r="C25" i="6"/>
  <c r="D25" i="6" a="1"/>
  <c r="D25" i="6" s="1"/>
  <c r="C26" i="6"/>
  <c r="D26" i="6" s="1" a="1"/>
  <c r="D26" i="6" s="1"/>
  <c r="C27" i="6"/>
  <c r="D27" i="6" s="1" a="1"/>
  <c r="D27" i="6" s="1"/>
  <c r="C28" i="6"/>
  <c r="D28" i="6" s="1" a="1"/>
  <c r="D28" i="6" s="1"/>
  <c r="C29" i="6"/>
  <c r="D29" i="6" s="1" a="1"/>
  <c r="D29" i="6" s="1"/>
  <c r="C30" i="6"/>
  <c r="D30" i="6" s="1" a="1"/>
  <c r="D30" i="6" s="1"/>
  <c r="C31" i="6"/>
  <c r="D31" i="6" s="1" a="1"/>
  <c r="D31" i="6" s="1"/>
  <c r="C32" i="6"/>
  <c r="D32" i="6" s="1" a="1"/>
  <c r="D32" i="6" s="1"/>
  <c r="C33" i="6"/>
  <c r="D33" i="6" s="1" a="1"/>
  <c r="D33" i="6" s="1"/>
  <c r="C34" i="6"/>
  <c r="D34" i="6" s="1" a="1"/>
  <c r="D34" i="6" s="1"/>
  <c r="E34" i="6" s="1"/>
  <c r="C35" i="6"/>
  <c r="D35" i="6" s="1" a="1"/>
  <c r="D35" i="6" s="1"/>
  <c r="E35" i="6" s="1"/>
  <c r="C36" i="6"/>
  <c r="D36" i="6" s="1" a="1"/>
  <c r="D36" i="6" s="1"/>
  <c r="E36" i="6" s="1"/>
  <c r="C37" i="6"/>
  <c r="D37" i="6" s="1" a="1"/>
  <c r="D37" i="6" s="1"/>
  <c r="E37" i="6" s="1"/>
  <c r="C38" i="6"/>
  <c r="D38" i="6" s="1" a="1"/>
  <c r="D38" i="6" s="1"/>
  <c r="E38" i="6" s="1"/>
  <c r="C39" i="6"/>
  <c r="D39" i="6" s="1" a="1"/>
  <c r="D39" i="6" s="1"/>
  <c r="E39" i="6" s="1"/>
  <c r="C40" i="6"/>
  <c r="D40" i="6" s="1" a="1"/>
  <c r="D40" i="6" s="1"/>
  <c r="E40" i="6" s="1"/>
  <c r="C41" i="6"/>
  <c r="D41" i="6" s="1" a="1"/>
  <c r="D41" i="6" s="1"/>
  <c r="E41" i="6" s="1"/>
  <c r="C42" i="6"/>
  <c r="D42" i="6" s="1" a="1"/>
  <c r="D42" i="6" s="1"/>
  <c r="E42" i="6" s="1"/>
  <c r="C43" i="6"/>
  <c r="D43" i="6" s="1" a="1"/>
  <c r="D43" i="6" s="1"/>
  <c r="E43" i="6" s="1"/>
  <c r="C44" i="6"/>
  <c r="D44" i="6" s="1" a="1"/>
  <c r="D44" i="6" s="1"/>
  <c r="E44" i="6" s="1"/>
  <c r="C45" i="6"/>
  <c r="D45" i="6" s="1" a="1"/>
  <c r="D45" i="6" s="1"/>
  <c r="E45" i="6" s="1"/>
  <c r="C46" i="6"/>
  <c r="D46" i="6" s="1" a="1"/>
  <c r="D46" i="6" s="1"/>
  <c r="E46" i="6" s="1"/>
  <c r="C47" i="6"/>
  <c r="D47" i="6" s="1" a="1"/>
  <c r="D47" i="6" s="1"/>
  <c r="E47" i="6" s="1"/>
  <c r="C48" i="6"/>
  <c r="D48" i="6" s="1" a="1"/>
  <c r="D48" i="6" s="1"/>
  <c r="E48" i="6" s="1"/>
  <c r="C49" i="6"/>
  <c r="D49" i="6" s="1" a="1"/>
  <c r="D49" i="6" s="1"/>
  <c r="E49" i="6" s="1"/>
  <c r="C50" i="6"/>
  <c r="D50" i="6" s="1" a="1"/>
  <c r="D50" i="6" s="1"/>
  <c r="E50" i="6" s="1"/>
  <c r="C51" i="6"/>
  <c r="D51" i="6" s="1" a="1"/>
  <c r="D51" i="6" s="1"/>
  <c r="E51" i="6" s="1"/>
  <c r="C52" i="6"/>
  <c r="D52" i="6" s="1" a="1"/>
  <c r="D52" i="6" s="1"/>
  <c r="C53" i="6"/>
  <c r="D53" i="6" s="1" a="1"/>
  <c r="D53" i="6" s="1"/>
  <c r="E53" i="6" s="1"/>
  <c r="C54" i="6"/>
  <c r="D54" i="6" s="1" a="1"/>
  <c r="D54" i="6" s="1"/>
  <c r="E54" i="6" s="1"/>
  <c r="C55" i="6"/>
  <c r="D55" i="6" s="1" a="1"/>
  <c r="D55" i="6" s="1"/>
  <c r="E55" i="6" s="1"/>
  <c r="C56" i="6"/>
  <c r="D56" i="6" s="1" a="1"/>
  <c r="D56" i="6" s="1"/>
  <c r="E56" i="6" s="1"/>
  <c r="C57" i="6"/>
  <c r="D57" i="6" a="1"/>
  <c r="D57" i="6" s="1"/>
  <c r="E57" i="6" s="1"/>
  <c r="C58" i="6"/>
  <c r="D58" i="6" s="1" a="1"/>
  <c r="D58" i="6" s="1"/>
  <c r="E58" i="6" s="1"/>
  <c r="C59" i="6"/>
  <c r="D59" i="6" s="1" a="1"/>
  <c r="D59" i="6" s="1"/>
  <c r="E59" i="6" s="1"/>
  <c r="C60" i="6"/>
  <c r="D60" i="6" s="1" a="1"/>
  <c r="D60" i="6" s="1"/>
  <c r="E60" i="6" s="1"/>
  <c r="C61" i="6"/>
  <c r="D61" i="6" s="1" a="1"/>
  <c r="D61" i="6" s="1"/>
  <c r="E61" i="6" s="1"/>
  <c r="C62" i="6"/>
  <c r="D62" i="6" s="1" a="1"/>
  <c r="D62" i="6" s="1"/>
  <c r="E62" i="6" s="1"/>
  <c r="C63" i="6"/>
  <c r="D63" i="6" s="1" a="1"/>
  <c r="D63" i="6" s="1"/>
  <c r="E63" i="6" s="1"/>
  <c r="C64" i="6"/>
  <c r="D64" i="6" s="1" a="1"/>
  <c r="D64" i="6" s="1"/>
  <c r="E64" i="6" s="1"/>
  <c r="C65" i="6"/>
  <c r="D65" i="6" s="1" a="1"/>
  <c r="D65" i="6" s="1"/>
  <c r="E65" i="6" s="1"/>
  <c r="C66" i="6"/>
  <c r="D66" i="6" s="1" a="1"/>
  <c r="D66" i="6" s="1"/>
  <c r="E66" i="6" s="1"/>
  <c r="C67" i="6"/>
  <c r="D67" i="6" s="1" a="1"/>
  <c r="D67" i="6" s="1"/>
  <c r="E67" i="6" s="1"/>
  <c r="C68" i="6"/>
  <c r="D68" i="6" a="1"/>
  <c r="D68" i="6" s="1"/>
  <c r="E68" i="6" s="1"/>
  <c r="C69" i="6"/>
  <c r="D69" i="6" s="1" a="1"/>
  <c r="D69" i="6" s="1"/>
  <c r="E69" i="6" s="1"/>
  <c r="C70" i="6"/>
  <c r="D70" i="6" s="1" a="1"/>
  <c r="D70" i="6" s="1"/>
  <c r="E70" i="6" s="1"/>
  <c r="C71" i="6"/>
  <c r="D71" i="6" s="1" a="1"/>
  <c r="D71" i="6" s="1"/>
  <c r="E71" i="6" s="1"/>
  <c r="C72" i="6"/>
  <c r="D72" i="6" s="1" a="1"/>
  <c r="D72" i="6" s="1"/>
  <c r="E72" i="6" s="1"/>
  <c r="C73" i="6"/>
  <c r="D73" i="6" s="1" a="1"/>
  <c r="D73" i="6" s="1"/>
  <c r="E73" i="6" s="1"/>
  <c r="C74" i="6"/>
  <c r="D74" i="6" s="1" a="1"/>
  <c r="D74" i="6" s="1"/>
  <c r="E74" i="6" s="1"/>
  <c r="C75" i="6"/>
  <c r="D75" i="6" s="1" a="1"/>
  <c r="D75" i="6" s="1"/>
  <c r="E75" i="6" s="1"/>
  <c r="C76" i="6"/>
  <c r="D76" i="6" s="1" a="1"/>
  <c r="D76" i="6" s="1"/>
  <c r="E76" i="6" s="1"/>
  <c r="C77" i="6"/>
  <c r="D77" i="6" s="1" a="1"/>
  <c r="D77" i="6" s="1"/>
  <c r="E77" i="6" s="1"/>
  <c r="D4" i="4"/>
  <c r="E4" i="4"/>
  <c r="D5" i="4"/>
  <c r="E5" i="4"/>
  <c r="F5" i="4" s="1" a="1"/>
  <c r="F5" i="4" s="1"/>
  <c r="D6" i="4"/>
  <c r="E6" i="4"/>
  <c r="F6" i="4" s="1" a="1"/>
  <c r="F6" i="4" s="1"/>
  <c r="D7" i="4"/>
  <c r="E7" i="4"/>
  <c r="F7" i="4" s="1" a="1"/>
  <c r="F7" i="4" s="1"/>
  <c r="D8" i="4"/>
  <c r="E8" i="4"/>
  <c r="F8" i="4" s="1" a="1"/>
  <c r="F8" i="4" s="1"/>
  <c r="D9" i="4"/>
  <c r="E9" i="4"/>
  <c r="F9" i="4" s="1" a="1"/>
  <c r="F9" i="4" s="1"/>
  <c r="D10" i="4"/>
  <c r="E10" i="4"/>
  <c r="F10" i="4" s="1" a="1"/>
  <c r="F10" i="4" s="1"/>
  <c r="D11" i="4"/>
  <c r="E11" i="4"/>
  <c r="F11" i="4" s="1" a="1"/>
  <c r="F11" i="4" s="1"/>
  <c r="D12" i="4"/>
  <c r="E12" i="4"/>
  <c r="F12" i="4" s="1" a="1"/>
  <c r="F12" i="4" s="1"/>
  <c r="D13" i="4"/>
  <c r="E13" i="4"/>
  <c r="F13" i="4" s="1" a="1"/>
  <c r="F13" i="4" s="1"/>
  <c r="D14" i="4"/>
  <c r="E14" i="4"/>
  <c r="F14" i="4" s="1" a="1"/>
  <c r="F14" i="4" s="1"/>
  <c r="D15" i="4"/>
  <c r="E15" i="4"/>
  <c r="F15" i="4" s="1" a="1"/>
  <c r="F15" i="4" s="1"/>
  <c r="D16" i="4"/>
  <c r="E16" i="4"/>
  <c r="F16" i="4" s="1" a="1"/>
  <c r="F16" i="4" s="1"/>
  <c r="D17" i="4"/>
  <c r="E17" i="4"/>
  <c r="F17" i="4" s="1" a="1"/>
  <c r="F17" i="4" s="1"/>
  <c r="D18" i="4"/>
  <c r="E18" i="4"/>
  <c r="F18" i="4" s="1" a="1"/>
  <c r="F18" i="4" s="1"/>
  <c r="D19" i="4"/>
  <c r="E19" i="4"/>
  <c r="F19" i="4" s="1" a="1"/>
  <c r="F19" i="4" s="1"/>
  <c r="D20" i="4"/>
  <c r="E20" i="4"/>
  <c r="F20" i="4" s="1" a="1"/>
  <c r="F20" i="4" s="1"/>
  <c r="D21" i="4"/>
  <c r="E21" i="4"/>
  <c r="F21" i="4" s="1" a="1"/>
  <c r="F21" i="4" s="1"/>
  <c r="D22" i="4"/>
  <c r="E22" i="4"/>
  <c r="F22" i="4" s="1" a="1"/>
  <c r="F22" i="4" s="1"/>
  <c r="D23" i="4"/>
  <c r="E23" i="4"/>
  <c r="F23" i="4" s="1" a="1"/>
  <c r="F23" i="4" s="1"/>
  <c r="E2" i="4"/>
  <c r="D3" i="4"/>
  <c r="D2" i="4"/>
  <c r="C3" i="6"/>
  <c r="D3" i="6" s="1" a="1"/>
  <c r="D3" i="6" s="1"/>
  <c r="F3" i="6" s="1"/>
  <c r="C4" i="6"/>
  <c r="D4" i="6" s="1" a="1"/>
  <c r="D4" i="6" s="1"/>
  <c r="F4" i="6" s="1"/>
  <c r="C5" i="6"/>
  <c r="D5" i="6" s="1" a="1"/>
  <c r="D5" i="6" s="1"/>
  <c r="E5" i="6" s="1"/>
  <c r="C6" i="6"/>
  <c r="D6" i="6" s="1" a="1"/>
  <c r="D6" i="6" s="1"/>
  <c r="E6" i="6" s="1"/>
  <c r="C7" i="6"/>
  <c r="D7" i="6" s="1" a="1"/>
  <c r="D7" i="6" s="1"/>
  <c r="F7" i="6" s="1"/>
  <c r="C8" i="6"/>
  <c r="D8" i="6" s="1" a="1"/>
  <c r="D8" i="6" s="1"/>
  <c r="F8" i="6" s="1"/>
  <c r="C9" i="6"/>
  <c r="D9" i="6" s="1" a="1"/>
  <c r="D9" i="6" s="1"/>
  <c r="C10" i="6"/>
  <c r="D10" i="6" s="1" a="1"/>
  <c r="D10" i="6" s="1"/>
  <c r="E10" i="6" s="1"/>
  <c r="C11" i="6"/>
  <c r="D11" i="6" s="1" a="1"/>
  <c r="D11" i="6" s="1"/>
  <c r="F11" i="6" s="1"/>
  <c r="C12" i="6"/>
  <c r="D12" i="6" s="1" a="1"/>
  <c r="D12" i="6" s="1"/>
  <c r="E12" i="6" s="1"/>
  <c r="C13" i="6"/>
  <c r="D13" i="6" s="1" a="1"/>
  <c r="D13" i="6" s="1"/>
  <c r="E13" i="6" s="1"/>
  <c r="C14" i="6"/>
  <c r="D14" i="6" s="1" a="1"/>
  <c r="D14" i="6" s="1"/>
  <c r="E14" i="6" s="1"/>
  <c r="C15" i="6"/>
  <c r="D15" i="6" s="1" a="1"/>
  <c r="D15" i="6" s="1"/>
  <c r="E15" i="6" s="1"/>
  <c r="C16" i="6"/>
  <c r="D16" i="6" s="1" a="1"/>
  <c r="D16" i="6" s="1"/>
  <c r="E16" i="6" s="1"/>
  <c r="C17" i="6"/>
  <c r="D17" i="6" s="1" a="1"/>
  <c r="D17" i="6" s="1"/>
  <c r="E17" i="6" s="1"/>
  <c r="C18" i="6"/>
  <c r="D18" i="6" s="1" a="1"/>
  <c r="D18" i="6" s="1"/>
  <c r="E18" i="6" s="1"/>
  <c r="C19" i="6"/>
  <c r="D19" i="6" s="1" a="1"/>
  <c r="D19" i="6" s="1"/>
  <c r="E19" i="6" s="1"/>
  <c r="C20" i="6"/>
  <c r="D20" i="6" s="1" a="1"/>
  <c r="D20" i="6" s="1"/>
  <c r="E20" i="6" s="1"/>
  <c r="C21" i="6"/>
  <c r="D21" i="6" s="1" a="1"/>
  <c r="D21" i="6" s="1"/>
  <c r="E21" i="6" s="1"/>
  <c r="C22" i="6"/>
  <c r="D22" i="6" s="1" a="1"/>
  <c r="D22" i="6" s="1"/>
  <c r="E22" i="6" s="1"/>
  <c r="C23" i="6"/>
  <c r="D23" i="6" s="1" a="1"/>
  <c r="D23" i="6" s="1"/>
  <c r="E23" i="6" s="1"/>
  <c r="C2" i="6"/>
  <c r="D2" i="6" s="1" a="1"/>
  <c r="D2" i="6" s="1"/>
  <c r="C13" i="7"/>
  <c r="C14" i="7"/>
  <c r="C15" i="7"/>
  <c r="C16" i="7"/>
  <c r="C17" i="7"/>
  <c r="C18" i="7"/>
  <c r="C19" i="7"/>
  <c r="C20" i="7"/>
  <c r="C21" i="7"/>
  <c r="C12" i="7"/>
  <c r="F4" i="4" l="1" a="1"/>
  <c r="F4" i="4" s="1"/>
  <c r="F52" i="6"/>
  <c r="F54" i="6"/>
  <c r="F58" i="6"/>
  <c r="F62" i="6"/>
  <c r="F66" i="6"/>
  <c r="F70" i="6"/>
  <c r="F74" i="6"/>
  <c r="E29" i="6"/>
  <c r="F49" i="6"/>
  <c r="F29" i="6"/>
  <c r="F39" i="6"/>
  <c r="F36" i="6"/>
  <c r="E26" i="6"/>
  <c r="F26" i="6"/>
  <c r="F46" i="6"/>
  <c r="F32" i="6"/>
  <c r="F42" i="6"/>
  <c r="E32" i="6"/>
  <c r="E25" i="6"/>
  <c r="F25" i="6"/>
  <c r="F45" i="6"/>
  <c r="F35" i="6"/>
  <c r="F41" i="6"/>
  <c r="E31" i="6"/>
  <c r="F31" i="6"/>
  <c r="F51" i="6"/>
  <c r="F28" i="6"/>
  <c r="F48" i="6"/>
  <c r="F38" i="6"/>
  <c r="E28" i="6"/>
  <c r="E33" i="6"/>
  <c r="F33" i="6"/>
  <c r="F43" i="6"/>
  <c r="F40" i="6"/>
  <c r="E30" i="6"/>
  <c r="F30" i="6"/>
  <c r="F50" i="6"/>
  <c r="F37" i="6"/>
  <c r="E27" i="6"/>
  <c r="F27" i="6"/>
  <c r="F47" i="6"/>
  <c r="F24" i="6"/>
  <c r="F44" i="6"/>
  <c r="F34" i="6"/>
  <c r="E24" i="6"/>
  <c r="F75" i="6"/>
  <c r="F71" i="6"/>
  <c r="F67" i="6"/>
  <c r="F63" i="6"/>
  <c r="F59" i="6"/>
  <c r="F55" i="6"/>
  <c r="E52" i="6"/>
  <c r="F77" i="6"/>
  <c r="F69" i="6"/>
  <c r="F61" i="6"/>
  <c r="F53" i="6"/>
  <c r="F73" i="6"/>
  <c r="F65" i="6"/>
  <c r="F57" i="6"/>
  <c r="F76" i="6"/>
  <c r="F72" i="6"/>
  <c r="F68" i="6"/>
  <c r="F64" i="6"/>
  <c r="F60" i="6"/>
  <c r="F56" i="6"/>
  <c r="E2" i="6"/>
  <c r="E4" i="6"/>
  <c r="E3" i="6"/>
  <c r="F19" i="6"/>
  <c r="F15" i="6"/>
  <c r="F16" i="6"/>
  <c r="E9" i="6"/>
  <c r="E8" i="6"/>
  <c r="E11" i="6"/>
  <c r="E7" i="6"/>
  <c r="F20" i="6"/>
  <c r="F12" i="6"/>
  <c r="F22" i="6"/>
  <c r="F18" i="6"/>
  <c r="F14" i="6"/>
  <c r="F10" i="6"/>
  <c r="F6" i="6"/>
  <c r="F21" i="6"/>
  <c r="F17" i="6"/>
  <c r="F13" i="6"/>
  <c r="F9" i="6"/>
  <c r="F5" i="6"/>
  <c r="F2" i="6"/>
  <c r="F23" i="6"/>
  <c r="F2" i="4" l="1" a="1"/>
  <c r="F2" i="4" s="1"/>
  <c r="F3" i="4" a="1"/>
  <c r="F3" i="4" s="1"/>
  <c r="K15" i="5" l="1"/>
  <c r="K16" i="5" l="1"/>
  <c r="K17" i="5" l="1"/>
  <c r="K18" i="5" l="1"/>
  <c r="K19" i="5" l="1"/>
  <c r="K20" i="5" l="1"/>
  <c r="K21" i="5" l="1"/>
  <c r="K22" i="5" l="1"/>
  <c r="K23" i="5" l="1"/>
  <c r="K24" i="5" l="1"/>
  <c r="K25" i="5" l="1"/>
  <c r="K26" i="5" l="1"/>
  <c r="K27" i="5" l="1"/>
  <c r="K28" i="5" l="1"/>
  <c r="K29" i="5" l="1"/>
  <c r="K30" i="5" l="1"/>
  <c r="K31" i="5" l="1"/>
  <c r="K32" i="5" l="1"/>
  <c r="K33" i="5" l="1"/>
  <c r="K34" i="5" l="1"/>
  <c r="K35" i="5" l="1"/>
  <c r="K36" i="5" l="1"/>
  <c r="K37" i="5" l="1"/>
  <c r="K38" i="5" l="1"/>
  <c r="K39" i="5" l="1"/>
  <c r="K40" i="5" l="1"/>
  <c r="K41" i="5" l="1"/>
  <c r="AA9" i="5" l="1"/>
  <c r="AA10" i="5" s="1"/>
  <c r="G8" i="5"/>
  <c r="G9" i="5" s="1"/>
  <c r="J6" i="5" l="1"/>
  <c r="L6" i="5" s="1"/>
  <c r="M6" i="5" s="1"/>
  <c r="K7" i="5" s="1"/>
  <c r="L7" i="5" s="1"/>
  <c r="M7" i="5" s="1"/>
  <c r="K8" i="5" s="1"/>
  <c r="J7" i="5"/>
  <c r="AD6" i="5"/>
  <c r="AF6" i="5" s="1"/>
  <c r="AG6" i="5" s="1"/>
  <c r="AE7" i="5" s="1"/>
  <c r="AD7" i="5"/>
  <c r="J9" i="5"/>
  <c r="J14" i="5"/>
  <c r="J8" i="5"/>
  <c r="L8" i="5" s="1"/>
  <c r="M8" i="5" s="1"/>
  <c r="K9" i="5" s="1"/>
  <c r="AD9" i="5"/>
  <c r="AD14" i="5"/>
  <c r="AD8" i="5"/>
  <c r="AD11" i="5"/>
  <c r="AD12" i="5"/>
  <c r="AD13" i="5"/>
  <c r="AD10" i="5"/>
  <c r="J13" i="5"/>
  <c r="J11" i="5"/>
  <c r="J12" i="5"/>
  <c r="J10" i="5"/>
  <c r="AF7" i="5" l="1"/>
  <c r="AG7" i="5" s="1"/>
  <c r="AE8" i="5" s="1"/>
  <c r="AF8" i="5" s="1"/>
  <c r="AG8" i="5" s="1"/>
  <c r="AE9" i="5" s="1"/>
  <c r="AF9" i="5" s="1"/>
  <c r="AG9" i="5" s="1"/>
  <c r="AE10" i="5" s="1"/>
  <c r="AF10" i="5" s="1"/>
  <c r="AG10" i="5" s="1"/>
  <c r="AE11" i="5" s="1"/>
  <c r="AF11" i="5" s="1"/>
  <c r="AG11" i="5" s="1"/>
  <c r="AE12" i="5" s="1"/>
  <c r="AF12" i="5" s="1"/>
  <c r="AG12" i="5" s="1"/>
  <c r="AE13" i="5" s="1"/>
  <c r="AF13" i="5" s="1"/>
  <c r="AG13" i="5" s="1"/>
  <c r="L9" i="5"/>
  <c r="M9" i="5" s="1"/>
  <c r="K10" i="5" s="1"/>
  <c r="L10" i="5" s="1"/>
  <c r="M10" i="5" s="1"/>
  <c r="K11" i="5" s="1"/>
  <c r="L11" i="5" s="1"/>
  <c r="M11" i="5" s="1"/>
  <c r="K12" i="5" s="1"/>
  <c r="L12" i="5" s="1"/>
  <c r="M12" i="5" s="1"/>
  <c r="K13" i="5" s="1"/>
  <c r="L13" i="5" s="1"/>
  <c r="M13" i="5" s="1"/>
  <c r="Q9" i="5"/>
  <c r="Q10" i="5" s="1"/>
  <c r="T7" i="5" l="1"/>
  <c r="T6" i="5"/>
  <c r="V6" i="5" s="1"/>
  <c r="W6" i="5" s="1"/>
  <c r="U7" i="5" s="1"/>
  <c r="K14" i="5"/>
  <c r="L14" i="5" s="1"/>
  <c r="M14" i="5" s="1"/>
  <c r="T14" i="5"/>
  <c r="T8" i="5"/>
  <c r="T12" i="5"/>
  <c r="T11" i="5"/>
  <c r="AE14" i="5"/>
  <c r="AF14" i="5" s="1"/>
  <c r="AG14" i="5" s="1"/>
  <c r="T13" i="5"/>
  <c r="T9" i="5"/>
  <c r="T10" i="5"/>
  <c r="V7" i="5" l="1"/>
  <c r="W7" i="5" s="1"/>
  <c r="U8" i="5" s="1"/>
  <c r="V8" i="5" s="1"/>
  <c r="W8" i="5" s="1"/>
  <c r="U9" i="5" s="1"/>
  <c r="V9" i="5" s="1"/>
  <c r="W9" i="5" s="1"/>
  <c r="U10" i="5" s="1"/>
  <c r="V10" i="5" s="1"/>
  <c r="W10" i="5" s="1"/>
  <c r="U11" i="5" l="1"/>
  <c r="V11" i="5" s="1"/>
  <c r="W11" i="5" s="1"/>
  <c r="U12" i="5" l="1"/>
  <c r="V12" i="5" s="1"/>
  <c r="W12" i="5" s="1"/>
  <c r="U13" i="5" l="1"/>
  <c r="V13" i="5" s="1"/>
  <c r="W13" i="5" s="1"/>
  <c r="U14" i="5" l="1"/>
  <c r="V14" i="5" s="1"/>
  <c r="W1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<sst xmlns="http://schemas.openxmlformats.org/spreadsheetml/2006/main" count="127" uniqueCount="83">
  <si>
    <t>Código</t>
  </si>
  <si>
    <t>Nombre</t>
  </si>
  <si>
    <t>Valor</t>
  </si>
  <si>
    <t>Porcentaje Aporte Fondo</t>
  </si>
  <si>
    <t>Porcentaje Interés Fondo</t>
  </si>
  <si>
    <t>Máximo Valor Crédito Según Salario</t>
  </si>
  <si>
    <t>Interés Crédito</t>
  </si>
  <si>
    <t>Máximo Meses Crédito</t>
  </si>
  <si>
    <t>Aporte Total Para un Crédito</t>
  </si>
  <si>
    <t>Primer Nombre</t>
  </si>
  <si>
    <t>Segundo Nombre</t>
  </si>
  <si>
    <t>Primer Apellido</t>
  </si>
  <si>
    <t>Segundo Apellido</t>
  </si>
  <si>
    <t>Nicolás</t>
  </si>
  <si>
    <t>David</t>
  </si>
  <si>
    <t>López</t>
  </si>
  <si>
    <t>García</t>
  </si>
  <si>
    <t>Jorge</t>
  </si>
  <si>
    <t>Andrés</t>
  </si>
  <si>
    <t>Martínez</t>
  </si>
  <si>
    <t>Ruiz</t>
  </si>
  <si>
    <t>Daniel</t>
  </si>
  <si>
    <t>Felipe</t>
  </si>
  <si>
    <t>Sánchez</t>
  </si>
  <si>
    <t>Ramírez</t>
  </si>
  <si>
    <t>Juan</t>
  </si>
  <si>
    <t>Esteban</t>
  </si>
  <si>
    <t>Fernández</t>
  </si>
  <si>
    <t>Díaz</t>
  </si>
  <si>
    <t>Dana</t>
  </si>
  <si>
    <t>Valentina</t>
  </si>
  <si>
    <t>Morales</t>
  </si>
  <si>
    <t>María</t>
  </si>
  <si>
    <t>Sofía</t>
  </si>
  <si>
    <t>Romero</t>
  </si>
  <si>
    <t>Mendoza</t>
  </si>
  <si>
    <t>Luis</t>
  </si>
  <si>
    <t>Fernando</t>
  </si>
  <si>
    <t>Jiménez</t>
  </si>
  <si>
    <t>Ortega</t>
  </si>
  <si>
    <t>Fernanda</t>
  </si>
  <si>
    <t>Navarro</t>
  </si>
  <si>
    <t>Herrera</t>
  </si>
  <si>
    <t>John</t>
  </si>
  <si>
    <t>Freddy</t>
  </si>
  <si>
    <t>Cruz</t>
  </si>
  <si>
    <t>Castillo</t>
  </si>
  <si>
    <t>Laura</t>
  </si>
  <si>
    <t>Daniela</t>
  </si>
  <si>
    <t>Rojas</t>
  </si>
  <si>
    <t>Salazar</t>
  </si>
  <si>
    <t>Fecha</t>
  </si>
  <si>
    <t>Trabajador</t>
  </si>
  <si>
    <t>Fecha Salario</t>
  </si>
  <si>
    <t>Aporte</t>
  </si>
  <si>
    <t>Pago</t>
  </si>
  <si>
    <t>Aporte Total</t>
  </si>
  <si>
    <t>Créditos Acumulados</t>
  </si>
  <si>
    <t>Fecha Aporte</t>
  </si>
  <si>
    <t>Total Aporte</t>
  </si>
  <si>
    <t>Monto</t>
  </si>
  <si>
    <t>Periodos</t>
  </si>
  <si>
    <t>Valor Gradiente Aritmético</t>
  </si>
  <si>
    <t>Porcentaje Gradiente Geométrico</t>
  </si>
  <si>
    <t>Periodo Pago Extraordinario</t>
  </si>
  <si>
    <t>Valor Pago Extraordinario</t>
  </si>
  <si>
    <t>Tabla de Amortización Anualidad</t>
  </si>
  <si>
    <t>Tabla de Amortización Gradiente Aritmético</t>
  </si>
  <si>
    <t>Tabla de Amortización Gradiente Geométrico</t>
  </si>
  <si>
    <t>Factor de Actualización Previo Extraordinario</t>
  </si>
  <si>
    <t>Periodo</t>
  </si>
  <si>
    <t>Valor de la Cuota</t>
  </si>
  <si>
    <t>Intereses</t>
  </si>
  <si>
    <t>Abono a Capital</t>
  </si>
  <si>
    <t>Saldo</t>
  </si>
  <si>
    <t>Valor de la Cuota Previo Extraordinario</t>
  </si>
  <si>
    <t>Periodos Actualización Post Extraordinario</t>
  </si>
  <si>
    <t>Valor de la Primera Cuota Previo Extraordinario</t>
  </si>
  <si>
    <t>Factor de Actualización Post Extraordinario</t>
  </si>
  <si>
    <t>Valor Presente Post Extraordinario</t>
  </si>
  <si>
    <t>Valor de la Cuota Post Extraordinario</t>
  </si>
  <si>
    <t>Valor de la Primera Cuota Post Extraordinario</t>
  </si>
  <si>
    <t>Valor del Gradiente Aritmético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</si>
</sst>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4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10" fontId="0" fillId="0" borderId="0" xfId="0" applyNumberFormat="1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44" fontId="0" fillId="0" borderId="1" xfId="0" applyNumberFormat="1" applyBorder="1" applyProtection="1">
      <protection locked="0"/>
    </xf>
    <xf numFmtId="10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4" xfId="0" applyBorder="1"/>
    <xf numFmtId="0" fontId="2" fillId="0" borderId="6" xfId="0" applyFont="1" applyBorder="1"/>
    <xf numFmtId="14" fontId="0" fillId="2" borderId="1" xfId="0" applyNumberFormat="1" applyFill="1" applyBorder="1"/>
    <xf numFmtId="44" fontId="0" fillId="2" borderId="1" xfId="0" applyNumberFormat="1" applyFill="1" applyBorder="1"/>
    <xf numFmtId="0" fontId="0" fillId="2" borderId="1" xfId="0" applyFill="1" applyBorder="1"/>
    <xf numFmtId="14" fontId="0" fillId="2" borderId="5" xfId="0" applyNumberFormat="1" applyFill="1" applyBorder="1"/>
    <xf numFmtId="0" fontId="0" fillId="2" borderId="1" xfId="0" applyFill="1" applyBorder="1" applyAlignment="1">
      <alignment horizontal="right"/>
    </xf>
    <xf numFmtId="10" fontId="0" fillId="2" borderId="1" xfId="0" applyNumberFormat="1" applyFill="1" applyBorder="1"/>
    <xf numFmtId="9" fontId="0" fillId="2" borderId="1" xfId="1" applyFont="1" applyFill="1" applyBorder="1"/>
    <xf numFmtId="0" fontId="2" fillId="3" borderId="3" xfId="0" applyFont="1" applyFill="1" applyBorder="1" applyProtection="1">
      <protection locked="0"/>
    </xf>
    <xf numFmtId="10" fontId="2" fillId="3" borderId="3" xfId="0" applyNumberFormat="1" applyFont="1" applyFill="1" applyBorder="1" applyProtection="1">
      <protection locked="0"/>
    </xf>
    <xf numFmtId="44" fontId="2" fillId="3" borderId="3" xfId="0" applyNumberFormat="1" applyFont="1" applyFill="1" applyBorder="1" applyProtection="1">
      <protection locked="0"/>
    </xf>
    <xf numFmtId="0" fontId="0" fillId="0" borderId="1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02DC-15B9-4F8C-A9A5-20CF97F0917D}">
  <dimension ref="A1:C7"/>
  <sheetViews>
    <sheetView workbookViewId="0">
      <selection activeCell="B7" sqref="B7"/>
    </sheetView>
  </sheetViews>
  <sheetFormatPr defaultColWidth="11.42578125" defaultRowHeight="15"/>
  <cols>
    <col min="1" max="1" width="7.140625" bestFit="1" customWidth="1"/>
    <col min="2" max="2" width="33.140625" bestFit="1" customWidth="1"/>
    <col min="3" max="3" width="13" bestFit="1" customWidth="1"/>
  </cols>
  <sheetData>
    <row r="1" spans="1:3" ht="15.75" thickBot="1">
      <c r="A1" s="3" t="s">
        <v>0</v>
      </c>
      <c r="B1" s="3" t="s">
        <v>1</v>
      </c>
      <c r="C1" s="13" t="s">
        <v>2</v>
      </c>
    </row>
    <row r="2" spans="1:3" ht="15.75" thickBot="1">
      <c r="A2" s="2">
        <v>1</v>
      </c>
      <c r="B2" s="12" t="s">
        <v>3</v>
      </c>
      <c r="C2" s="22">
        <v>0.05</v>
      </c>
    </row>
    <row r="3" spans="1:3" ht="15.75" thickBot="1">
      <c r="A3" s="2">
        <v>2</v>
      </c>
      <c r="B3" s="12" t="s">
        <v>4</v>
      </c>
      <c r="C3" s="22">
        <v>8.0000000000000002E-3</v>
      </c>
    </row>
    <row r="4" spans="1:3" ht="15.75" thickBot="1">
      <c r="A4" s="2">
        <v>3</v>
      </c>
      <c r="B4" s="12" t="s">
        <v>5</v>
      </c>
      <c r="C4" s="22">
        <v>1</v>
      </c>
    </row>
    <row r="5" spans="1:3" ht="15.75" thickBot="1">
      <c r="A5" s="2">
        <v>4</v>
      </c>
      <c r="B5" s="12" t="s">
        <v>6</v>
      </c>
      <c r="C5" s="22">
        <v>0.02</v>
      </c>
    </row>
    <row r="6" spans="1:3" ht="15.75" thickBot="1">
      <c r="A6" s="2">
        <v>5</v>
      </c>
      <c r="B6" s="12" t="s">
        <v>7</v>
      </c>
      <c r="C6" s="21">
        <v>36</v>
      </c>
    </row>
    <row r="7" spans="1:3" ht="15.75" thickBot="1">
      <c r="A7" s="2">
        <v>6</v>
      </c>
      <c r="B7" s="12" t="s">
        <v>8</v>
      </c>
      <c r="C7" s="23">
        <v>200000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M9" sqref="M9"/>
    </sheetView>
  </sheetViews>
  <sheetFormatPr defaultColWidth="9.140625" defaultRowHeight="15"/>
  <cols>
    <col min="1" max="1" width="7.140625" bestFit="1" customWidth="1"/>
    <col min="2" max="2" width="14.7109375" bestFit="1" customWidth="1"/>
    <col min="3" max="3" width="16.5703125" bestFit="1" customWidth="1"/>
    <col min="4" max="4" width="15" bestFit="1" customWidth="1"/>
    <col min="5" max="5" width="16.85546875" bestFit="1" customWidth="1"/>
    <col min="6" max="6" width="11.85546875" bestFit="1" customWidth="1"/>
  </cols>
  <sheetData>
    <row r="1" spans="1: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>
      <c r="A2" s="7">
        <v>1</v>
      </c>
      <c r="B2" s="7" t="s">
        <v>13</v>
      </c>
      <c r="C2" s="7" t="s">
        <v>14</v>
      </c>
      <c r="D2" s="11" t="s">
        <v>15</v>
      </c>
      <c r="E2" s="7" t="s">
        <v>16</v>
      </c>
    </row>
    <row r="3" spans="1:5">
      <c r="A3" s="7">
        <v>2</v>
      </c>
      <c r="B3" s="7" t="s">
        <v>17</v>
      </c>
      <c r="C3" s="7" t="s">
        <v>18</v>
      </c>
      <c r="D3" s="11" t="s">
        <v>19</v>
      </c>
      <c r="E3" s="7" t="s">
        <v>20</v>
      </c>
    </row>
    <row r="4" spans="1:5">
      <c r="A4" s="7">
        <v>3</v>
      </c>
      <c r="B4" s="7" t="s">
        <v>21</v>
      </c>
      <c r="C4" s="7" t="s">
        <v>22</v>
      </c>
      <c r="D4" s="11" t="s">
        <v>23</v>
      </c>
      <c r="E4" s="7" t="s">
        <v>24</v>
      </c>
    </row>
    <row r="5" spans="1:5">
      <c r="A5" s="7">
        <v>4</v>
      </c>
      <c r="B5" s="7" t="s">
        <v>25</v>
      </c>
      <c r="C5" s="7" t="s">
        <v>26</v>
      </c>
      <c r="D5" s="11" t="s">
        <v>27</v>
      </c>
      <c r="E5" s="7" t="s">
        <v>28</v>
      </c>
    </row>
    <row r="6" spans="1:5">
      <c r="A6" s="7">
        <v>5</v>
      </c>
      <c r="B6" s="7" t="s">
        <v>29</v>
      </c>
      <c r="C6" s="7" t="s">
        <v>30</v>
      </c>
      <c r="D6" s="11" t="s">
        <v>31</v>
      </c>
      <c r="E6" s="7" t="s">
        <v>20</v>
      </c>
    </row>
    <row r="7" spans="1:5">
      <c r="A7" s="7">
        <v>6</v>
      </c>
      <c r="B7" s="7" t="s">
        <v>32</v>
      </c>
      <c r="C7" s="7" t="s">
        <v>33</v>
      </c>
      <c r="D7" s="11" t="s">
        <v>34</v>
      </c>
      <c r="E7" s="7" t="s">
        <v>35</v>
      </c>
    </row>
    <row r="8" spans="1:5">
      <c r="A8" s="7">
        <v>7</v>
      </c>
      <c r="B8" s="7" t="s">
        <v>36</v>
      </c>
      <c r="C8" s="7" t="s">
        <v>37</v>
      </c>
      <c r="D8" s="11" t="s">
        <v>38</v>
      </c>
      <c r="E8" s="7" t="s">
        <v>39</v>
      </c>
    </row>
    <row r="9" spans="1:5">
      <c r="A9" s="7">
        <v>8</v>
      </c>
      <c r="B9" s="7" t="s">
        <v>32</v>
      </c>
      <c r="C9" s="7" t="s">
        <v>40</v>
      </c>
      <c r="D9" s="11" t="s">
        <v>41</v>
      </c>
      <c r="E9" s="7" t="s">
        <v>42</v>
      </c>
    </row>
    <row r="10" spans="1:5">
      <c r="A10" s="7">
        <v>9</v>
      </c>
      <c r="B10" s="7" t="s">
        <v>43</v>
      </c>
      <c r="C10" s="7" t="s">
        <v>44</v>
      </c>
      <c r="D10" s="11" t="s">
        <v>45</v>
      </c>
      <c r="E10" s="7" t="s">
        <v>46</v>
      </c>
    </row>
    <row r="11" spans="1:5">
      <c r="A11" s="7">
        <v>10</v>
      </c>
      <c r="B11" s="7" t="s">
        <v>47</v>
      </c>
      <c r="C11" s="7" t="s">
        <v>48</v>
      </c>
      <c r="D11" s="11" t="s">
        <v>49</v>
      </c>
      <c r="E11" s="7" t="s">
        <v>50</v>
      </c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</sheetData>
  <sheetProtection sheet="1" objects="1" scenarios="1"/>
  <dataValidations count="1">
    <dataValidation type="custom" allowBlank="1" showInputMessage="1" showErrorMessage="1" errorTitle="Error de Valor" error="Sólo puede haber un trabajador para cáda código." sqref="A2:A20" xr:uid="{0BF00EB4-7BA5-4A68-8F35-0FE021707CA9}">
      <formula1>COUNTIF(A$2:A2,A2)&lt;2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0057-6760-4A9D-A50A-164405B545DF}">
  <dimension ref="A1:C41"/>
  <sheetViews>
    <sheetView workbookViewId="0">
      <selection activeCell="M28" sqref="M28"/>
    </sheetView>
  </sheetViews>
  <sheetFormatPr defaultColWidth="11.42578125" defaultRowHeight="15"/>
  <cols>
    <col min="1" max="1" width="9.7109375" bestFit="1" customWidth="1"/>
    <col min="2" max="2" width="10.42578125" bestFit="1" customWidth="1"/>
    <col min="3" max="3" width="14.5703125" bestFit="1" customWidth="1"/>
  </cols>
  <sheetData>
    <row r="1" spans="1:3">
      <c r="A1" s="3" t="s">
        <v>51</v>
      </c>
      <c r="B1" s="3" t="s">
        <v>52</v>
      </c>
      <c r="C1" s="3" t="s">
        <v>2</v>
      </c>
    </row>
    <row r="2" spans="1:3">
      <c r="A2" s="8">
        <v>45292</v>
      </c>
      <c r="B2" s="7">
        <v>1</v>
      </c>
      <c r="C2" s="9">
        <v>2000000</v>
      </c>
    </row>
    <row r="3" spans="1:3">
      <c r="A3" s="8">
        <v>45292</v>
      </c>
      <c r="B3" s="7">
        <v>2</v>
      </c>
      <c r="C3" s="9">
        <v>1700000</v>
      </c>
    </row>
    <row r="4" spans="1:3">
      <c r="A4" s="8">
        <v>45292</v>
      </c>
      <c r="B4" s="7">
        <v>3</v>
      </c>
      <c r="C4" s="9">
        <v>1300000</v>
      </c>
    </row>
    <row r="5" spans="1:3">
      <c r="A5" s="8">
        <v>45292</v>
      </c>
      <c r="B5" s="7">
        <v>4</v>
      </c>
      <c r="C5" s="9">
        <v>2500000</v>
      </c>
    </row>
    <row r="6" spans="1:3">
      <c r="A6" s="8">
        <v>45292</v>
      </c>
      <c r="B6" s="7">
        <v>5</v>
      </c>
      <c r="C6" s="9">
        <v>2300000</v>
      </c>
    </row>
    <row r="7" spans="1:3">
      <c r="A7" s="8">
        <v>45292</v>
      </c>
      <c r="B7" s="7">
        <v>6</v>
      </c>
      <c r="C7" s="9">
        <v>1800000</v>
      </c>
    </row>
    <row r="8" spans="1:3">
      <c r="A8" s="8">
        <v>45292</v>
      </c>
      <c r="B8" s="7">
        <v>7</v>
      </c>
      <c r="C8" s="9">
        <v>1200000</v>
      </c>
    </row>
    <row r="9" spans="1:3">
      <c r="A9" s="8">
        <v>45292</v>
      </c>
      <c r="B9" s="7">
        <v>8</v>
      </c>
      <c r="C9" s="9">
        <v>2500000</v>
      </c>
    </row>
    <row r="10" spans="1:3">
      <c r="A10" s="8">
        <v>45292</v>
      </c>
      <c r="B10" s="7">
        <v>9</v>
      </c>
      <c r="C10" s="9">
        <v>1500000</v>
      </c>
    </row>
    <row r="11" spans="1:3">
      <c r="A11" s="8">
        <v>45292</v>
      </c>
      <c r="B11" s="7">
        <v>10</v>
      </c>
      <c r="C11" s="9">
        <v>1700000</v>
      </c>
    </row>
    <row r="12" spans="1:3">
      <c r="A12" s="8">
        <v>45474</v>
      </c>
      <c r="B12" s="7">
        <v>1</v>
      </c>
      <c r="C12" s="9">
        <f>$C2+500000</f>
        <v>2500000</v>
      </c>
    </row>
    <row r="13" spans="1:3">
      <c r="A13" s="8">
        <v>45474</v>
      </c>
      <c r="B13" s="7">
        <v>2</v>
      </c>
      <c r="C13" s="9">
        <f t="shared" ref="C13:C21" si="0">$C3+500000</f>
        <v>2200000</v>
      </c>
    </row>
    <row r="14" spans="1:3">
      <c r="A14" s="8">
        <v>45474</v>
      </c>
      <c r="B14" s="7">
        <v>3</v>
      </c>
      <c r="C14" s="9">
        <f t="shared" si="0"/>
        <v>1800000</v>
      </c>
    </row>
    <row r="15" spans="1:3">
      <c r="A15" s="8">
        <v>45474</v>
      </c>
      <c r="B15" s="7">
        <v>4</v>
      </c>
      <c r="C15" s="9">
        <f t="shared" si="0"/>
        <v>3000000</v>
      </c>
    </row>
    <row r="16" spans="1:3">
      <c r="A16" s="8">
        <v>45474</v>
      </c>
      <c r="B16" s="7">
        <v>5</v>
      </c>
      <c r="C16" s="9">
        <f t="shared" si="0"/>
        <v>2800000</v>
      </c>
    </row>
    <row r="17" spans="1:3">
      <c r="A17" s="8">
        <v>45474</v>
      </c>
      <c r="B17" s="7">
        <v>6</v>
      </c>
      <c r="C17" s="9">
        <f t="shared" si="0"/>
        <v>2300000</v>
      </c>
    </row>
    <row r="18" spans="1:3">
      <c r="A18" s="8">
        <v>45474</v>
      </c>
      <c r="B18" s="7">
        <v>7</v>
      </c>
      <c r="C18" s="9">
        <f t="shared" si="0"/>
        <v>1700000</v>
      </c>
    </row>
    <row r="19" spans="1:3">
      <c r="A19" s="8">
        <v>45474</v>
      </c>
      <c r="B19" s="7">
        <v>8</v>
      </c>
      <c r="C19" s="9">
        <f t="shared" si="0"/>
        <v>3000000</v>
      </c>
    </row>
    <row r="20" spans="1:3">
      <c r="A20" s="8">
        <v>45474</v>
      </c>
      <c r="B20" s="7">
        <v>9</v>
      </c>
      <c r="C20" s="9">
        <f t="shared" si="0"/>
        <v>2000000</v>
      </c>
    </row>
    <row r="21" spans="1:3">
      <c r="A21" s="8">
        <v>45474</v>
      </c>
      <c r="B21" s="7">
        <v>10</v>
      </c>
      <c r="C21" s="9">
        <f t="shared" si="0"/>
        <v>2200000</v>
      </c>
    </row>
    <row r="22" spans="1:3">
      <c r="A22" s="8"/>
      <c r="B22" s="7"/>
      <c r="C22" s="9"/>
    </row>
    <row r="23" spans="1:3">
      <c r="A23" s="8"/>
      <c r="B23" s="7"/>
      <c r="C23" s="9"/>
    </row>
    <row r="24" spans="1:3">
      <c r="A24" s="8"/>
      <c r="B24" s="7"/>
      <c r="C24" s="9"/>
    </row>
    <row r="25" spans="1:3">
      <c r="A25" s="8"/>
      <c r="B25" s="7"/>
      <c r="C25" s="9"/>
    </row>
    <row r="26" spans="1:3">
      <c r="A26" s="8"/>
      <c r="B26" s="7"/>
      <c r="C26" s="9"/>
    </row>
    <row r="27" spans="1:3">
      <c r="A27" s="8"/>
      <c r="B27" s="7"/>
      <c r="C27" s="9"/>
    </row>
    <row r="28" spans="1:3">
      <c r="A28" s="8"/>
      <c r="B28" s="7"/>
      <c r="C28" s="9"/>
    </row>
    <row r="29" spans="1:3">
      <c r="A29" s="8"/>
      <c r="B29" s="7"/>
      <c r="C29" s="9"/>
    </row>
    <row r="30" spans="1:3">
      <c r="A30" s="8"/>
      <c r="B30" s="7"/>
      <c r="C30" s="9"/>
    </row>
    <row r="31" spans="1:3">
      <c r="A31" s="8"/>
      <c r="B31" s="7"/>
      <c r="C31" s="9"/>
    </row>
    <row r="32" spans="1:3">
      <c r="A32" s="8"/>
      <c r="B32" s="7"/>
      <c r="C32" s="9"/>
    </row>
    <row r="33" spans="1:3">
      <c r="A33" s="8"/>
      <c r="B33" s="7"/>
      <c r="C33" s="9"/>
    </row>
    <row r="34" spans="1:3">
      <c r="A34" s="8"/>
      <c r="B34" s="7"/>
      <c r="C34" s="9"/>
    </row>
    <row r="35" spans="1:3">
      <c r="A35" s="8"/>
      <c r="B35" s="7"/>
      <c r="C35" s="9"/>
    </row>
    <row r="36" spans="1:3">
      <c r="A36" s="8"/>
      <c r="B36" s="7"/>
      <c r="C36" s="9"/>
    </row>
    <row r="37" spans="1:3">
      <c r="A37" s="8"/>
      <c r="B37" s="7"/>
      <c r="C37" s="9"/>
    </row>
    <row r="38" spans="1:3">
      <c r="A38" s="8"/>
      <c r="B38" s="7"/>
      <c r="C38" s="9"/>
    </row>
    <row r="39" spans="1:3">
      <c r="A39" s="8"/>
      <c r="B39" s="7"/>
      <c r="C39" s="9"/>
    </row>
    <row r="40" spans="1:3">
      <c r="A40" s="8"/>
      <c r="B40" s="7"/>
      <c r="C40" s="9"/>
    </row>
    <row r="41" spans="1:3">
      <c r="A41" s="8"/>
      <c r="B41" s="7"/>
      <c r="C41" s="9"/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97F5-E677-4C0E-9278-3EA9E72ECA7F}">
  <dimension ref="A1:F77"/>
  <sheetViews>
    <sheetView workbookViewId="0">
      <selection activeCell="F52" sqref="F52"/>
    </sheetView>
  </sheetViews>
  <sheetFormatPr defaultColWidth="11.42578125" defaultRowHeight="15"/>
  <cols>
    <col min="1" max="1" width="10.7109375" bestFit="1" customWidth="1"/>
    <col min="2" max="2" width="10.42578125" customWidth="1"/>
    <col min="3" max="3" width="12.5703125" bestFit="1" customWidth="1"/>
    <col min="4" max="4" width="13" bestFit="1" customWidth="1"/>
    <col min="5" max="5" width="14.5703125" customWidth="1"/>
    <col min="6" max="6" width="13" bestFit="1" customWidth="1"/>
  </cols>
  <sheetData>
    <row r="1" spans="1:6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</row>
    <row r="2" spans="1:6">
      <c r="A2" s="8">
        <v>45304</v>
      </c>
      <c r="B2" s="7">
        <v>1</v>
      </c>
      <c r="C2" s="14">
        <f ca="1">_xlfn.MAXIFS(Salario!$A$2:INDEX(Salario!$A:$A,ROWS(Salario!$A:$A)),Salario!$A$2:INDEX(Salario!$A:$A,ROWS(Salario!$A:$A)),_xlfn.CONCAT("&lt;",$A2),Salario!$B$2:INDEX(Salario!$B:$B,ROWS(Salario!$B:$B)),_xlfn.CONCAT("=",$B2))</f>
        <v>45292</v>
      </c>
      <c r="D2" s="15" cm="1">
        <f t="array" aca="1" ref="D2" ca="1">_xlfn.XLOOKUP($C2&amp;$B2,Salario!$A:$A&amp;Salario!$B:$B,Salario!$C:$C)*Política!$C$2</f>
        <v>100000</v>
      </c>
      <c r="E2" s="15">
        <f ca="1">($D2/Política!$C$2)*(1-Política!$C$2)</f>
        <v>1900000</v>
      </c>
      <c r="F2" s="15">
        <f ca="1">SUMIF($B$2:$B2,_xlfn.CONCAT("=",$B2),$D$2:$D2)</f>
        <v>100000</v>
      </c>
    </row>
    <row r="3" spans="1:6">
      <c r="A3" s="8">
        <v>45304</v>
      </c>
      <c r="B3" s="7">
        <v>2</v>
      </c>
      <c r="C3" s="14">
        <f ca="1">_xlfn.MAXIFS(Salario!$A$2:INDEX(Salario!$A:$A,ROWS(Salario!$A:$A)),Salario!$A$2:INDEX(Salario!$A:$A,ROWS(Salario!$A:$A)),_xlfn.CONCAT("&lt;",$A3),Salario!$B$2:INDEX(Salario!$B:$B,ROWS(Salario!$B:$B)),_xlfn.CONCAT("=",$B3))</f>
        <v>45292</v>
      </c>
      <c r="D3" s="15" cm="1">
        <f t="array" aca="1" ref="D3" ca="1">_xlfn.XLOOKUP($C3&amp;$B3,Salario!$A:$A&amp;Salario!$B:$B,Salario!$C:$C)*Política!$C$2</f>
        <v>85000</v>
      </c>
      <c r="E3" s="15">
        <f ca="1">($D3/Política!$C$2)*(1-Política!$C$2)</f>
        <v>1615000</v>
      </c>
      <c r="F3" s="15">
        <f ca="1">SUMIF($B$2:$B3,_xlfn.CONCAT("=",$B3),$D$2:$D3)</f>
        <v>85000</v>
      </c>
    </row>
    <row r="4" spans="1:6">
      <c r="A4" s="8">
        <v>45304</v>
      </c>
      <c r="B4" s="7">
        <v>3</v>
      </c>
      <c r="C4" s="14">
        <f ca="1">_xlfn.MAXIFS(Salario!$A$2:INDEX(Salario!$A:$A,ROWS(Salario!$A:$A)),Salario!$A$2:INDEX(Salario!$A:$A,ROWS(Salario!$A:$A)),_xlfn.CONCAT("&lt;",$A4),Salario!$B$2:INDEX(Salario!$B:$B,ROWS(Salario!$B:$B)),_xlfn.CONCAT("=",$B4))</f>
        <v>45292</v>
      </c>
      <c r="D4" s="15" cm="1">
        <f t="array" aca="1" ref="D4" ca="1">_xlfn.XLOOKUP($C4&amp;$B4,Salario!$A:$A&amp;Salario!$B:$B,Salario!$C:$C)*Política!$C$2</f>
        <v>65000</v>
      </c>
      <c r="E4" s="15">
        <f ca="1">($D4/Política!$C$2)*(1-Política!$C$2)</f>
        <v>1235000</v>
      </c>
      <c r="F4" s="15">
        <f ca="1">SUMIF($B$2:$B4,_xlfn.CONCAT("=",$B4),$D$2:$D4)</f>
        <v>65000</v>
      </c>
    </row>
    <row r="5" spans="1:6">
      <c r="A5" s="8">
        <v>45304</v>
      </c>
      <c r="B5" s="7">
        <v>4</v>
      </c>
      <c r="C5" s="14">
        <f ca="1">_xlfn.MAXIFS(Salario!$A$2:INDEX(Salario!$A:$A,ROWS(Salario!$A:$A)),Salario!$A$2:INDEX(Salario!$A:$A,ROWS(Salario!$A:$A)),_xlfn.CONCAT("&lt;",$A5),Salario!$B$2:INDEX(Salario!$B:$B,ROWS(Salario!$B:$B)),_xlfn.CONCAT("=",$B5))</f>
        <v>45292</v>
      </c>
      <c r="D5" s="15" cm="1">
        <f t="array" aca="1" ref="D5" ca="1">_xlfn.XLOOKUP($C5&amp;$B5,Salario!$A:$A&amp;Salario!$B:$B,Salario!$C:$C)*Política!$C$2</f>
        <v>125000</v>
      </c>
      <c r="E5" s="15">
        <f ca="1">($D5/Política!$C$2)*(1-Política!$C$2)</f>
        <v>2375000</v>
      </c>
      <c r="F5" s="15">
        <f ca="1">SUMIF($B$2:$B5,_xlfn.CONCAT("=",$B5),$D$2:$D5)</f>
        <v>125000</v>
      </c>
    </row>
    <row r="6" spans="1:6">
      <c r="A6" s="8">
        <v>45304</v>
      </c>
      <c r="B6" s="7">
        <v>5</v>
      </c>
      <c r="C6" s="14">
        <f ca="1">_xlfn.MAXIFS(Salario!$A$2:INDEX(Salario!$A:$A,ROWS(Salario!$A:$A)),Salario!$A$2:INDEX(Salario!$A:$A,ROWS(Salario!$A:$A)),_xlfn.CONCAT("&lt;",$A6),Salario!$B$2:INDEX(Salario!$B:$B,ROWS(Salario!$B:$B)),_xlfn.CONCAT("=",$B6))</f>
        <v>45292</v>
      </c>
      <c r="D6" s="15" cm="1">
        <f t="array" aca="1" ref="D6" ca="1">_xlfn.XLOOKUP($C6&amp;$B6,Salario!$A:$A&amp;Salario!$B:$B,Salario!$C:$C)*Política!$C$2</f>
        <v>115000</v>
      </c>
      <c r="E6" s="15">
        <f ca="1">($D6/Política!$C$2)*(1-Política!$C$2)</f>
        <v>2185000</v>
      </c>
      <c r="F6" s="15">
        <f ca="1">SUMIF($B$2:$B6,_xlfn.CONCAT("=",$B6),$D$2:$D6)</f>
        <v>115000</v>
      </c>
    </row>
    <row r="7" spans="1:6">
      <c r="A7" s="8">
        <v>45304</v>
      </c>
      <c r="B7" s="7">
        <v>6</v>
      </c>
      <c r="C7" s="14">
        <f ca="1">_xlfn.MAXIFS(Salario!$A$2:INDEX(Salario!$A:$A,ROWS(Salario!$A:$A)),Salario!$A$2:INDEX(Salario!$A:$A,ROWS(Salario!$A:$A)),_xlfn.CONCAT("&lt;",$A7),Salario!$B$2:INDEX(Salario!$B:$B,ROWS(Salario!$B:$B)),_xlfn.CONCAT("=",$B7))</f>
        <v>45292</v>
      </c>
      <c r="D7" s="15" cm="1">
        <f t="array" aca="1" ref="D7" ca="1">_xlfn.XLOOKUP($C7&amp;$B7,Salario!$A:$A&amp;Salario!$B:$B,Salario!$C:$C)*Política!$C$2</f>
        <v>90000</v>
      </c>
      <c r="E7" s="15">
        <f ca="1">($D7/Política!$C$2)*(1-Política!$C$2)</f>
        <v>1710000</v>
      </c>
      <c r="F7" s="15">
        <f ca="1">SUMIF($B$2:$B7,_xlfn.CONCAT("=",$B7),$D$2:$D7)</f>
        <v>90000</v>
      </c>
    </row>
    <row r="8" spans="1:6">
      <c r="A8" s="8">
        <v>45304</v>
      </c>
      <c r="B8" s="7">
        <v>7</v>
      </c>
      <c r="C8" s="14">
        <f ca="1">_xlfn.MAXIFS(Salario!$A$2:INDEX(Salario!$A:$A,ROWS(Salario!$A:$A)),Salario!$A$2:INDEX(Salario!$A:$A,ROWS(Salario!$A:$A)),_xlfn.CONCAT("&lt;",$A8),Salario!$B$2:INDEX(Salario!$B:$B,ROWS(Salario!$B:$B)),_xlfn.CONCAT("=",$B8))</f>
        <v>45292</v>
      </c>
      <c r="D8" s="15" cm="1">
        <f t="array" aca="1" ref="D8" ca="1">_xlfn.XLOOKUP($C8&amp;$B8,Salario!$A:$A&amp;Salario!$B:$B,Salario!$C:$C)*Política!$C$2</f>
        <v>60000</v>
      </c>
      <c r="E8" s="15">
        <f ca="1">($D8/Política!$C$2)*(1-Política!$C$2)</f>
        <v>1140000</v>
      </c>
      <c r="F8" s="15">
        <f ca="1">SUMIF($B$2:$B8,_xlfn.CONCAT("=",$B8),$D$2:$D8)</f>
        <v>60000</v>
      </c>
    </row>
    <row r="9" spans="1:6">
      <c r="A9" s="8">
        <v>45304</v>
      </c>
      <c r="B9" s="7">
        <v>8</v>
      </c>
      <c r="C9" s="14">
        <f ca="1">_xlfn.MAXIFS(Salario!$A$2:INDEX(Salario!$A:$A,ROWS(Salario!$A:$A)),Salario!$A$2:INDEX(Salario!$A:$A,ROWS(Salario!$A:$A)),_xlfn.CONCAT("&lt;",$A9),Salario!$B$2:INDEX(Salario!$B:$B,ROWS(Salario!$B:$B)),_xlfn.CONCAT("=",$B9))</f>
        <v>45292</v>
      </c>
      <c r="D9" s="15" cm="1">
        <f t="array" aca="1" ref="D9" ca="1">_xlfn.XLOOKUP($C9&amp;$B9,Salario!$A:$A&amp;Salario!$B:$B,Salario!$C:$C)*Política!$C$2</f>
        <v>125000</v>
      </c>
      <c r="E9" s="15">
        <f ca="1">($D9/Política!$C$2)*(1-Política!$C$2)</f>
        <v>2375000</v>
      </c>
      <c r="F9" s="15">
        <f ca="1">SUMIF($B$2:$B9,_xlfn.CONCAT("=",$B9),$D$2:$D9)</f>
        <v>125000</v>
      </c>
    </row>
    <row r="10" spans="1:6">
      <c r="A10" s="8">
        <v>45304</v>
      </c>
      <c r="B10" s="7">
        <v>9</v>
      </c>
      <c r="C10" s="14">
        <f ca="1">_xlfn.MAXIFS(Salario!$A$2:INDEX(Salario!$A:$A,ROWS(Salario!$A:$A)),Salario!$A$2:INDEX(Salario!$A:$A,ROWS(Salario!$A:$A)),_xlfn.CONCAT("&lt;",$A10),Salario!$B$2:INDEX(Salario!$B:$B,ROWS(Salario!$B:$B)),_xlfn.CONCAT("=",$B10))</f>
        <v>45292</v>
      </c>
      <c r="D10" s="15" cm="1">
        <f t="array" aca="1" ref="D10" ca="1">_xlfn.XLOOKUP($C10&amp;$B10,Salario!$A:$A&amp;Salario!$B:$B,Salario!$C:$C)*Política!$C$2</f>
        <v>75000</v>
      </c>
      <c r="E10" s="15">
        <f ca="1">($D10/Política!$C$2)*(1-Política!$C$2)</f>
        <v>1425000</v>
      </c>
      <c r="F10" s="15">
        <f ca="1">SUMIF($B$2:$B10,_xlfn.CONCAT("=",$B10),$D$2:$D10)</f>
        <v>75000</v>
      </c>
    </row>
    <row r="11" spans="1:6">
      <c r="A11" s="8">
        <v>45304</v>
      </c>
      <c r="B11" s="7">
        <v>10</v>
      </c>
      <c r="C11" s="14">
        <f ca="1">_xlfn.MAXIFS(Salario!$A$2:INDEX(Salario!$A:$A,ROWS(Salario!$A:$A)),Salario!$A$2:INDEX(Salario!$A:$A,ROWS(Salario!$A:$A)),_xlfn.CONCAT("&lt;",$A11),Salario!$B$2:INDEX(Salario!$B:$B,ROWS(Salario!$B:$B)),_xlfn.CONCAT("=",$B11))</f>
        <v>45292</v>
      </c>
      <c r="D11" s="15" cm="1">
        <f t="array" aca="1" ref="D11" ca="1">_xlfn.XLOOKUP($C11&amp;$B11,Salario!$A:$A&amp;Salario!$B:$B,Salario!$C:$C)*Política!$C$2</f>
        <v>85000</v>
      </c>
      <c r="E11" s="15">
        <f ca="1">($D11/Política!$C$2)*(1-Política!$C$2)</f>
        <v>1615000</v>
      </c>
      <c r="F11" s="15">
        <f ca="1">SUMIF($B$2:$B11,_xlfn.CONCAT("=",$B11),$D$2:$D11)</f>
        <v>85000</v>
      </c>
    </row>
    <row r="12" spans="1:6">
      <c r="A12" s="8">
        <v>45335</v>
      </c>
      <c r="B12" s="7">
        <v>1</v>
      </c>
      <c r="C12" s="14">
        <f ca="1">_xlfn.MAXIFS(Salario!$A$2:INDEX(Salario!$A:$A,ROWS(Salario!$A:$A)),Salario!$A$2:INDEX(Salario!$A:$A,ROWS(Salario!$A:$A)),_xlfn.CONCAT("&lt;",$A12),Salario!$B$2:INDEX(Salario!$B:$B,ROWS(Salario!$B:$B)),_xlfn.CONCAT("=",$B12))</f>
        <v>45292</v>
      </c>
      <c r="D12" s="15" cm="1">
        <f t="array" aca="1" ref="D12" ca="1">_xlfn.XLOOKUP($C12&amp;$B12,Salario!$A:$A&amp;Salario!$B:$B,Salario!$C:$C)*Política!$C$2</f>
        <v>100000</v>
      </c>
      <c r="E12" s="15">
        <f ca="1">($D12/Política!$C$2)*(1-Política!$C$2)</f>
        <v>1900000</v>
      </c>
      <c r="F12" s="15">
        <f ca="1">SUMIF($B$2:$B12,_xlfn.CONCAT("=",$B12),$D$2:$D12)</f>
        <v>200000</v>
      </c>
    </row>
    <row r="13" spans="1:6">
      <c r="A13" s="8">
        <v>45335</v>
      </c>
      <c r="B13" s="7">
        <v>2</v>
      </c>
      <c r="C13" s="14">
        <f ca="1">_xlfn.MAXIFS(Salario!$A$2:INDEX(Salario!$A:$A,ROWS(Salario!$A:$A)),Salario!$A$2:INDEX(Salario!$A:$A,ROWS(Salario!$A:$A)),_xlfn.CONCAT("&lt;",$A13),Salario!$B$2:INDEX(Salario!$B:$B,ROWS(Salario!$B:$B)),_xlfn.CONCAT("=",$B13))</f>
        <v>45292</v>
      </c>
      <c r="D13" s="15" cm="1">
        <f t="array" aca="1" ref="D13" ca="1">_xlfn.XLOOKUP($C13&amp;$B13,Salario!$A:$A&amp;Salario!$B:$B,Salario!$C:$C)*Política!$C$2</f>
        <v>85000</v>
      </c>
      <c r="E13" s="15">
        <f ca="1">($D13/Política!$C$2)*(1-Política!$C$2)</f>
        <v>1615000</v>
      </c>
      <c r="F13" s="15">
        <f ca="1">SUMIF($B$2:$B13,_xlfn.CONCAT("=",$B13),$D$2:$D13)</f>
        <v>170000</v>
      </c>
    </row>
    <row r="14" spans="1:6">
      <c r="A14" s="8">
        <v>45335</v>
      </c>
      <c r="B14" s="7">
        <v>3</v>
      </c>
      <c r="C14" s="14">
        <f ca="1">_xlfn.MAXIFS(Salario!$A$2:INDEX(Salario!$A:$A,ROWS(Salario!$A:$A)),Salario!$A$2:INDEX(Salario!$A:$A,ROWS(Salario!$A:$A)),_xlfn.CONCAT("&lt;",$A14),Salario!$B$2:INDEX(Salario!$B:$B,ROWS(Salario!$B:$B)),_xlfn.CONCAT("=",$B14))</f>
        <v>45292</v>
      </c>
      <c r="D14" s="15" cm="1">
        <f t="array" aca="1" ref="D14" ca="1">_xlfn.XLOOKUP($C14&amp;$B14,Salario!$A:$A&amp;Salario!$B:$B,Salario!$C:$C)*Política!$C$2</f>
        <v>65000</v>
      </c>
      <c r="E14" s="15">
        <f ca="1">($D14/Política!$C$2)*(1-Política!$C$2)</f>
        <v>1235000</v>
      </c>
      <c r="F14" s="15">
        <f ca="1">SUMIF($B$2:$B14,_xlfn.CONCAT("=",$B14),$D$2:$D14)</f>
        <v>130000</v>
      </c>
    </row>
    <row r="15" spans="1:6">
      <c r="A15" s="8">
        <v>45335</v>
      </c>
      <c r="B15" s="7">
        <v>4</v>
      </c>
      <c r="C15" s="14">
        <f ca="1">_xlfn.MAXIFS(Salario!$A$2:INDEX(Salario!$A:$A,ROWS(Salario!$A:$A)),Salario!$A$2:INDEX(Salario!$A:$A,ROWS(Salario!$A:$A)),_xlfn.CONCAT("&lt;",$A15),Salario!$B$2:INDEX(Salario!$B:$B,ROWS(Salario!$B:$B)),_xlfn.CONCAT("=",$B15))</f>
        <v>45292</v>
      </c>
      <c r="D15" s="15" cm="1">
        <f t="array" aca="1" ref="D15" ca="1">_xlfn.XLOOKUP($C15&amp;$B15,Salario!$A:$A&amp;Salario!$B:$B,Salario!$C:$C)*Política!$C$2</f>
        <v>125000</v>
      </c>
      <c r="E15" s="15">
        <f ca="1">($D15/Política!$C$2)*(1-Política!$C$2)</f>
        <v>2375000</v>
      </c>
      <c r="F15" s="15">
        <f ca="1">SUMIF($B$2:$B15,_xlfn.CONCAT("=",$B15),$D$2:$D15)</f>
        <v>250000</v>
      </c>
    </row>
    <row r="16" spans="1:6">
      <c r="A16" s="8">
        <v>45335</v>
      </c>
      <c r="B16" s="7">
        <v>5</v>
      </c>
      <c r="C16" s="14">
        <f ca="1">_xlfn.MAXIFS(Salario!$A$2:INDEX(Salario!$A:$A,ROWS(Salario!$A:$A)),Salario!$A$2:INDEX(Salario!$A:$A,ROWS(Salario!$A:$A)),_xlfn.CONCAT("&lt;",$A16),Salario!$B$2:INDEX(Salario!$B:$B,ROWS(Salario!$B:$B)),_xlfn.CONCAT("=",$B16))</f>
        <v>45292</v>
      </c>
      <c r="D16" s="15" cm="1">
        <f t="array" aca="1" ref="D16" ca="1">_xlfn.XLOOKUP($C16&amp;$B16,Salario!$A:$A&amp;Salario!$B:$B,Salario!$C:$C)*Política!$C$2</f>
        <v>115000</v>
      </c>
      <c r="E16" s="15">
        <f ca="1">($D16/Política!$C$2)*(1-Política!$C$2)</f>
        <v>2185000</v>
      </c>
      <c r="F16" s="15">
        <f ca="1">SUMIF($B$2:$B16,_xlfn.CONCAT("=",$B16),$D$2:$D16)</f>
        <v>230000</v>
      </c>
    </row>
    <row r="17" spans="1:6">
      <c r="A17" s="8">
        <v>45335</v>
      </c>
      <c r="B17" s="7">
        <v>6</v>
      </c>
      <c r="C17" s="14">
        <f ca="1">_xlfn.MAXIFS(Salario!$A$2:INDEX(Salario!$A:$A,ROWS(Salario!$A:$A)),Salario!$A$2:INDEX(Salario!$A:$A,ROWS(Salario!$A:$A)),_xlfn.CONCAT("&lt;",$A17),Salario!$B$2:INDEX(Salario!$B:$B,ROWS(Salario!$B:$B)),_xlfn.CONCAT("=",$B17))</f>
        <v>45292</v>
      </c>
      <c r="D17" s="15" cm="1">
        <f t="array" aca="1" ref="D17" ca="1">_xlfn.XLOOKUP($C17&amp;$B17,Salario!$A:$A&amp;Salario!$B:$B,Salario!$C:$C)*Política!$C$2</f>
        <v>90000</v>
      </c>
      <c r="E17" s="15">
        <f ca="1">($D17/Política!$C$2)*(1-Política!$C$2)</f>
        <v>1710000</v>
      </c>
      <c r="F17" s="15">
        <f ca="1">SUMIF($B$2:$B17,_xlfn.CONCAT("=",$B17),$D$2:$D17)</f>
        <v>180000</v>
      </c>
    </row>
    <row r="18" spans="1:6">
      <c r="A18" s="8">
        <v>45335</v>
      </c>
      <c r="B18" s="7">
        <v>7</v>
      </c>
      <c r="C18" s="14">
        <f ca="1">_xlfn.MAXIFS(Salario!$A$2:INDEX(Salario!$A:$A,ROWS(Salario!$A:$A)),Salario!$A$2:INDEX(Salario!$A:$A,ROWS(Salario!$A:$A)),_xlfn.CONCAT("&lt;",$A18),Salario!$B$2:INDEX(Salario!$B:$B,ROWS(Salario!$B:$B)),_xlfn.CONCAT("=",$B18))</f>
        <v>45292</v>
      </c>
      <c r="D18" s="15" cm="1">
        <f t="array" aca="1" ref="D18" ca="1">_xlfn.XLOOKUP($C18&amp;$B18,Salario!$A:$A&amp;Salario!$B:$B,Salario!$C:$C)*Política!$C$2</f>
        <v>60000</v>
      </c>
      <c r="E18" s="15">
        <f ca="1">($D18/Política!$C$2)*(1-Política!$C$2)</f>
        <v>1140000</v>
      </c>
      <c r="F18" s="15">
        <f ca="1">SUMIF($B$2:$B18,_xlfn.CONCAT("=",$B18),$D$2:$D18)</f>
        <v>120000</v>
      </c>
    </row>
    <row r="19" spans="1:6">
      <c r="A19" s="8">
        <v>45335</v>
      </c>
      <c r="B19" s="7">
        <v>8</v>
      </c>
      <c r="C19" s="14">
        <f ca="1">_xlfn.MAXIFS(Salario!$A$2:INDEX(Salario!$A:$A,ROWS(Salario!$A:$A)),Salario!$A$2:INDEX(Salario!$A:$A,ROWS(Salario!$A:$A)),_xlfn.CONCAT("&lt;",$A19),Salario!$B$2:INDEX(Salario!$B:$B,ROWS(Salario!$B:$B)),_xlfn.CONCAT("=",$B19))</f>
        <v>45292</v>
      </c>
      <c r="D19" s="15" cm="1">
        <f t="array" aca="1" ref="D19" ca="1">_xlfn.XLOOKUP($C19&amp;$B19,Salario!$A:$A&amp;Salario!$B:$B,Salario!$C:$C)*Política!$C$2</f>
        <v>125000</v>
      </c>
      <c r="E19" s="15">
        <f ca="1">($D19/Política!$C$2)*(1-Política!$C$2)</f>
        <v>2375000</v>
      </c>
      <c r="F19" s="15">
        <f ca="1">SUMIF($B$2:$B19,_xlfn.CONCAT("=",$B19),$D$2:$D19)</f>
        <v>250000</v>
      </c>
    </row>
    <row r="20" spans="1:6">
      <c r="A20" s="8">
        <v>45335</v>
      </c>
      <c r="B20" s="7">
        <v>9</v>
      </c>
      <c r="C20" s="14">
        <f ca="1">_xlfn.MAXIFS(Salario!$A$2:INDEX(Salario!$A:$A,ROWS(Salario!$A:$A)),Salario!$A$2:INDEX(Salario!$A:$A,ROWS(Salario!$A:$A)),_xlfn.CONCAT("&lt;",$A20),Salario!$B$2:INDEX(Salario!$B:$B,ROWS(Salario!$B:$B)),_xlfn.CONCAT("=",$B20))</f>
        <v>45292</v>
      </c>
      <c r="D20" s="15" cm="1">
        <f t="array" aca="1" ref="D20" ca="1">_xlfn.XLOOKUP($C20&amp;$B20,Salario!$A:$A&amp;Salario!$B:$B,Salario!$C:$C)*Política!$C$2</f>
        <v>75000</v>
      </c>
      <c r="E20" s="15">
        <f ca="1">($D20/Política!$C$2)*(1-Política!$C$2)</f>
        <v>1425000</v>
      </c>
      <c r="F20" s="15">
        <f ca="1">SUMIF($B$2:$B20,_xlfn.CONCAT("=",$B20),$D$2:$D20)</f>
        <v>150000</v>
      </c>
    </row>
    <row r="21" spans="1:6">
      <c r="A21" s="8">
        <v>45335</v>
      </c>
      <c r="B21" s="7">
        <v>10</v>
      </c>
      <c r="C21" s="14">
        <f ca="1">_xlfn.MAXIFS(Salario!$A$2:INDEX(Salario!$A:$A,ROWS(Salario!$A:$A)),Salario!$A$2:INDEX(Salario!$A:$A,ROWS(Salario!$A:$A)),_xlfn.CONCAT("&lt;",$A21),Salario!$B$2:INDEX(Salario!$B:$B,ROWS(Salario!$B:$B)),_xlfn.CONCAT("=",$B21))</f>
        <v>45292</v>
      </c>
      <c r="D21" s="15" cm="1">
        <f t="array" aca="1" ref="D21" ca="1">_xlfn.XLOOKUP($C21&amp;$B21,Salario!$A:$A&amp;Salario!$B:$B,Salario!$C:$C)*Política!$C$2</f>
        <v>85000</v>
      </c>
      <c r="E21" s="15">
        <f ca="1">($D21/Política!$C$2)*(1-Política!$C$2)</f>
        <v>1615000</v>
      </c>
      <c r="F21" s="15">
        <f ca="1">SUMIF($B$2:$B21,_xlfn.CONCAT("=",$B21),$D$2:$D21)</f>
        <v>170000</v>
      </c>
    </row>
    <row r="22" spans="1:6">
      <c r="A22" s="8">
        <v>45364</v>
      </c>
      <c r="B22" s="7">
        <v>1</v>
      </c>
      <c r="C22" s="14">
        <f ca="1">_xlfn.MAXIFS(Salario!$A$2:INDEX(Salario!$A:$A,ROWS(Salario!$A:$A)),Salario!$A$2:INDEX(Salario!$A:$A,ROWS(Salario!$A:$A)),_xlfn.CONCAT("&lt;",$A22),Salario!$B$2:INDEX(Salario!$B:$B,ROWS(Salario!$B:$B)),_xlfn.CONCAT("=",$B22))</f>
        <v>45292</v>
      </c>
      <c r="D22" s="15" cm="1">
        <f t="array" aca="1" ref="D22" ca="1">_xlfn.XLOOKUP($C22&amp;$B22,Salario!$A:$A&amp;Salario!$B:$B,Salario!$C:$C)*Política!$C$2</f>
        <v>100000</v>
      </c>
      <c r="E22" s="15">
        <f ca="1">($D22/Política!$C$2)*(1-Política!$C$2)</f>
        <v>1900000</v>
      </c>
      <c r="F22" s="15">
        <f ca="1">SUMIF($B$2:$B22,_xlfn.CONCAT("=",$B22),$D$2:$D22)</f>
        <v>300000</v>
      </c>
    </row>
    <row r="23" spans="1:6">
      <c r="A23" s="8">
        <v>45364</v>
      </c>
      <c r="B23" s="7">
        <v>2</v>
      </c>
      <c r="C23" s="14">
        <f ca="1">_xlfn.MAXIFS(Salario!$A$2:INDEX(Salario!$A:$A,ROWS(Salario!$A:$A)),Salario!$A$2:INDEX(Salario!$A:$A,ROWS(Salario!$A:$A)),_xlfn.CONCAT("&lt;",$A23),Salario!$B$2:INDEX(Salario!$B:$B,ROWS(Salario!$B:$B)),_xlfn.CONCAT("=",$B23))</f>
        <v>45292</v>
      </c>
      <c r="D23" s="15" cm="1">
        <f t="array" aca="1" ref="D23" ca="1">_xlfn.XLOOKUP($C23&amp;$B23,Salario!$A:$A&amp;Salario!$B:$B,Salario!$C:$C)*Política!$C$2</f>
        <v>85000</v>
      </c>
      <c r="E23" s="15">
        <f ca="1">($D23/Política!$C$2)*(1-Política!$C$2)</f>
        <v>1615000</v>
      </c>
      <c r="F23" s="15">
        <f ca="1">SUMIF($B$2:$B23,_xlfn.CONCAT("=",$B23),$D$2:$D23)</f>
        <v>255000</v>
      </c>
    </row>
    <row r="24" spans="1:6">
      <c r="A24" s="8">
        <v>45364</v>
      </c>
      <c r="B24" s="7">
        <v>3</v>
      </c>
      <c r="C24" s="14">
        <f ca="1">_xlfn.MAXIFS(Salario!$A$2:INDEX(Salario!$A:$A,ROWS(Salario!$A:$A)),Salario!$A$2:INDEX(Salario!$A:$A,ROWS(Salario!$A:$A)),_xlfn.CONCAT("&lt;",$A24),Salario!$B$2:INDEX(Salario!$B:$B,ROWS(Salario!$B:$B)),_xlfn.CONCAT("=",$B24))</f>
        <v>45292</v>
      </c>
      <c r="D24" s="15" cm="1">
        <f t="array" aca="1" ref="D24" ca="1">_xlfn.XLOOKUP($C24&amp;$B24,Salario!$A:$A&amp;Salario!$B:$B,Salario!$C:$C)*Política!$C$2</f>
        <v>65000</v>
      </c>
      <c r="E24" s="15">
        <f ca="1">($D24/Política!$C$2)*(1-Política!$C$2)</f>
        <v>1235000</v>
      </c>
      <c r="F24" s="15">
        <f ca="1">SUMIF($B$2:$B24,_xlfn.CONCAT("=",$B24),$D$2:$D24)</f>
        <v>195000</v>
      </c>
    </row>
    <row r="25" spans="1:6">
      <c r="A25" s="8">
        <v>45364</v>
      </c>
      <c r="B25" s="7">
        <v>4</v>
      </c>
      <c r="C25" s="14">
        <f ca="1">_xlfn.MAXIFS(Salario!$A$2:INDEX(Salario!$A:$A,ROWS(Salario!$A:$A)),Salario!$A$2:INDEX(Salario!$A:$A,ROWS(Salario!$A:$A)),_xlfn.CONCAT("&lt;",$A25),Salario!$B$2:INDEX(Salario!$B:$B,ROWS(Salario!$B:$B)),_xlfn.CONCAT("=",$B25))</f>
        <v>45292</v>
      </c>
      <c r="D25" s="15" cm="1">
        <f t="array" aca="1" ref="D25" ca="1">_xlfn.XLOOKUP($C25&amp;$B25,Salario!$A:$A&amp;Salario!$B:$B,Salario!$C:$C)*Política!$C$2</f>
        <v>125000</v>
      </c>
      <c r="E25" s="15">
        <f ca="1">($D25/Política!$C$2)*(1-Política!$C$2)</f>
        <v>2375000</v>
      </c>
      <c r="F25" s="15">
        <f ca="1">SUMIF($B$2:$B25,_xlfn.CONCAT("=",$B25),$D$2:$D25)</f>
        <v>375000</v>
      </c>
    </row>
    <row r="26" spans="1:6">
      <c r="A26" s="8">
        <v>45364</v>
      </c>
      <c r="B26" s="7">
        <v>5</v>
      </c>
      <c r="C26" s="14">
        <f ca="1">_xlfn.MAXIFS(Salario!$A$2:INDEX(Salario!$A:$A,ROWS(Salario!$A:$A)),Salario!$A$2:INDEX(Salario!$A:$A,ROWS(Salario!$A:$A)),_xlfn.CONCAT("&lt;",$A26),Salario!$B$2:INDEX(Salario!$B:$B,ROWS(Salario!$B:$B)),_xlfn.CONCAT("=",$B26))</f>
        <v>45292</v>
      </c>
      <c r="D26" s="15" cm="1">
        <f t="array" aca="1" ref="D26" ca="1">_xlfn.XLOOKUP($C26&amp;$B26,Salario!$A:$A&amp;Salario!$B:$B,Salario!$C:$C)*Política!$C$2</f>
        <v>115000</v>
      </c>
      <c r="E26" s="15">
        <f ca="1">($D26/Política!$C$2)*(1-Política!$C$2)</f>
        <v>2185000</v>
      </c>
      <c r="F26" s="15">
        <f ca="1">SUMIF($B$2:$B26,_xlfn.CONCAT("=",$B26),$D$2:$D26)</f>
        <v>345000</v>
      </c>
    </row>
    <row r="27" spans="1:6">
      <c r="A27" s="8">
        <v>45364</v>
      </c>
      <c r="B27" s="7">
        <v>6</v>
      </c>
      <c r="C27" s="14">
        <f ca="1">_xlfn.MAXIFS(Salario!$A$2:INDEX(Salario!$A:$A,ROWS(Salario!$A:$A)),Salario!$A$2:INDEX(Salario!$A:$A,ROWS(Salario!$A:$A)),_xlfn.CONCAT("&lt;",$A27),Salario!$B$2:INDEX(Salario!$B:$B,ROWS(Salario!$B:$B)),_xlfn.CONCAT("=",$B27))</f>
        <v>45292</v>
      </c>
      <c r="D27" s="15" cm="1">
        <f t="array" aca="1" ref="D27" ca="1">_xlfn.XLOOKUP($C27&amp;$B27,Salario!$A:$A&amp;Salario!$B:$B,Salario!$C:$C)*Política!$C$2</f>
        <v>90000</v>
      </c>
      <c r="E27" s="15">
        <f ca="1">($D27/Política!$C$2)*(1-Política!$C$2)</f>
        <v>1710000</v>
      </c>
      <c r="F27" s="15">
        <f ca="1">SUMIF($B$2:$B27,_xlfn.CONCAT("=",$B27),$D$2:$D27)</f>
        <v>270000</v>
      </c>
    </row>
    <row r="28" spans="1:6">
      <c r="A28" s="8">
        <v>45364</v>
      </c>
      <c r="B28" s="7">
        <v>7</v>
      </c>
      <c r="C28" s="14">
        <f ca="1">_xlfn.MAXIFS(Salario!$A$2:INDEX(Salario!$A:$A,ROWS(Salario!$A:$A)),Salario!$A$2:INDEX(Salario!$A:$A,ROWS(Salario!$A:$A)),_xlfn.CONCAT("&lt;",$A28),Salario!$B$2:INDEX(Salario!$B:$B,ROWS(Salario!$B:$B)),_xlfn.CONCAT("=",$B28))</f>
        <v>45292</v>
      </c>
      <c r="D28" s="15" cm="1">
        <f t="array" aca="1" ref="D28" ca="1">_xlfn.XLOOKUP($C28&amp;$B28,Salario!$A:$A&amp;Salario!$B:$B,Salario!$C:$C)*Política!$C$2</f>
        <v>60000</v>
      </c>
      <c r="E28" s="15">
        <f ca="1">($D28/Política!$C$2)*(1-Política!$C$2)</f>
        <v>1140000</v>
      </c>
      <c r="F28" s="15">
        <f ca="1">SUMIF($B$2:$B28,_xlfn.CONCAT("=",$B28),$D$2:$D28)</f>
        <v>180000</v>
      </c>
    </row>
    <row r="29" spans="1:6">
      <c r="A29" s="8">
        <v>45364</v>
      </c>
      <c r="B29" s="7">
        <v>8</v>
      </c>
      <c r="C29" s="14">
        <f ca="1">_xlfn.MAXIFS(Salario!$A$2:INDEX(Salario!$A:$A,ROWS(Salario!$A:$A)),Salario!$A$2:INDEX(Salario!$A:$A,ROWS(Salario!$A:$A)),_xlfn.CONCAT("&lt;",$A29),Salario!$B$2:INDEX(Salario!$B:$B,ROWS(Salario!$B:$B)),_xlfn.CONCAT("=",$B29))</f>
        <v>45292</v>
      </c>
      <c r="D29" s="15" cm="1">
        <f t="array" aca="1" ref="D29" ca="1">_xlfn.XLOOKUP($C29&amp;$B29,Salario!$A:$A&amp;Salario!$B:$B,Salario!$C:$C)*Política!$C$2</f>
        <v>125000</v>
      </c>
      <c r="E29" s="15">
        <f ca="1">($D29/Política!$C$2)*(1-Política!$C$2)</f>
        <v>2375000</v>
      </c>
      <c r="F29" s="15">
        <f ca="1">SUMIF($B$2:$B29,_xlfn.CONCAT("=",$B29),$D$2:$D29)</f>
        <v>375000</v>
      </c>
    </row>
    <row r="30" spans="1:6">
      <c r="A30" s="8">
        <v>45364</v>
      </c>
      <c r="B30" s="7">
        <v>9</v>
      </c>
      <c r="C30" s="14">
        <f ca="1">_xlfn.MAXIFS(Salario!$A$2:INDEX(Salario!$A:$A,ROWS(Salario!$A:$A)),Salario!$A$2:INDEX(Salario!$A:$A,ROWS(Salario!$A:$A)),_xlfn.CONCAT("&lt;",$A30),Salario!$B$2:INDEX(Salario!$B:$B,ROWS(Salario!$B:$B)),_xlfn.CONCAT("=",$B30))</f>
        <v>45292</v>
      </c>
      <c r="D30" s="15" cm="1">
        <f t="array" aca="1" ref="D30" ca="1">_xlfn.XLOOKUP($C30&amp;$B30,Salario!$A:$A&amp;Salario!$B:$B,Salario!$C:$C)*Política!$C$2</f>
        <v>75000</v>
      </c>
      <c r="E30" s="15">
        <f ca="1">($D30/Política!$C$2)*(1-Política!$C$2)</f>
        <v>1425000</v>
      </c>
      <c r="F30" s="15">
        <f ca="1">SUMIF($B$2:$B30,_xlfn.CONCAT("=",$B30),$D$2:$D30)</f>
        <v>225000</v>
      </c>
    </row>
    <row r="31" spans="1:6">
      <c r="A31" s="8">
        <v>45364</v>
      </c>
      <c r="B31" s="7">
        <v>10</v>
      </c>
      <c r="C31" s="14">
        <f ca="1">_xlfn.MAXIFS(Salario!$A$2:INDEX(Salario!$A:$A,ROWS(Salario!$A:$A)),Salario!$A$2:INDEX(Salario!$A:$A,ROWS(Salario!$A:$A)),_xlfn.CONCAT("&lt;",$A31),Salario!$B$2:INDEX(Salario!$B:$B,ROWS(Salario!$B:$B)),_xlfn.CONCAT("=",$B31))</f>
        <v>45292</v>
      </c>
      <c r="D31" s="15" cm="1">
        <f t="array" aca="1" ref="D31" ca="1">_xlfn.XLOOKUP($C31&amp;$B31,Salario!$A:$A&amp;Salario!$B:$B,Salario!$C:$C)*Política!$C$2</f>
        <v>85000</v>
      </c>
      <c r="E31" s="15">
        <f ca="1">($D31/Política!$C$2)*(1-Política!$C$2)</f>
        <v>1615000</v>
      </c>
      <c r="F31" s="15">
        <f ca="1">SUMIF($B$2:$B31,_xlfn.CONCAT("=",$B31),$D$2:$D31)</f>
        <v>255000</v>
      </c>
    </row>
    <row r="32" spans="1:6">
      <c r="A32" s="8">
        <v>45395</v>
      </c>
      <c r="B32" s="7">
        <v>1</v>
      </c>
      <c r="C32" s="14">
        <f ca="1">_xlfn.MAXIFS(Salario!$A$2:INDEX(Salario!$A:$A,ROWS(Salario!$A:$A)),Salario!$A$2:INDEX(Salario!$A:$A,ROWS(Salario!$A:$A)),_xlfn.CONCAT("&lt;",$A32),Salario!$B$2:INDEX(Salario!$B:$B,ROWS(Salario!$B:$B)),_xlfn.CONCAT("=",$B32))</f>
        <v>45292</v>
      </c>
      <c r="D32" s="15" cm="1">
        <f t="array" aca="1" ref="D32" ca="1">_xlfn.XLOOKUP($C32&amp;$B32,Salario!$A:$A&amp;Salario!$B:$B,Salario!$C:$C)*Política!$C$2</f>
        <v>100000</v>
      </c>
      <c r="E32" s="15">
        <f ca="1">($D32/Política!$C$2)*(1-Política!$C$2)</f>
        <v>1900000</v>
      </c>
      <c r="F32" s="15">
        <f ca="1">SUMIF($B$2:$B32,_xlfn.CONCAT("=",$B32),$D$2:$D32)</f>
        <v>400000</v>
      </c>
    </row>
    <row r="33" spans="1:6">
      <c r="A33" s="8">
        <v>45395</v>
      </c>
      <c r="B33" s="7">
        <v>2</v>
      </c>
      <c r="C33" s="14">
        <f ca="1">_xlfn.MAXIFS(Salario!$A$2:INDEX(Salario!$A:$A,ROWS(Salario!$A:$A)),Salario!$A$2:INDEX(Salario!$A:$A,ROWS(Salario!$A:$A)),_xlfn.CONCAT("&lt;",$A33),Salario!$B$2:INDEX(Salario!$B:$B,ROWS(Salario!$B:$B)),_xlfn.CONCAT("=",$B33))</f>
        <v>45292</v>
      </c>
      <c r="D33" s="15" cm="1">
        <f t="array" aca="1" ref="D33" ca="1">_xlfn.XLOOKUP($C33&amp;$B33,Salario!$A:$A&amp;Salario!$B:$B,Salario!$C:$C)*Política!$C$2</f>
        <v>85000</v>
      </c>
      <c r="E33" s="15">
        <f ca="1">($D33/Política!$C$2)*(1-Política!$C$2)</f>
        <v>1615000</v>
      </c>
      <c r="F33" s="15">
        <f ca="1">SUMIF($B$2:$B33,_xlfn.CONCAT("=",$B33),$D$2:$D33)</f>
        <v>340000</v>
      </c>
    </row>
    <row r="34" spans="1:6">
      <c r="A34" s="8">
        <v>45395</v>
      </c>
      <c r="B34" s="7">
        <v>3</v>
      </c>
      <c r="C34" s="14">
        <f ca="1">_xlfn.MAXIFS(Salario!$A$2:INDEX(Salario!$A:$A,ROWS(Salario!$A:$A)),Salario!$A$2:INDEX(Salario!$A:$A,ROWS(Salario!$A:$A)),_xlfn.CONCAT("&lt;",$A34),Salario!$B$2:INDEX(Salario!$B:$B,ROWS(Salario!$B:$B)),_xlfn.CONCAT("=",$B34))</f>
        <v>45292</v>
      </c>
      <c r="D34" s="15" cm="1">
        <f t="array" aca="1" ref="D34" ca="1">_xlfn.XLOOKUP($C34&amp;$B34,Salario!$A:$A&amp;Salario!$B:$B,Salario!$C:$C)*Política!$C$2</f>
        <v>65000</v>
      </c>
      <c r="E34" s="15">
        <f ca="1">($D34/Política!$C$2)*(1-Política!$C$2)</f>
        <v>1235000</v>
      </c>
      <c r="F34" s="15">
        <f ca="1">SUMIF($B$2:$B34,_xlfn.CONCAT("=",$B34),$D$2:$D34)</f>
        <v>260000</v>
      </c>
    </row>
    <row r="35" spans="1:6">
      <c r="A35" s="8">
        <v>45395</v>
      </c>
      <c r="B35" s="7">
        <v>4</v>
      </c>
      <c r="C35" s="14">
        <f ca="1">_xlfn.MAXIFS(Salario!$A$2:INDEX(Salario!$A:$A,ROWS(Salario!$A:$A)),Salario!$A$2:INDEX(Salario!$A:$A,ROWS(Salario!$A:$A)),_xlfn.CONCAT("&lt;",$A35),Salario!$B$2:INDEX(Salario!$B:$B,ROWS(Salario!$B:$B)),_xlfn.CONCAT("=",$B35))</f>
        <v>45292</v>
      </c>
      <c r="D35" s="15" cm="1">
        <f t="array" aca="1" ref="D35" ca="1">_xlfn.XLOOKUP($C35&amp;$B35,Salario!$A:$A&amp;Salario!$B:$B,Salario!$C:$C)*Política!$C$2</f>
        <v>125000</v>
      </c>
      <c r="E35" s="15">
        <f ca="1">($D35/Política!$C$2)*(1-Política!$C$2)</f>
        <v>2375000</v>
      </c>
      <c r="F35" s="15">
        <f ca="1">SUMIF($B$2:$B35,_xlfn.CONCAT("=",$B35),$D$2:$D35)</f>
        <v>500000</v>
      </c>
    </row>
    <row r="36" spans="1:6">
      <c r="A36" s="8">
        <v>45395</v>
      </c>
      <c r="B36" s="7">
        <v>5</v>
      </c>
      <c r="C36" s="14">
        <f ca="1">_xlfn.MAXIFS(Salario!$A$2:INDEX(Salario!$A:$A,ROWS(Salario!$A:$A)),Salario!$A$2:INDEX(Salario!$A:$A,ROWS(Salario!$A:$A)),_xlfn.CONCAT("&lt;",$A36),Salario!$B$2:INDEX(Salario!$B:$B,ROWS(Salario!$B:$B)),_xlfn.CONCAT("=",$B36))</f>
        <v>45292</v>
      </c>
      <c r="D36" s="15" cm="1">
        <f t="array" aca="1" ref="D36" ca="1">_xlfn.XLOOKUP($C36&amp;$B36,Salario!$A:$A&amp;Salario!$B:$B,Salario!$C:$C)*Política!$C$2</f>
        <v>115000</v>
      </c>
      <c r="E36" s="15">
        <f ca="1">($D36/Política!$C$2)*(1-Política!$C$2)</f>
        <v>2185000</v>
      </c>
      <c r="F36" s="15">
        <f ca="1">SUMIF($B$2:$B36,_xlfn.CONCAT("=",$B36),$D$2:$D36)</f>
        <v>460000</v>
      </c>
    </row>
    <row r="37" spans="1:6">
      <c r="A37" s="8">
        <v>45395</v>
      </c>
      <c r="B37" s="7">
        <v>6</v>
      </c>
      <c r="C37" s="14">
        <f ca="1">_xlfn.MAXIFS(Salario!$A$2:INDEX(Salario!$A:$A,ROWS(Salario!$A:$A)),Salario!$A$2:INDEX(Salario!$A:$A,ROWS(Salario!$A:$A)),_xlfn.CONCAT("&lt;",$A37),Salario!$B$2:INDEX(Salario!$B:$B,ROWS(Salario!$B:$B)),_xlfn.CONCAT("=",$B37))</f>
        <v>45292</v>
      </c>
      <c r="D37" s="15" cm="1">
        <f t="array" aca="1" ref="D37" ca="1">_xlfn.XLOOKUP($C37&amp;$B37,Salario!$A:$A&amp;Salario!$B:$B,Salario!$C:$C)*Política!$C$2</f>
        <v>90000</v>
      </c>
      <c r="E37" s="15">
        <f ca="1">($D37/Política!$C$2)*(1-Política!$C$2)</f>
        <v>1710000</v>
      </c>
      <c r="F37" s="15">
        <f ca="1">SUMIF($B$2:$B37,_xlfn.CONCAT("=",$B37),$D$2:$D37)</f>
        <v>360000</v>
      </c>
    </row>
    <row r="38" spans="1:6">
      <c r="A38" s="8">
        <v>45395</v>
      </c>
      <c r="B38" s="7">
        <v>7</v>
      </c>
      <c r="C38" s="14">
        <f ca="1">_xlfn.MAXIFS(Salario!$A$2:INDEX(Salario!$A:$A,ROWS(Salario!$A:$A)),Salario!$A$2:INDEX(Salario!$A:$A,ROWS(Salario!$A:$A)),_xlfn.CONCAT("&lt;",$A38),Salario!$B$2:INDEX(Salario!$B:$B,ROWS(Salario!$B:$B)),_xlfn.CONCAT("=",$B38))</f>
        <v>45292</v>
      </c>
      <c r="D38" s="15" cm="1">
        <f t="array" aca="1" ref="D38" ca="1">_xlfn.XLOOKUP($C38&amp;$B38,Salario!$A:$A&amp;Salario!$B:$B,Salario!$C:$C)*Política!$C$2</f>
        <v>60000</v>
      </c>
      <c r="E38" s="15">
        <f ca="1">($D38/Política!$C$2)*(1-Política!$C$2)</f>
        <v>1140000</v>
      </c>
      <c r="F38" s="15">
        <f ca="1">SUMIF($B$2:$B38,_xlfn.CONCAT("=",$B38),$D$2:$D38)</f>
        <v>240000</v>
      </c>
    </row>
    <row r="39" spans="1:6">
      <c r="A39" s="8">
        <v>45395</v>
      </c>
      <c r="B39" s="7">
        <v>8</v>
      </c>
      <c r="C39" s="14">
        <f ca="1">_xlfn.MAXIFS(Salario!$A$2:INDEX(Salario!$A:$A,ROWS(Salario!$A:$A)),Salario!$A$2:INDEX(Salario!$A:$A,ROWS(Salario!$A:$A)),_xlfn.CONCAT("&lt;",$A39),Salario!$B$2:INDEX(Salario!$B:$B,ROWS(Salario!$B:$B)),_xlfn.CONCAT("=",$B39))</f>
        <v>45292</v>
      </c>
      <c r="D39" s="15" cm="1">
        <f t="array" aca="1" ref="D39" ca="1">_xlfn.XLOOKUP($C39&amp;$B39,Salario!$A:$A&amp;Salario!$B:$B,Salario!$C:$C)*Política!$C$2</f>
        <v>125000</v>
      </c>
      <c r="E39" s="15">
        <f ca="1">($D39/Política!$C$2)*(1-Política!$C$2)</f>
        <v>2375000</v>
      </c>
      <c r="F39" s="15">
        <f ca="1">SUMIF($B$2:$B39,_xlfn.CONCAT("=",$B39),$D$2:$D39)</f>
        <v>500000</v>
      </c>
    </row>
    <row r="40" spans="1:6">
      <c r="A40" s="8">
        <v>45395</v>
      </c>
      <c r="B40" s="7">
        <v>9</v>
      </c>
      <c r="C40" s="14">
        <f ca="1">_xlfn.MAXIFS(Salario!$A$2:INDEX(Salario!$A:$A,ROWS(Salario!$A:$A)),Salario!$A$2:INDEX(Salario!$A:$A,ROWS(Salario!$A:$A)),_xlfn.CONCAT("&lt;",$A40),Salario!$B$2:INDEX(Salario!$B:$B,ROWS(Salario!$B:$B)),_xlfn.CONCAT("=",$B40))</f>
        <v>45292</v>
      </c>
      <c r="D40" s="15" cm="1">
        <f t="array" aca="1" ref="D40" ca="1">_xlfn.XLOOKUP($C40&amp;$B40,Salario!$A:$A&amp;Salario!$B:$B,Salario!$C:$C)*Política!$C$2</f>
        <v>75000</v>
      </c>
      <c r="E40" s="15">
        <f ca="1">($D40/Política!$C$2)*(1-Política!$C$2)</f>
        <v>1425000</v>
      </c>
      <c r="F40" s="15">
        <f ca="1">SUMIF($B$2:$B40,_xlfn.CONCAT("=",$B40),$D$2:$D40)</f>
        <v>300000</v>
      </c>
    </row>
    <row r="41" spans="1:6">
      <c r="A41" s="8">
        <v>45395</v>
      </c>
      <c r="B41" s="7">
        <v>10</v>
      </c>
      <c r="C41" s="14">
        <f ca="1">_xlfn.MAXIFS(Salario!$A$2:INDEX(Salario!$A:$A,ROWS(Salario!$A:$A)),Salario!$A$2:INDEX(Salario!$A:$A,ROWS(Salario!$A:$A)),_xlfn.CONCAT("&lt;",$A41),Salario!$B$2:INDEX(Salario!$B:$B,ROWS(Salario!$B:$B)),_xlfn.CONCAT("=",$B41))</f>
        <v>45292</v>
      </c>
      <c r="D41" s="15" cm="1">
        <f t="array" aca="1" ref="D41" ca="1">_xlfn.XLOOKUP($C41&amp;$B41,Salario!$A:$A&amp;Salario!$B:$B,Salario!$C:$C)*Política!$C$2</f>
        <v>85000</v>
      </c>
      <c r="E41" s="15">
        <f ca="1">($D41/Política!$C$2)*(1-Política!$C$2)</f>
        <v>1615000</v>
      </c>
      <c r="F41" s="15">
        <f ca="1">SUMIF($B$2:$B41,_xlfn.CONCAT("=",$B41),$D$2:$D41)</f>
        <v>340000</v>
      </c>
    </row>
    <row r="42" spans="1:6">
      <c r="A42" s="8">
        <v>45425</v>
      </c>
      <c r="B42" s="7">
        <v>1</v>
      </c>
      <c r="C42" s="14">
        <f ca="1">_xlfn.MAXIFS(Salario!$A$2:INDEX(Salario!$A:$A,ROWS(Salario!$A:$A)),Salario!$A$2:INDEX(Salario!$A:$A,ROWS(Salario!$A:$A)),_xlfn.CONCAT("&lt;",$A42),Salario!$B$2:INDEX(Salario!$B:$B,ROWS(Salario!$B:$B)),_xlfn.CONCAT("=",$B42))</f>
        <v>45292</v>
      </c>
      <c r="D42" s="15" cm="1">
        <f t="array" aca="1" ref="D42" ca="1">_xlfn.XLOOKUP($C42&amp;$B42,Salario!$A:$A&amp;Salario!$B:$B,Salario!$C:$C)*Política!$C$2</f>
        <v>100000</v>
      </c>
      <c r="E42" s="15">
        <f ca="1">($D42/Política!$C$2)*(1-Política!$C$2)</f>
        <v>1900000</v>
      </c>
      <c r="F42" s="15">
        <f ca="1">SUMIF($B$2:$B42,_xlfn.CONCAT("=",$B42),$D$2:$D42)</f>
        <v>500000</v>
      </c>
    </row>
    <row r="43" spans="1:6">
      <c r="A43" s="8">
        <v>45426</v>
      </c>
      <c r="B43" s="7">
        <v>2</v>
      </c>
      <c r="C43" s="14">
        <f ca="1">_xlfn.MAXIFS(Salario!$A$2:INDEX(Salario!$A:$A,ROWS(Salario!$A:$A)),Salario!$A$2:INDEX(Salario!$A:$A,ROWS(Salario!$A:$A)),_xlfn.CONCAT("&lt;",$A43),Salario!$B$2:INDEX(Salario!$B:$B,ROWS(Salario!$B:$B)),_xlfn.CONCAT("=",$B43))</f>
        <v>45292</v>
      </c>
      <c r="D43" s="15" cm="1">
        <f t="array" aca="1" ref="D43" ca="1">_xlfn.XLOOKUP($C43&amp;$B43,Salario!$A:$A&amp;Salario!$B:$B,Salario!$C:$C)*Política!$C$2</f>
        <v>85000</v>
      </c>
      <c r="E43" s="15">
        <f ca="1">($D43/Política!$C$2)*(1-Política!$C$2)</f>
        <v>1615000</v>
      </c>
      <c r="F43" s="15">
        <f ca="1">SUMIF($B$2:$B43,_xlfn.CONCAT("=",$B43),$D$2:$D43)</f>
        <v>425000</v>
      </c>
    </row>
    <row r="44" spans="1:6">
      <c r="A44" s="8">
        <v>45427</v>
      </c>
      <c r="B44" s="7">
        <v>3</v>
      </c>
      <c r="C44" s="14">
        <f ca="1">_xlfn.MAXIFS(Salario!$A$2:INDEX(Salario!$A:$A,ROWS(Salario!$A:$A)),Salario!$A$2:INDEX(Salario!$A:$A,ROWS(Salario!$A:$A)),_xlfn.CONCAT("&lt;",$A44),Salario!$B$2:INDEX(Salario!$B:$B,ROWS(Salario!$B:$B)),_xlfn.CONCAT("=",$B44))</f>
        <v>45292</v>
      </c>
      <c r="D44" s="15" cm="1">
        <f t="array" aca="1" ref="D44" ca="1">_xlfn.XLOOKUP($C44&amp;$B44,Salario!$A:$A&amp;Salario!$B:$B,Salario!$C:$C)*Política!$C$2</f>
        <v>65000</v>
      </c>
      <c r="E44" s="15">
        <f ca="1">($D44/Política!$C$2)*(1-Política!$C$2)</f>
        <v>1235000</v>
      </c>
      <c r="F44" s="15">
        <f ca="1">SUMIF($B$2:$B44,_xlfn.CONCAT("=",$B44),$D$2:$D44)</f>
        <v>325000</v>
      </c>
    </row>
    <row r="45" spans="1:6">
      <c r="A45" s="8">
        <v>45428</v>
      </c>
      <c r="B45" s="7">
        <v>4</v>
      </c>
      <c r="C45" s="14">
        <f ca="1">_xlfn.MAXIFS(Salario!$A$2:INDEX(Salario!$A:$A,ROWS(Salario!$A:$A)),Salario!$A$2:INDEX(Salario!$A:$A,ROWS(Salario!$A:$A)),_xlfn.CONCAT("&lt;",$A45),Salario!$B$2:INDEX(Salario!$B:$B,ROWS(Salario!$B:$B)),_xlfn.CONCAT("=",$B45))</f>
        <v>45292</v>
      </c>
      <c r="D45" s="15" cm="1">
        <f t="array" aca="1" ref="D45" ca="1">_xlfn.XLOOKUP($C45&amp;$B45,Salario!$A:$A&amp;Salario!$B:$B,Salario!$C:$C)*Política!$C$2</f>
        <v>125000</v>
      </c>
      <c r="E45" s="15">
        <f ca="1">($D45/Política!$C$2)*(1-Política!$C$2)</f>
        <v>2375000</v>
      </c>
      <c r="F45" s="15">
        <f ca="1">SUMIF($B$2:$B45,_xlfn.CONCAT("=",$B45),$D$2:$D45)</f>
        <v>625000</v>
      </c>
    </row>
    <row r="46" spans="1:6">
      <c r="A46" s="8">
        <v>45429</v>
      </c>
      <c r="B46" s="7">
        <v>5</v>
      </c>
      <c r="C46" s="14">
        <f ca="1">_xlfn.MAXIFS(Salario!$A$2:INDEX(Salario!$A:$A,ROWS(Salario!$A:$A)),Salario!$A$2:INDEX(Salario!$A:$A,ROWS(Salario!$A:$A)),_xlfn.CONCAT("&lt;",$A46),Salario!$B$2:INDEX(Salario!$B:$B,ROWS(Salario!$B:$B)),_xlfn.CONCAT("=",$B46))</f>
        <v>45292</v>
      </c>
      <c r="D46" s="15" cm="1">
        <f t="array" aca="1" ref="D46" ca="1">_xlfn.XLOOKUP($C46&amp;$B46,Salario!$A:$A&amp;Salario!$B:$B,Salario!$C:$C)*Política!$C$2</f>
        <v>115000</v>
      </c>
      <c r="E46" s="15">
        <f ca="1">($D46/Política!$C$2)*(1-Política!$C$2)</f>
        <v>2185000</v>
      </c>
      <c r="F46" s="15">
        <f ca="1">SUMIF($B$2:$B46,_xlfn.CONCAT("=",$B46),$D$2:$D46)</f>
        <v>575000</v>
      </c>
    </row>
    <row r="47" spans="1:6">
      <c r="A47" s="8">
        <v>45430</v>
      </c>
      <c r="B47" s="7">
        <v>6</v>
      </c>
      <c r="C47" s="14">
        <f ca="1">_xlfn.MAXIFS(Salario!$A$2:INDEX(Salario!$A:$A,ROWS(Salario!$A:$A)),Salario!$A$2:INDEX(Salario!$A:$A,ROWS(Salario!$A:$A)),_xlfn.CONCAT("&lt;",$A47),Salario!$B$2:INDEX(Salario!$B:$B,ROWS(Salario!$B:$B)),_xlfn.CONCAT("=",$B47))</f>
        <v>45292</v>
      </c>
      <c r="D47" s="15" cm="1">
        <f t="array" aca="1" ref="D47" ca="1">_xlfn.XLOOKUP($C47&amp;$B47,Salario!$A:$A&amp;Salario!$B:$B,Salario!$C:$C)*Política!$C$2</f>
        <v>90000</v>
      </c>
      <c r="E47" s="15">
        <f ca="1">($D47/Política!$C$2)*(1-Política!$C$2)</f>
        <v>1710000</v>
      </c>
      <c r="F47" s="15">
        <f ca="1">SUMIF($B$2:$B47,_xlfn.CONCAT("=",$B47),$D$2:$D47)</f>
        <v>450000</v>
      </c>
    </row>
    <row r="48" spans="1:6">
      <c r="A48" s="8">
        <v>45431</v>
      </c>
      <c r="B48" s="7">
        <v>7</v>
      </c>
      <c r="C48" s="14">
        <f ca="1">_xlfn.MAXIFS(Salario!$A$2:INDEX(Salario!$A:$A,ROWS(Salario!$A:$A)),Salario!$A$2:INDEX(Salario!$A:$A,ROWS(Salario!$A:$A)),_xlfn.CONCAT("&lt;",$A48),Salario!$B$2:INDEX(Salario!$B:$B,ROWS(Salario!$B:$B)),_xlfn.CONCAT("=",$B48))</f>
        <v>45292</v>
      </c>
      <c r="D48" s="15" cm="1">
        <f t="array" aca="1" ref="D48" ca="1">_xlfn.XLOOKUP($C48&amp;$B48,Salario!$A:$A&amp;Salario!$B:$B,Salario!$C:$C)*Política!$C$2</f>
        <v>60000</v>
      </c>
      <c r="E48" s="15">
        <f ca="1">($D48/Política!$C$2)*(1-Política!$C$2)</f>
        <v>1140000</v>
      </c>
      <c r="F48" s="15">
        <f ca="1">SUMIF($B$2:$B48,_xlfn.CONCAT("=",$B48),$D$2:$D48)</f>
        <v>300000</v>
      </c>
    </row>
    <row r="49" spans="1:6">
      <c r="A49" s="8">
        <v>45432</v>
      </c>
      <c r="B49" s="7">
        <v>8</v>
      </c>
      <c r="C49" s="14">
        <f ca="1">_xlfn.MAXIFS(Salario!$A$2:INDEX(Salario!$A:$A,ROWS(Salario!$A:$A)),Salario!$A$2:INDEX(Salario!$A:$A,ROWS(Salario!$A:$A)),_xlfn.CONCAT("&lt;",$A49),Salario!$B$2:INDEX(Salario!$B:$B,ROWS(Salario!$B:$B)),_xlfn.CONCAT("=",$B49))</f>
        <v>45292</v>
      </c>
      <c r="D49" s="15" cm="1">
        <f t="array" aca="1" ref="D49" ca="1">_xlfn.XLOOKUP($C49&amp;$B49,Salario!$A:$A&amp;Salario!$B:$B,Salario!$C:$C)*Política!$C$2</f>
        <v>125000</v>
      </c>
      <c r="E49" s="15">
        <f ca="1">($D49/Política!$C$2)*(1-Política!$C$2)</f>
        <v>2375000</v>
      </c>
      <c r="F49" s="15">
        <f ca="1">SUMIF($B$2:$B49,_xlfn.CONCAT("=",$B49),$D$2:$D49)</f>
        <v>625000</v>
      </c>
    </row>
    <row r="50" spans="1:6">
      <c r="A50" s="8">
        <v>45433</v>
      </c>
      <c r="B50" s="7">
        <v>9</v>
      </c>
      <c r="C50" s="14">
        <f ca="1">_xlfn.MAXIFS(Salario!$A$2:INDEX(Salario!$A:$A,ROWS(Salario!$A:$A)),Salario!$A$2:INDEX(Salario!$A:$A,ROWS(Salario!$A:$A)),_xlfn.CONCAT("&lt;",$A50),Salario!$B$2:INDEX(Salario!$B:$B,ROWS(Salario!$B:$B)),_xlfn.CONCAT("=",$B50))</f>
        <v>45292</v>
      </c>
      <c r="D50" s="15" cm="1">
        <f t="array" aca="1" ref="D50" ca="1">_xlfn.XLOOKUP($C50&amp;$B50,Salario!$A:$A&amp;Salario!$B:$B,Salario!$C:$C)*Política!$C$2</f>
        <v>75000</v>
      </c>
      <c r="E50" s="15">
        <f ca="1">($D50/Política!$C$2)*(1-Política!$C$2)</f>
        <v>1425000</v>
      </c>
      <c r="F50" s="15">
        <f ca="1">SUMIF($B$2:$B50,_xlfn.CONCAT("=",$B50),$D$2:$D50)</f>
        <v>375000</v>
      </c>
    </row>
    <row r="51" spans="1:6">
      <c r="A51" s="8">
        <v>45434</v>
      </c>
      <c r="B51" s="7">
        <v>10</v>
      </c>
      <c r="C51" s="14">
        <f ca="1">_xlfn.MAXIFS(Salario!$A$2:INDEX(Salario!$A:$A,ROWS(Salario!$A:$A)),Salario!$A$2:INDEX(Salario!$A:$A,ROWS(Salario!$A:$A)),_xlfn.CONCAT("&lt;",$A51),Salario!$B$2:INDEX(Salario!$B:$B,ROWS(Salario!$B:$B)),_xlfn.CONCAT("=",$B51))</f>
        <v>45292</v>
      </c>
      <c r="D51" s="15" cm="1">
        <f t="array" aca="1" ref="D51" ca="1">_xlfn.XLOOKUP($C51&amp;$B51,Salario!$A:$A&amp;Salario!$B:$B,Salario!$C:$C)*Política!$C$2</f>
        <v>85000</v>
      </c>
      <c r="E51" s="15">
        <f ca="1">($D51/Política!$C$2)*(1-Política!$C$2)</f>
        <v>1615000</v>
      </c>
      <c r="F51" s="15">
        <f ca="1">SUMIF($B$2:$B51,_xlfn.CONCAT("=",$B51),$D$2:$D51)</f>
        <v>425000</v>
      </c>
    </row>
    <row r="52" spans="1:6">
      <c r="A52" s="8">
        <v>45435</v>
      </c>
      <c r="B52" s="7">
        <v>3</v>
      </c>
      <c r="C52" s="14">
        <f ca="1">_xlfn.MAXIFS(Salario!$A$2:INDEX(Salario!$A:$A,ROWS(Salario!$A:$A)),Salario!$A$2:INDEX(Salario!$A:$A,ROWS(Salario!$A:$A)),_xlfn.CONCAT("&lt;",$A52),Salario!$B$2:INDEX(Salario!$B:$B,ROWS(Salario!$B:$B)),_xlfn.CONCAT("=",$B52))</f>
        <v>45292</v>
      </c>
      <c r="D52" s="15" cm="1">
        <f t="array" aca="1" ref="D52" ca="1">_xlfn.XLOOKUP($C52&amp;$B52,Salario!$A:$A&amp;Salario!$B:$B,Salario!$C:$C)*Política!$C$2</f>
        <v>65000</v>
      </c>
      <c r="E52" s="15">
        <f ca="1">($D52/Política!$C$2)*(1-Política!$C$2)</f>
        <v>1235000</v>
      </c>
      <c r="F52" s="15">
        <f ca="1">SUMIF($B$2:$B52,_xlfn.CONCAT("=",$B52),$D$2:$D52)</f>
        <v>390000</v>
      </c>
    </row>
    <row r="53" spans="1:6">
      <c r="A53" s="7"/>
      <c r="B53" s="7"/>
      <c r="C53" s="14">
        <f ca="1">_xlfn.MAXIFS(Salario!$A$2:INDEX(Salario!$A:$A,ROWS(Salario!$A:$A)),Salario!$A$2:INDEX(Salario!$A:$A,ROWS(Salario!$A:$A)),_xlfn.CONCAT("&lt;",$A53),Salario!$B$2:INDEX(Salario!$B:$B,ROWS(Salario!$B:$B)),_xlfn.CONCAT("=",$B53))</f>
        <v>0</v>
      </c>
      <c r="D53" s="15" t="e" cm="1">
        <f t="array" aca="1" ref="D53" ca="1">_xlfn.XLOOKUP($C53&amp;$B53,Salario!$A:$A&amp;Salario!$B:$B,Salario!$C:$C)*Política!$C$2</f>
        <v>#N/A</v>
      </c>
      <c r="E53" s="15" t="e">
        <f ca="1">($D53/Política!$C$2)*(1-Política!$C$2)</f>
        <v>#N/A</v>
      </c>
      <c r="F53" s="15" t="e">
        <f ca="1">SUMIF($B$2:$B53,_xlfn.CONCAT("=",$B53),$D$2:$D53)</f>
        <v>#N/A</v>
      </c>
    </row>
    <row r="54" spans="1:6">
      <c r="A54" s="7"/>
      <c r="B54" s="7"/>
      <c r="C54" s="14">
        <f ca="1">_xlfn.MAXIFS(Salario!$A$2:INDEX(Salario!$A:$A,ROWS(Salario!$A:$A)),Salario!$A$2:INDEX(Salario!$A:$A,ROWS(Salario!$A:$A)),_xlfn.CONCAT("&lt;",$A54),Salario!$B$2:INDEX(Salario!$B:$B,ROWS(Salario!$B:$B)),_xlfn.CONCAT("=",$B54))</f>
        <v>0</v>
      </c>
      <c r="D54" s="15" t="e" cm="1">
        <f t="array" aca="1" ref="D54" ca="1">_xlfn.XLOOKUP($C54&amp;$B54,Salario!$A:$A&amp;Salario!$B:$B,Salario!$C:$C)*Política!$C$2</f>
        <v>#N/A</v>
      </c>
      <c r="E54" s="15" t="e">
        <f ca="1">($D54/Política!$C$2)*(1-Política!$C$2)</f>
        <v>#N/A</v>
      </c>
      <c r="F54" s="15" t="e">
        <f ca="1">SUMIF($B$2:$B54,_xlfn.CONCAT("=",$B54),$D$2:$D54)</f>
        <v>#N/A</v>
      </c>
    </row>
    <row r="55" spans="1:6">
      <c r="A55" s="7"/>
      <c r="B55" s="7"/>
      <c r="C55" s="14">
        <f ca="1">_xlfn.MAXIFS(Salario!$A$2:INDEX(Salario!$A:$A,ROWS(Salario!$A:$A)),Salario!$A$2:INDEX(Salario!$A:$A,ROWS(Salario!$A:$A)),_xlfn.CONCAT("&lt;",$A55),Salario!$B$2:INDEX(Salario!$B:$B,ROWS(Salario!$B:$B)),_xlfn.CONCAT("=",$B55))</f>
        <v>0</v>
      </c>
      <c r="D55" s="15" t="e" cm="1">
        <f t="array" aca="1" ref="D55" ca="1">_xlfn.XLOOKUP($C55&amp;$B55,Salario!$A:$A&amp;Salario!$B:$B,Salario!$C:$C)*Política!$C$2</f>
        <v>#N/A</v>
      </c>
      <c r="E55" s="15" t="e">
        <f ca="1">($D55/Política!$C$2)*(1-Política!$C$2)</f>
        <v>#N/A</v>
      </c>
      <c r="F55" s="15" t="e">
        <f ca="1">SUMIF($B$2:$B55,_xlfn.CONCAT("=",$B55),$D$2:$D55)</f>
        <v>#N/A</v>
      </c>
    </row>
    <row r="56" spans="1:6">
      <c r="A56" s="7"/>
      <c r="B56" s="7"/>
      <c r="C56" s="14">
        <f ca="1">_xlfn.MAXIFS(Salario!$A$2:INDEX(Salario!$A:$A,ROWS(Salario!$A:$A)),Salario!$A$2:INDEX(Salario!$A:$A,ROWS(Salario!$A:$A)),_xlfn.CONCAT("&lt;",$A56),Salario!$B$2:INDEX(Salario!$B:$B,ROWS(Salario!$B:$B)),_xlfn.CONCAT("=",$B56))</f>
        <v>0</v>
      </c>
      <c r="D56" s="15" t="e" cm="1">
        <f t="array" aca="1" ref="D56" ca="1">_xlfn.XLOOKUP($C56&amp;$B56,Salario!$A:$A&amp;Salario!$B:$B,Salario!$C:$C)*Política!$C$2</f>
        <v>#N/A</v>
      </c>
      <c r="E56" s="15" t="e">
        <f ca="1">($D56/Política!$C$2)*(1-Política!$C$2)</f>
        <v>#N/A</v>
      </c>
      <c r="F56" s="15" t="e">
        <f ca="1">SUMIF($B$2:$B56,_xlfn.CONCAT("=",$B56),$D$2:$D56)</f>
        <v>#N/A</v>
      </c>
    </row>
    <row r="57" spans="1:6">
      <c r="A57" s="7"/>
      <c r="B57" s="7"/>
      <c r="C57" s="14">
        <f ca="1">_xlfn.MAXIFS(Salario!$A$2:INDEX(Salario!$A:$A,ROWS(Salario!$A:$A)),Salario!$A$2:INDEX(Salario!$A:$A,ROWS(Salario!$A:$A)),_xlfn.CONCAT("&lt;",$A57),Salario!$B$2:INDEX(Salario!$B:$B,ROWS(Salario!$B:$B)),_xlfn.CONCAT("=",$B57))</f>
        <v>0</v>
      </c>
      <c r="D57" s="15" t="e" cm="1">
        <f t="array" aca="1" ref="D57" ca="1">_xlfn.XLOOKUP($C57&amp;$B57,Salario!$A:$A&amp;Salario!$B:$B,Salario!$C:$C)*Política!$C$2</f>
        <v>#N/A</v>
      </c>
      <c r="E57" s="15" t="e">
        <f ca="1">($D57/Política!$C$2)*(1-Política!$C$2)</f>
        <v>#N/A</v>
      </c>
      <c r="F57" s="15" t="e">
        <f ca="1">SUMIF($B$2:$B57,_xlfn.CONCAT("=",$B57),$D$2:$D57)</f>
        <v>#N/A</v>
      </c>
    </row>
    <row r="58" spans="1:6">
      <c r="A58" s="7"/>
      <c r="B58" s="7"/>
      <c r="C58" s="14">
        <f ca="1">_xlfn.MAXIFS(Salario!$A$2:INDEX(Salario!$A:$A,ROWS(Salario!$A:$A)),Salario!$A$2:INDEX(Salario!$A:$A,ROWS(Salario!$A:$A)),_xlfn.CONCAT("&lt;",$A58),Salario!$B$2:INDEX(Salario!$B:$B,ROWS(Salario!$B:$B)),_xlfn.CONCAT("=",$B58))</f>
        <v>0</v>
      </c>
      <c r="D58" s="15" t="e" cm="1">
        <f t="array" aca="1" ref="D58" ca="1">_xlfn.XLOOKUP($C58&amp;$B58,Salario!$A:$A&amp;Salario!$B:$B,Salario!$C:$C)*Política!$C$2</f>
        <v>#N/A</v>
      </c>
      <c r="E58" s="15" t="e">
        <f ca="1">($D58/Política!$C$2)*(1-Política!$C$2)</f>
        <v>#N/A</v>
      </c>
      <c r="F58" s="15" t="e">
        <f ca="1">SUMIF($B$2:$B58,_xlfn.CONCAT("=",$B58),$D$2:$D58)</f>
        <v>#N/A</v>
      </c>
    </row>
    <row r="59" spans="1:6">
      <c r="A59" s="7"/>
      <c r="B59" s="7"/>
      <c r="C59" s="14">
        <f ca="1">_xlfn.MAXIFS(Salario!$A$2:INDEX(Salario!$A:$A,ROWS(Salario!$A:$A)),Salario!$A$2:INDEX(Salario!$A:$A,ROWS(Salario!$A:$A)),_xlfn.CONCAT("&lt;",$A59),Salario!$B$2:INDEX(Salario!$B:$B,ROWS(Salario!$B:$B)),_xlfn.CONCAT("=",$B59))</f>
        <v>0</v>
      </c>
      <c r="D59" s="15" t="e" cm="1">
        <f t="array" aca="1" ref="D59" ca="1">_xlfn.XLOOKUP($C59&amp;$B59,Salario!$A:$A&amp;Salario!$B:$B,Salario!$C:$C)*Política!$C$2</f>
        <v>#N/A</v>
      </c>
      <c r="E59" s="15" t="e">
        <f ca="1">($D59/Política!$C$2)*(1-Política!$C$2)</f>
        <v>#N/A</v>
      </c>
      <c r="F59" s="15" t="e">
        <f ca="1">SUMIF($B$2:$B59,_xlfn.CONCAT("=",$B59),$D$2:$D59)</f>
        <v>#N/A</v>
      </c>
    </row>
    <row r="60" spans="1:6">
      <c r="A60" s="7"/>
      <c r="B60" s="7"/>
      <c r="C60" s="14">
        <f ca="1">_xlfn.MAXIFS(Salario!$A$2:INDEX(Salario!$A:$A,ROWS(Salario!$A:$A)),Salario!$A$2:INDEX(Salario!$A:$A,ROWS(Salario!$A:$A)),_xlfn.CONCAT("&lt;",$A60),Salario!$B$2:INDEX(Salario!$B:$B,ROWS(Salario!$B:$B)),_xlfn.CONCAT("=",$B60))</f>
        <v>0</v>
      </c>
      <c r="D60" s="15" t="e" cm="1">
        <f t="array" aca="1" ref="D60" ca="1">_xlfn.XLOOKUP($C60&amp;$B60,Salario!$A:$A&amp;Salario!$B:$B,Salario!$C:$C)*Política!$C$2</f>
        <v>#N/A</v>
      </c>
      <c r="E60" s="15" t="e">
        <f ca="1">($D60/Política!$C$2)*(1-Política!$C$2)</f>
        <v>#N/A</v>
      </c>
      <c r="F60" s="15" t="e">
        <f ca="1">SUMIF($B$2:$B60,_xlfn.CONCAT("=",$B60),$D$2:$D60)</f>
        <v>#N/A</v>
      </c>
    </row>
    <row r="61" spans="1:6">
      <c r="A61" s="7"/>
      <c r="B61" s="7"/>
      <c r="C61" s="14">
        <f ca="1">_xlfn.MAXIFS(Salario!$A$2:INDEX(Salario!$A:$A,ROWS(Salario!$A:$A)),Salario!$A$2:INDEX(Salario!$A:$A,ROWS(Salario!$A:$A)),_xlfn.CONCAT("&lt;",$A61),Salario!$B$2:INDEX(Salario!$B:$B,ROWS(Salario!$B:$B)),_xlfn.CONCAT("=",$B61))</f>
        <v>0</v>
      </c>
      <c r="D61" s="15" t="e" cm="1">
        <f t="array" aca="1" ref="D61" ca="1">_xlfn.XLOOKUP($C61&amp;$B61,Salario!$A:$A&amp;Salario!$B:$B,Salario!$C:$C)*Política!$C$2</f>
        <v>#N/A</v>
      </c>
      <c r="E61" s="15" t="e">
        <f ca="1">($D61/Política!$C$2)*(1-Política!$C$2)</f>
        <v>#N/A</v>
      </c>
      <c r="F61" s="15" t="e">
        <f ca="1">SUMIF($B$2:$B61,_xlfn.CONCAT("=",$B61),$D$2:$D61)</f>
        <v>#N/A</v>
      </c>
    </row>
    <row r="62" spans="1:6">
      <c r="A62" s="7"/>
      <c r="B62" s="7"/>
      <c r="C62" s="14">
        <f ca="1">_xlfn.MAXIFS(Salario!$A$2:INDEX(Salario!$A:$A,ROWS(Salario!$A:$A)),Salario!$A$2:INDEX(Salario!$A:$A,ROWS(Salario!$A:$A)),_xlfn.CONCAT("&lt;",$A62),Salario!$B$2:INDEX(Salario!$B:$B,ROWS(Salario!$B:$B)),_xlfn.CONCAT("=",$B62))</f>
        <v>0</v>
      </c>
      <c r="D62" s="15" t="e" cm="1">
        <f t="array" aca="1" ref="D62" ca="1">_xlfn.XLOOKUP($C62&amp;$B62,Salario!$A:$A&amp;Salario!$B:$B,Salario!$C:$C)*Política!$C$2</f>
        <v>#N/A</v>
      </c>
      <c r="E62" s="15" t="e">
        <f ca="1">($D62/Política!$C$2)*(1-Política!$C$2)</f>
        <v>#N/A</v>
      </c>
      <c r="F62" s="15" t="e">
        <f ca="1">SUMIF($B$2:$B62,_xlfn.CONCAT("=",$B62),$D$2:$D62)</f>
        <v>#N/A</v>
      </c>
    </row>
    <row r="63" spans="1:6">
      <c r="A63" s="7"/>
      <c r="B63" s="7"/>
      <c r="C63" s="14">
        <f ca="1">_xlfn.MAXIFS(Salario!$A$2:INDEX(Salario!$A:$A,ROWS(Salario!$A:$A)),Salario!$A$2:INDEX(Salario!$A:$A,ROWS(Salario!$A:$A)),_xlfn.CONCAT("&lt;",$A63),Salario!$B$2:INDEX(Salario!$B:$B,ROWS(Salario!$B:$B)),_xlfn.CONCAT("=",$B63))</f>
        <v>0</v>
      </c>
      <c r="D63" s="15" t="e" cm="1">
        <f t="array" aca="1" ref="D63" ca="1">_xlfn.XLOOKUP($C63&amp;$B63,Salario!$A:$A&amp;Salario!$B:$B,Salario!$C:$C)*Política!$C$2</f>
        <v>#N/A</v>
      </c>
      <c r="E63" s="15" t="e">
        <f ca="1">($D63/Política!$C$2)*(1-Política!$C$2)</f>
        <v>#N/A</v>
      </c>
      <c r="F63" s="15" t="e">
        <f ca="1">SUMIF($B$2:$B63,_xlfn.CONCAT("=",$B63),$D$2:$D63)</f>
        <v>#N/A</v>
      </c>
    </row>
    <row r="64" spans="1:6">
      <c r="A64" s="7"/>
      <c r="B64" s="7"/>
      <c r="C64" s="14">
        <f ca="1">_xlfn.MAXIFS(Salario!$A$2:INDEX(Salario!$A:$A,ROWS(Salario!$A:$A)),Salario!$A$2:INDEX(Salario!$A:$A,ROWS(Salario!$A:$A)),_xlfn.CONCAT("&lt;",$A64),Salario!$B$2:INDEX(Salario!$B:$B,ROWS(Salario!$B:$B)),_xlfn.CONCAT("=",$B64))</f>
        <v>0</v>
      </c>
      <c r="D64" s="15" t="e" cm="1">
        <f t="array" aca="1" ref="D64" ca="1">_xlfn.XLOOKUP($C64&amp;$B64,Salario!$A:$A&amp;Salario!$B:$B,Salario!$C:$C)*Política!$C$2</f>
        <v>#N/A</v>
      </c>
      <c r="E64" s="15" t="e">
        <f ca="1">($D64/Política!$C$2)*(1-Política!$C$2)</f>
        <v>#N/A</v>
      </c>
      <c r="F64" s="15" t="e">
        <f ca="1">SUMIF($B$2:$B64,_xlfn.CONCAT("=",$B64),$D$2:$D64)</f>
        <v>#N/A</v>
      </c>
    </row>
    <row r="65" spans="1:6">
      <c r="A65" s="7"/>
      <c r="B65" s="7"/>
      <c r="C65" s="14">
        <f ca="1">_xlfn.MAXIFS(Salario!$A$2:INDEX(Salario!$A:$A,ROWS(Salario!$A:$A)),Salario!$A$2:INDEX(Salario!$A:$A,ROWS(Salario!$A:$A)),_xlfn.CONCAT("&lt;",$A65),Salario!$B$2:INDEX(Salario!$B:$B,ROWS(Salario!$B:$B)),_xlfn.CONCAT("=",$B65))</f>
        <v>0</v>
      </c>
      <c r="D65" s="15" t="e" cm="1">
        <f t="array" aca="1" ref="D65" ca="1">_xlfn.XLOOKUP($C65&amp;$B65,Salario!$A:$A&amp;Salario!$B:$B,Salario!$C:$C)*Política!$C$2</f>
        <v>#N/A</v>
      </c>
      <c r="E65" s="15" t="e">
        <f ca="1">($D65/Política!$C$2)*(1-Política!$C$2)</f>
        <v>#N/A</v>
      </c>
      <c r="F65" s="15" t="e">
        <f ca="1">SUMIF($B$2:$B65,_xlfn.CONCAT("=",$B65),$D$2:$D65)</f>
        <v>#N/A</v>
      </c>
    </row>
    <row r="66" spans="1:6">
      <c r="A66" s="7"/>
      <c r="B66" s="7"/>
      <c r="C66" s="14">
        <f ca="1">_xlfn.MAXIFS(Salario!$A$2:INDEX(Salario!$A:$A,ROWS(Salario!$A:$A)),Salario!$A$2:INDEX(Salario!$A:$A,ROWS(Salario!$A:$A)),_xlfn.CONCAT("&lt;",$A66),Salario!$B$2:INDEX(Salario!$B:$B,ROWS(Salario!$B:$B)),_xlfn.CONCAT("=",$B66))</f>
        <v>0</v>
      </c>
      <c r="D66" s="15" t="e" cm="1">
        <f t="array" aca="1" ref="D66" ca="1">_xlfn.XLOOKUP($C66&amp;$B66,Salario!$A:$A&amp;Salario!$B:$B,Salario!$C:$C)*Política!$C$2</f>
        <v>#N/A</v>
      </c>
      <c r="E66" s="15" t="e">
        <f ca="1">($D66/Política!$C$2)*(1-Política!$C$2)</f>
        <v>#N/A</v>
      </c>
      <c r="F66" s="15" t="e">
        <f ca="1">SUMIF($B$2:$B66,_xlfn.CONCAT("=",$B66),$D$2:$D66)</f>
        <v>#N/A</v>
      </c>
    </row>
    <row r="67" spans="1:6">
      <c r="A67" s="7"/>
      <c r="B67" s="7"/>
      <c r="C67" s="14">
        <f ca="1">_xlfn.MAXIFS(Salario!$A$2:INDEX(Salario!$A:$A,ROWS(Salario!$A:$A)),Salario!$A$2:INDEX(Salario!$A:$A,ROWS(Salario!$A:$A)),_xlfn.CONCAT("&lt;",$A67),Salario!$B$2:INDEX(Salario!$B:$B,ROWS(Salario!$B:$B)),_xlfn.CONCAT("=",$B67))</f>
        <v>0</v>
      </c>
      <c r="D67" s="15" t="e" cm="1">
        <f t="array" aca="1" ref="D67" ca="1">_xlfn.XLOOKUP($C67&amp;$B67,Salario!$A:$A&amp;Salario!$B:$B,Salario!$C:$C)*Política!$C$2</f>
        <v>#N/A</v>
      </c>
      <c r="E67" s="15" t="e">
        <f ca="1">($D67/Política!$C$2)*(1-Política!$C$2)</f>
        <v>#N/A</v>
      </c>
      <c r="F67" s="15" t="e">
        <f ca="1">SUMIF($B$2:$B67,_xlfn.CONCAT("=",$B67),$D$2:$D67)</f>
        <v>#N/A</v>
      </c>
    </row>
    <row r="68" spans="1:6">
      <c r="A68" s="7"/>
      <c r="B68" s="7"/>
      <c r="C68" s="14">
        <f ca="1">_xlfn.MAXIFS(Salario!$A$2:INDEX(Salario!$A:$A,ROWS(Salario!$A:$A)),Salario!$A$2:INDEX(Salario!$A:$A,ROWS(Salario!$A:$A)),_xlfn.CONCAT("&lt;",$A68),Salario!$B$2:INDEX(Salario!$B:$B,ROWS(Salario!$B:$B)),_xlfn.CONCAT("=",$B68))</f>
        <v>0</v>
      </c>
      <c r="D68" s="15" t="e" cm="1">
        <f t="array" aca="1" ref="D68" ca="1">_xlfn.XLOOKUP($C68&amp;$B68,Salario!$A:$A&amp;Salario!$B:$B,Salario!$C:$C)*Política!$C$2</f>
        <v>#N/A</v>
      </c>
      <c r="E68" s="15" t="e">
        <f ca="1">($D68/Política!$C$2)*(1-Política!$C$2)</f>
        <v>#N/A</v>
      </c>
      <c r="F68" s="15" t="e">
        <f ca="1">SUMIF($B$2:$B68,_xlfn.CONCAT("=",$B68),$D$2:$D68)</f>
        <v>#N/A</v>
      </c>
    </row>
    <row r="69" spans="1:6">
      <c r="A69" s="7"/>
      <c r="B69" s="7"/>
      <c r="C69" s="14">
        <f ca="1">_xlfn.MAXIFS(Salario!$A$2:INDEX(Salario!$A:$A,ROWS(Salario!$A:$A)),Salario!$A$2:INDEX(Salario!$A:$A,ROWS(Salario!$A:$A)),_xlfn.CONCAT("&lt;",$A69),Salario!$B$2:INDEX(Salario!$B:$B,ROWS(Salario!$B:$B)),_xlfn.CONCAT("=",$B69))</f>
        <v>0</v>
      </c>
      <c r="D69" s="15" t="e" cm="1">
        <f t="array" aca="1" ref="D69" ca="1">_xlfn.XLOOKUP($C69&amp;$B69,Salario!$A:$A&amp;Salario!$B:$B,Salario!$C:$C)*Política!$C$2</f>
        <v>#N/A</v>
      </c>
      <c r="E69" s="15" t="e">
        <f ca="1">($D69/Política!$C$2)*(1-Política!$C$2)</f>
        <v>#N/A</v>
      </c>
      <c r="F69" s="15" t="e">
        <f ca="1">SUMIF($B$2:$B69,_xlfn.CONCAT("=",$B69),$D$2:$D69)</f>
        <v>#N/A</v>
      </c>
    </row>
    <row r="70" spans="1:6">
      <c r="A70" s="7"/>
      <c r="B70" s="7"/>
      <c r="C70" s="14">
        <f ca="1">_xlfn.MAXIFS(Salario!$A$2:INDEX(Salario!$A:$A,ROWS(Salario!$A:$A)),Salario!$A$2:INDEX(Salario!$A:$A,ROWS(Salario!$A:$A)),_xlfn.CONCAT("&lt;",$A70),Salario!$B$2:INDEX(Salario!$B:$B,ROWS(Salario!$B:$B)),_xlfn.CONCAT("=",$B70))</f>
        <v>0</v>
      </c>
      <c r="D70" s="15" t="e" cm="1">
        <f t="array" aca="1" ref="D70" ca="1">_xlfn.XLOOKUP($C70&amp;$B70,Salario!$A:$A&amp;Salario!$B:$B,Salario!$C:$C)*Política!$C$2</f>
        <v>#N/A</v>
      </c>
      <c r="E70" s="15" t="e">
        <f ca="1">($D70/Política!$C$2)*(1-Política!$C$2)</f>
        <v>#N/A</v>
      </c>
      <c r="F70" s="15" t="e">
        <f ca="1">SUMIF($B$2:$B70,_xlfn.CONCAT("=",$B70),$D$2:$D70)</f>
        <v>#N/A</v>
      </c>
    </row>
    <row r="71" spans="1:6">
      <c r="A71" s="7"/>
      <c r="B71" s="7"/>
      <c r="C71" s="14">
        <f ca="1">_xlfn.MAXIFS(Salario!$A$2:INDEX(Salario!$A:$A,ROWS(Salario!$A:$A)),Salario!$A$2:INDEX(Salario!$A:$A,ROWS(Salario!$A:$A)),_xlfn.CONCAT("&lt;",$A71),Salario!$B$2:INDEX(Salario!$B:$B,ROWS(Salario!$B:$B)),_xlfn.CONCAT("=",$B71))</f>
        <v>0</v>
      </c>
      <c r="D71" s="15" t="e" cm="1">
        <f t="array" aca="1" ref="D71" ca="1">_xlfn.XLOOKUP($C71&amp;$B71,Salario!$A:$A&amp;Salario!$B:$B,Salario!$C:$C)*Política!$C$2</f>
        <v>#N/A</v>
      </c>
      <c r="E71" s="15" t="e">
        <f ca="1">($D71/Política!$C$2)*(1-Política!$C$2)</f>
        <v>#N/A</v>
      </c>
      <c r="F71" s="15" t="e">
        <f ca="1">SUMIF($B$2:$B71,_xlfn.CONCAT("=",$B71),$D$2:$D71)</f>
        <v>#N/A</v>
      </c>
    </row>
    <row r="72" spans="1:6">
      <c r="A72" s="7"/>
      <c r="B72" s="7"/>
      <c r="C72" s="14">
        <f ca="1">_xlfn.MAXIFS(Salario!$A$2:INDEX(Salario!$A:$A,ROWS(Salario!$A:$A)),Salario!$A$2:INDEX(Salario!$A:$A,ROWS(Salario!$A:$A)),_xlfn.CONCAT("&lt;",$A72),Salario!$B$2:INDEX(Salario!$B:$B,ROWS(Salario!$B:$B)),_xlfn.CONCAT("=",$B72))</f>
        <v>0</v>
      </c>
      <c r="D72" s="15" t="e" cm="1">
        <f t="array" aca="1" ref="D72" ca="1">_xlfn.XLOOKUP($C72&amp;$B72,Salario!$A:$A&amp;Salario!$B:$B,Salario!$C:$C)*Política!$C$2</f>
        <v>#N/A</v>
      </c>
      <c r="E72" s="15" t="e">
        <f ca="1">($D72/Política!$C$2)*(1-Política!$C$2)</f>
        <v>#N/A</v>
      </c>
      <c r="F72" s="15" t="e">
        <f ca="1">SUMIF($B$2:$B72,_xlfn.CONCAT("=",$B72),$D$2:$D72)</f>
        <v>#N/A</v>
      </c>
    </row>
    <row r="73" spans="1:6">
      <c r="A73" s="7"/>
      <c r="B73" s="7"/>
      <c r="C73" s="14">
        <f ca="1">_xlfn.MAXIFS(Salario!$A$2:INDEX(Salario!$A:$A,ROWS(Salario!$A:$A)),Salario!$A$2:INDEX(Salario!$A:$A,ROWS(Salario!$A:$A)),_xlfn.CONCAT("&lt;",$A73),Salario!$B$2:INDEX(Salario!$B:$B,ROWS(Salario!$B:$B)),_xlfn.CONCAT("=",$B73))</f>
        <v>0</v>
      </c>
      <c r="D73" s="15" t="e" cm="1">
        <f t="array" aca="1" ref="D73" ca="1">_xlfn.XLOOKUP($C73&amp;$B73,Salario!$A:$A&amp;Salario!$B:$B,Salario!$C:$C)*Política!$C$2</f>
        <v>#N/A</v>
      </c>
      <c r="E73" s="15" t="e">
        <f ca="1">($D73/Política!$C$2)*(1-Política!$C$2)</f>
        <v>#N/A</v>
      </c>
      <c r="F73" s="15" t="e">
        <f ca="1">SUMIF($B$2:$B73,_xlfn.CONCAT("=",$B73),$D$2:$D73)</f>
        <v>#N/A</v>
      </c>
    </row>
    <row r="74" spans="1:6">
      <c r="A74" s="7"/>
      <c r="B74" s="7"/>
      <c r="C74" s="14">
        <f ca="1">_xlfn.MAXIFS(Salario!$A$2:INDEX(Salario!$A:$A,ROWS(Salario!$A:$A)),Salario!$A$2:INDEX(Salario!$A:$A,ROWS(Salario!$A:$A)),_xlfn.CONCAT("&lt;",$A74),Salario!$B$2:INDEX(Salario!$B:$B,ROWS(Salario!$B:$B)),_xlfn.CONCAT("=",$B74))</f>
        <v>0</v>
      </c>
      <c r="D74" s="15" t="e" cm="1">
        <f t="array" aca="1" ref="D74" ca="1">_xlfn.XLOOKUP($C74&amp;$B74,Salario!$A:$A&amp;Salario!$B:$B,Salario!$C:$C)*Política!$C$2</f>
        <v>#N/A</v>
      </c>
      <c r="E74" s="15" t="e">
        <f ca="1">($D74/Política!$C$2)*(1-Política!$C$2)</f>
        <v>#N/A</v>
      </c>
      <c r="F74" s="15" t="e">
        <f ca="1">SUMIF($B$2:$B74,_xlfn.CONCAT("=",$B74),$D$2:$D74)</f>
        <v>#N/A</v>
      </c>
    </row>
    <row r="75" spans="1:6">
      <c r="A75" s="7"/>
      <c r="B75" s="7"/>
      <c r="C75" s="14">
        <f ca="1">_xlfn.MAXIFS(Salario!$A$2:INDEX(Salario!$A:$A,ROWS(Salario!$A:$A)),Salario!$A$2:INDEX(Salario!$A:$A,ROWS(Salario!$A:$A)),_xlfn.CONCAT("&lt;",$A75),Salario!$B$2:INDEX(Salario!$B:$B,ROWS(Salario!$B:$B)),_xlfn.CONCAT("=",$B75))</f>
        <v>0</v>
      </c>
      <c r="D75" s="15" t="e" cm="1">
        <f t="array" aca="1" ref="D75" ca="1">_xlfn.XLOOKUP($C75&amp;$B75,Salario!$A:$A&amp;Salario!$B:$B,Salario!$C:$C)*Política!$C$2</f>
        <v>#N/A</v>
      </c>
      <c r="E75" s="15" t="e">
        <f ca="1">($D75/Política!$C$2)*(1-Política!$C$2)</f>
        <v>#N/A</v>
      </c>
      <c r="F75" s="15" t="e">
        <f ca="1">SUMIF($B$2:$B75,_xlfn.CONCAT("=",$B75),$D$2:$D75)</f>
        <v>#N/A</v>
      </c>
    </row>
    <row r="76" spans="1:6">
      <c r="A76" s="7"/>
      <c r="B76" s="7"/>
      <c r="C76" s="14">
        <f ca="1">_xlfn.MAXIFS(Salario!$A$2:INDEX(Salario!$A:$A,ROWS(Salario!$A:$A)),Salario!$A$2:INDEX(Salario!$A:$A,ROWS(Salario!$A:$A)),_xlfn.CONCAT("&lt;",$A76),Salario!$B$2:INDEX(Salario!$B:$B,ROWS(Salario!$B:$B)),_xlfn.CONCAT("=",$B76))</f>
        <v>0</v>
      </c>
      <c r="D76" s="15" t="e" cm="1">
        <f t="array" aca="1" ref="D76" ca="1">_xlfn.XLOOKUP($C76&amp;$B76,Salario!$A:$A&amp;Salario!$B:$B,Salario!$C:$C)*Política!$C$2</f>
        <v>#N/A</v>
      </c>
      <c r="E76" s="15" t="e">
        <f ca="1">($D76/Política!$C$2)*(1-Política!$C$2)</f>
        <v>#N/A</v>
      </c>
      <c r="F76" s="15" t="e">
        <f ca="1">SUMIF($B$2:$B76,_xlfn.CONCAT("=",$B76),$D$2:$D76)</f>
        <v>#N/A</v>
      </c>
    </row>
    <row r="77" spans="1:6">
      <c r="A77" s="7"/>
      <c r="B77" s="7"/>
      <c r="C77" s="14">
        <f ca="1">_xlfn.MAXIFS(Salario!$A$2:INDEX(Salario!$A:$A,ROWS(Salario!$A:$A)),Salario!$A$2:INDEX(Salario!$A:$A,ROWS(Salario!$A:$A)),_xlfn.CONCAT("&lt;",$A77),Salario!$B$2:INDEX(Salario!$B:$B,ROWS(Salario!$B:$B)),_xlfn.CONCAT("=",$B77))</f>
        <v>0</v>
      </c>
      <c r="D77" s="15" t="e" cm="1">
        <f t="array" aca="1" ref="D77" ca="1">_xlfn.XLOOKUP($C77&amp;$B77,Salario!$A:$A&amp;Salario!$B:$B,Salario!$C:$C)*Política!$C$2</f>
        <v>#N/A</v>
      </c>
      <c r="E77" s="15" t="e">
        <f ca="1">($D77/Política!$C$2)*(1-Política!$C$2)</f>
        <v>#N/A</v>
      </c>
      <c r="F77" s="15" t="e">
        <f ca="1">SUMIF($B$2:$B77,_xlfn.CONCAT("=",$B77),$D$2:$D77)</f>
        <v>#N/A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88ED-E29B-46BC-9A0A-4894F00BA90B}">
  <dimension ref="A1:L23"/>
  <sheetViews>
    <sheetView workbookViewId="0">
      <selection activeCell="H30" sqref="H30"/>
    </sheetView>
  </sheetViews>
  <sheetFormatPr defaultColWidth="11.42578125" defaultRowHeight="15"/>
  <cols>
    <col min="1" max="1" width="7.140625" bestFit="1" customWidth="1"/>
    <col min="2" max="2" width="10.7109375" bestFit="1" customWidth="1"/>
    <col min="3" max="3" width="10.42578125" bestFit="1" customWidth="1"/>
    <col min="4" max="4" width="19.85546875" bestFit="1" customWidth="1"/>
    <col min="5" max="5" width="12.7109375" bestFit="1" customWidth="1"/>
    <col min="6" max="6" width="13" bestFit="1" customWidth="1"/>
    <col min="7" max="7" width="14.5703125" style="1" bestFit="1" customWidth="1"/>
    <col min="8" max="8" width="8.85546875" bestFit="1" customWidth="1"/>
    <col min="9" max="9" width="25.28515625" style="1" bestFit="1" customWidth="1"/>
    <col min="10" max="10" width="31.5703125" style="6" bestFit="1" customWidth="1"/>
    <col min="11" max="11" width="26" bestFit="1" customWidth="1"/>
    <col min="12" max="12" width="23.7109375" bestFit="1" customWidth="1"/>
  </cols>
  <sheetData>
    <row r="1" spans="1:12">
      <c r="A1" s="3" t="s">
        <v>0</v>
      </c>
      <c r="B1" s="3" t="s">
        <v>51</v>
      </c>
      <c r="C1" s="3" t="s">
        <v>52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4" t="s">
        <v>62</v>
      </c>
      <c r="J1" s="4" t="s">
        <v>63</v>
      </c>
      <c r="K1" s="4" t="s">
        <v>64</v>
      </c>
      <c r="L1" s="4" t="s">
        <v>65</v>
      </c>
    </row>
    <row r="2" spans="1:12">
      <c r="A2" s="7">
        <v>1</v>
      </c>
      <c r="B2" s="8">
        <v>45339</v>
      </c>
      <c r="C2" s="7">
        <v>1</v>
      </c>
      <c r="D2" s="16">
        <f>COUNTIFS($B$2:$B2,"&gt;="&amp;YEAR($B2),$C$2:$C2,"="&amp;$C2)</f>
        <v>1</v>
      </c>
      <c r="E2" s="14">
        <f ca="1">_xlfn.MAXIFS(Aporte!$A$2:INDEX(Aporte!$A:$A,ROWS(Aporte!$A:$A)),Aporte!$A$2:INDEX(Aporte!$A:$A,ROWS(Aporte!$A:$A)),_xlfn.CONCAT("&lt;",$B2),Aporte!$B$2:INDEX(Aporte!$B:$B,ROWS(Aporte!$B:$B)),_xlfn.CONCAT("=",$C2))</f>
        <v>45335</v>
      </c>
      <c r="F2" s="15" cm="1">
        <f t="array" aca="1" ref="F2" ca="1">_xlfn.XLOOKUP($E2&amp;$C2,Aporte!$A:$A&amp;Aporte!$B:$B,Aporte!$F:$F)</f>
        <v>200000</v>
      </c>
      <c r="G2" s="9">
        <v>2000000</v>
      </c>
      <c r="H2" s="7">
        <v>5</v>
      </c>
      <c r="I2" s="9">
        <v>-60000</v>
      </c>
      <c r="J2" s="10">
        <v>0.5</v>
      </c>
      <c r="K2" s="7">
        <v>3</v>
      </c>
      <c r="L2" s="9">
        <v>300000</v>
      </c>
    </row>
    <row r="3" spans="1:12">
      <c r="A3" s="7">
        <v>2</v>
      </c>
      <c r="B3" s="8">
        <v>45431</v>
      </c>
      <c r="C3" s="7">
        <v>1</v>
      </c>
      <c r="D3" s="16">
        <f>COUNTIFS($B$2:$B3,"&gt;="&amp;YEAR($B3),$C$2:$C3,"="&amp;$C3)</f>
        <v>2</v>
      </c>
      <c r="E3" s="14">
        <f ca="1">_xlfn.MAXIFS(Aporte!$A$2:INDEX(Aporte!$A:$A,ROWS(Aporte!$A:$A)),Aporte!$A$2:INDEX(Aporte!$A:$A,ROWS(Aporte!$A:$A)),_xlfn.CONCAT("&lt;",$B3),Aporte!$B$2:INDEX(Aporte!$B:$B,ROWS(Aporte!$B:$B)),_xlfn.CONCAT("=",$C3))</f>
        <v>45425</v>
      </c>
      <c r="F3" s="15" cm="1">
        <f t="array" aca="1" ref="F3" ca="1">_xlfn.XLOOKUP($E3&amp;$C3,Aporte!$A:$A&amp;Aporte!$B:$B,Aporte!$F:$F)</f>
        <v>500000</v>
      </c>
      <c r="G3" s="9">
        <v>2500000</v>
      </c>
      <c r="H3" s="7">
        <v>8</v>
      </c>
      <c r="I3" s="9">
        <v>30000</v>
      </c>
      <c r="J3" s="10">
        <v>-0.8</v>
      </c>
      <c r="K3" s="7">
        <v>4</v>
      </c>
      <c r="L3" s="9">
        <v>250000</v>
      </c>
    </row>
    <row r="4" spans="1:12">
      <c r="A4" s="7">
        <v>3</v>
      </c>
      <c r="B4" s="8">
        <v>45435</v>
      </c>
      <c r="C4" s="7">
        <v>3</v>
      </c>
      <c r="D4" s="16">
        <f>COUNTIFS($B$2:$B4,"&gt;="&amp;YEAR($B4),$C$2:$C4,"="&amp;$C4)</f>
        <v>1</v>
      </c>
      <c r="E4" s="14">
        <f ca="1">_xlfn.MAXIFS(Aporte!$A$2:INDEX(Aporte!$A:$A,ROWS(Aporte!$A:$A)),Aporte!$A$2:INDEX(Aporte!$A:$A,ROWS(Aporte!$A:$A)),_xlfn.CONCAT("&lt;",$B4),Aporte!$B$2:INDEX(Aporte!$B:$B,ROWS(Aporte!$B:$B)),_xlfn.CONCAT("=",$C4))</f>
        <v>45427</v>
      </c>
      <c r="F4" s="15" cm="1">
        <f t="array" aca="1" ref="F4" ca="1">_xlfn.XLOOKUP($E4&amp;$C4,Aporte!$A:$A&amp;Aporte!$B:$B,Aporte!$F:$F)</f>
        <v>325000</v>
      </c>
      <c r="G4" s="9">
        <v>1300000</v>
      </c>
      <c r="H4" s="7">
        <v>9</v>
      </c>
      <c r="I4" s="9">
        <v>-40000</v>
      </c>
      <c r="J4" s="10">
        <v>-0.2</v>
      </c>
      <c r="K4" s="7"/>
      <c r="L4" s="9"/>
    </row>
    <row r="5" spans="1:12">
      <c r="A5" s="7"/>
      <c r="B5" s="8"/>
      <c r="C5" s="7"/>
      <c r="D5" s="16">
        <f>COUNTIFS($B$2:$B5,"&gt;="&amp;YEAR($B5),$C$2:$C5,"="&amp;$C5)</f>
        <v>0</v>
      </c>
      <c r="E5" s="14">
        <f ca="1">_xlfn.MAXIFS(Aporte!$A$2:INDEX(Aporte!$A:$A,ROWS(Aporte!$A:$A)),Aporte!$A$2:INDEX(Aporte!$A:$A,ROWS(Aporte!$A:$A)),_xlfn.CONCAT("&lt;",$B5),Aporte!$B$2:INDEX(Aporte!$B:$B,ROWS(Aporte!$B:$B)),_xlfn.CONCAT("=",$C5))</f>
        <v>0</v>
      </c>
      <c r="F5" s="15" t="e" cm="1">
        <f t="array" aca="1" ref="F5" ca="1">_xlfn.XLOOKUP($E5&amp;$C5,Aporte!$A:$A&amp;Aporte!$B:$B,Aporte!$F:$F)</f>
        <v>#N/A</v>
      </c>
      <c r="G5" s="9"/>
      <c r="H5" s="7"/>
      <c r="I5" s="9"/>
      <c r="J5" s="10"/>
      <c r="K5" s="7"/>
      <c r="L5" s="9"/>
    </row>
    <row r="6" spans="1:12">
      <c r="A6" s="7"/>
      <c r="B6" s="8"/>
      <c r="C6" s="7"/>
      <c r="D6" s="16">
        <f>COUNTIFS($B$2:$B6,"&gt;="&amp;YEAR($B6),$C$2:$C6,"="&amp;$C6)</f>
        <v>0</v>
      </c>
      <c r="E6" s="14">
        <f ca="1">_xlfn.MAXIFS(Aporte!$A$2:INDEX(Aporte!$A:$A,ROWS(Aporte!$A:$A)),Aporte!$A$2:INDEX(Aporte!$A:$A,ROWS(Aporte!$A:$A)),_xlfn.CONCAT("&lt;",$B6),Aporte!$B$2:INDEX(Aporte!$B:$B,ROWS(Aporte!$B:$B)),_xlfn.CONCAT("=",$C6))</f>
        <v>0</v>
      </c>
      <c r="F6" s="15" t="e" cm="1">
        <f t="array" aca="1" ref="F6" ca="1">_xlfn.XLOOKUP($E6&amp;$C6,Aporte!$A:$A&amp;Aporte!$B:$B,Aporte!$F:$F)</f>
        <v>#N/A</v>
      </c>
      <c r="G6" s="9"/>
      <c r="H6" s="7"/>
      <c r="I6" s="9"/>
      <c r="J6" s="10"/>
      <c r="K6" s="7"/>
      <c r="L6" s="9"/>
    </row>
    <row r="7" spans="1:12">
      <c r="A7" s="7"/>
      <c r="B7" s="8"/>
      <c r="C7" s="7"/>
      <c r="D7" s="16">
        <f>COUNTIFS($B$2:$B7,"&gt;="&amp;YEAR($B7),$C$2:$C7,"="&amp;$C7)</f>
        <v>0</v>
      </c>
      <c r="E7" s="14">
        <f ca="1">_xlfn.MAXIFS(Aporte!$A$2:INDEX(Aporte!$A:$A,ROWS(Aporte!$A:$A)),Aporte!$A$2:INDEX(Aporte!$A:$A,ROWS(Aporte!$A:$A)),_xlfn.CONCAT("&lt;",$B7),Aporte!$B$2:INDEX(Aporte!$B:$B,ROWS(Aporte!$B:$B)),_xlfn.CONCAT("=",$C7))</f>
        <v>0</v>
      </c>
      <c r="F7" s="15" t="e" cm="1">
        <f t="array" aca="1" ref="F7" ca="1">_xlfn.XLOOKUP($E7&amp;$C7,Aporte!$A:$A&amp;Aporte!$B:$B,Aporte!$F:$F)</f>
        <v>#N/A</v>
      </c>
      <c r="G7" s="9"/>
      <c r="H7" s="7"/>
      <c r="I7" s="9"/>
      <c r="J7" s="10"/>
      <c r="K7" s="7"/>
      <c r="L7" s="9"/>
    </row>
    <row r="8" spans="1:12">
      <c r="A8" s="7"/>
      <c r="B8" s="8"/>
      <c r="C8" s="7"/>
      <c r="D8" s="16">
        <f>COUNTIFS($B$2:$B8,"&gt;="&amp;YEAR($B8),$C$2:$C8,"="&amp;$C8)</f>
        <v>0</v>
      </c>
      <c r="E8" s="14">
        <f ca="1">_xlfn.MAXIFS(Aporte!$A$2:INDEX(Aporte!$A:$A,ROWS(Aporte!$A:$A)),Aporte!$A$2:INDEX(Aporte!$A:$A,ROWS(Aporte!$A:$A)),_xlfn.CONCAT("&lt;",$B8),Aporte!$B$2:INDEX(Aporte!$B:$B,ROWS(Aporte!$B:$B)),_xlfn.CONCAT("=",$C8))</f>
        <v>0</v>
      </c>
      <c r="F8" s="15" t="e" cm="1">
        <f t="array" aca="1" ref="F8" ca="1">_xlfn.XLOOKUP($E8&amp;$C8,Aporte!$A:$A&amp;Aporte!$B:$B,Aporte!$F:$F)</f>
        <v>#N/A</v>
      </c>
      <c r="G8" s="9"/>
      <c r="H8" s="7"/>
      <c r="I8" s="9"/>
      <c r="J8" s="10"/>
      <c r="K8" s="7"/>
      <c r="L8" s="9"/>
    </row>
    <row r="9" spans="1:12">
      <c r="A9" s="7"/>
      <c r="B9" s="8"/>
      <c r="C9" s="7"/>
      <c r="D9" s="16">
        <f>COUNTIFS($B$2:$B9,"&gt;="&amp;YEAR($B9),$C$2:$C9,"="&amp;$C9)</f>
        <v>0</v>
      </c>
      <c r="E9" s="14">
        <f ca="1">_xlfn.MAXIFS(Aporte!$A$2:INDEX(Aporte!$A:$A,ROWS(Aporte!$A:$A)),Aporte!$A$2:INDEX(Aporte!$A:$A,ROWS(Aporte!$A:$A)),_xlfn.CONCAT("&lt;",$B9),Aporte!$B$2:INDEX(Aporte!$B:$B,ROWS(Aporte!$B:$B)),_xlfn.CONCAT("=",$C9))</f>
        <v>0</v>
      </c>
      <c r="F9" s="15" t="e" cm="1">
        <f t="array" aca="1" ref="F9" ca="1">_xlfn.XLOOKUP($E9&amp;$C9,Aporte!$A:$A&amp;Aporte!$B:$B,Aporte!$F:$F)</f>
        <v>#N/A</v>
      </c>
      <c r="G9" s="9"/>
      <c r="H9" s="7"/>
      <c r="I9" s="9"/>
      <c r="J9" s="10"/>
      <c r="K9" s="7"/>
      <c r="L9" s="9"/>
    </row>
    <row r="10" spans="1:12">
      <c r="A10" s="7"/>
      <c r="B10" s="8"/>
      <c r="C10" s="7"/>
      <c r="D10" s="16">
        <f>COUNTIFS($B$2:$B10,"&gt;="&amp;YEAR($B10),$C$2:$C10,"="&amp;$C10)</f>
        <v>0</v>
      </c>
      <c r="E10" s="14">
        <f ca="1">_xlfn.MAXIFS(Aporte!$A$2:INDEX(Aporte!$A:$A,ROWS(Aporte!$A:$A)),Aporte!$A$2:INDEX(Aporte!$A:$A,ROWS(Aporte!$A:$A)),_xlfn.CONCAT("&lt;",$B10),Aporte!$B$2:INDEX(Aporte!$B:$B,ROWS(Aporte!$B:$B)),_xlfn.CONCAT("=",$C10))</f>
        <v>0</v>
      </c>
      <c r="F10" s="15" t="e" cm="1">
        <f t="array" aca="1" ref="F10" ca="1">_xlfn.XLOOKUP($E10&amp;$C10,Aporte!$A:$A&amp;Aporte!$B:$B,Aporte!$F:$F)</f>
        <v>#N/A</v>
      </c>
      <c r="G10" s="9"/>
      <c r="H10" s="7"/>
      <c r="I10" s="9"/>
      <c r="J10" s="10"/>
      <c r="K10" s="7"/>
      <c r="L10" s="9"/>
    </row>
    <row r="11" spans="1:12">
      <c r="A11" s="7"/>
      <c r="B11" s="8"/>
      <c r="C11" s="7"/>
      <c r="D11" s="16">
        <f>COUNTIFS($B$2:$B11,"&gt;="&amp;YEAR($B11),$C$2:$C11,"="&amp;$C11)</f>
        <v>0</v>
      </c>
      <c r="E11" s="14">
        <f ca="1">_xlfn.MAXIFS(Aporte!$A$2:INDEX(Aporte!$A:$A,ROWS(Aporte!$A:$A)),Aporte!$A$2:INDEX(Aporte!$A:$A,ROWS(Aporte!$A:$A)),_xlfn.CONCAT("&lt;",$B11),Aporte!$B$2:INDEX(Aporte!$B:$B,ROWS(Aporte!$B:$B)),_xlfn.CONCAT("=",$C11))</f>
        <v>0</v>
      </c>
      <c r="F11" s="15" t="e" cm="1">
        <f t="array" aca="1" ref="F11" ca="1">_xlfn.XLOOKUP($E11&amp;$C11,Aporte!$A:$A&amp;Aporte!$B:$B,Aporte!$F:$F)</f>
        <v>#N/A</v>
      </c>
      <c r="G11" s="9"/>
      <c r="H11" s="7"/>
      <c r="I11" s="9"/>
      <c r="J11" s="10"/>
      <c r="K11" s="7"/>
      <c r="L11" s="9"/>
    </row>
    <row r="12" spans="1:12">
      <c r="A12" s="7"/>
      <c r="B12" s="8"/>
      <c r="C12" s="7"/>
      <c r="D12" s="16">
        <f>COUNTIFS($B$2:$B12,"&gt;="&amp;YEAR($B12),$C$2:$C12,"="&amp;$C12)</f>
        <v>0</v>
      </c>
      <c r="E12" s="14">
        <f ca="1">_xlfn.MAXIFS(Aporte!$A$2:INDEX(Aporte!$A:$A,ROWS(Aporte!$A:$A)),Aporte!$A$2:INDEX(Aporte!$A:$A,ROWS(Aporte!$A:$A)),_xlfn.CONCAT("&lt;",$B12),Aporte!$B$2:INDEX(Aporte!$B:$B,ROWS(Aporte!$B:$B)),_xlfn.CONCAT("=",$C12))</f>
        <v>0</v>
      </c>
      <c r="F12" s="15" t="e" cm="1">
        <f t="array" aca="1" ref="F12" ca="1">_xlfn.XLOOKUP($E12&amp;$C12,Aporte!$A:$A&amp;Aporte!$B:$B,Aporte!$F:$F)</f>
        <v>#N/A</v>
      </c>
      <c r="G12" s="9"/>
      <c r="H12" s="7"/>
      <c r="I12" s="9"/>
      <c r="J12" s="10"/>
      <c r="K12" s="7"/>
      <c r="L12" s="9"/>
    </row>
    <row r="13" spans="1:12">
      <c r="A13" s="7"/>
      <c r="B13" s="8"/>
      <c r="C13" s="7"/>
      <c r="D13" s="16">
        <f>COUNTIFS($B$2:$B13,"&gt;="&amp;YEAR($B13),$C$2:$C13,"="&amp;$C13)</f>
        <v>0</v>
      </c>
      <c r="E13" s="14">
        <f ca="1">_xlfn.MAXIFS(Aporte!$A$2:INDEX(Aporte!$A:$A,ROWS(Aporte!$A:$A)),Aporte!$A$2:INDEX(Aporte!$A:$A,ROWS(Aporte!$A:$A)),_xlfn.CONCAT("&lt;",$B13),Aporte!$B$2:INDEX(Aporte!$B:$B,ROWS(Aporte!$B:$B)),_xlfn.CONCAT("=",$C13))</f>
        <v>0</v>
      </c>
      <c r="F13" s="15" t="e" cm="1">
        <f t="array" aca="1" ref="F13" ca="1">_xlfn.XLOOKUP($E13&amp;$C13,Aporte!$A:$A&amp;Aporte!$B:$B,Aporte!$F:$F)</f>
        <v>#N/A</v>
      </c>
      <c r="G13" s="9"/>
      <c r="H13" s="7"/>
      <c r="I13" s="9"/>
      <c r="J13" s="10"/>
      <c r="K13" s="7"/>
      <c r="L13" s="9"/>
    </row>
    <row r="14" spans="1:12">
      <c r="A14" s="7"/>
      <c r="B14" s="8"/>
      <c r="C14" s="7"/>
      <c r="D14" s="16">
        <f>COUNTIFS($B$2:$B14,"&gt;="&amp;YEAR($B14),$C$2:$C14,"="&amp;$C14)</f>
        <v>0</v>
      </c>
      <c r="E14" s="14">
        <f ca="1">_xlfn.MAXIFS(Aporte!$A$2:INDEX(Aporte!$A:$A,ROWS(Aporte!$A:$A)),Aporte!$A$2:INDEX(Aporte!$A:$A,ROWS(Aporte!$A:$A)),_xlfn.CONCAT("&lt;",$B14),Aporte!$B$2:INDEX(Aporte!$B:$B,ROWS(Aporte!$B:$B)),_xlfn.CONCAT("=",$C14))</f>
        <v>0</v>
      </c>
      <c r="F14" s="15" t="e" cm="1">
        <f t="array" aca="1" ref="F14" ca="1">_xlfn.XLOOKUP($E14&amp;$C14,Aporte!$A:$A&amp;Aporte!$B:$B,Aporte!$F:$F)</f>
        <v>#N/A</v>
      </c>
      <c r="G14" s="9"/>
      <c r="H14" s="7"/>
      <c r="I14" s="9"/>
      <c r="J14" s="10"/>
      <c r="K14" s="7"/>
      <c r="L14" s="9"/>
    </row>
    <row r="15" spans="1:12">
      <c r="A15" s="7"/>
      <c r="B15" s="8"/>
      <c r="C15" s="7"/>
      <c r="D15" s="16">
        <f>COUNTIFS($B$2:$B15,"&gt;="&amp;YEAR($B15),$C$2:$C15,"="&amp;$C15)</f>
        <v>0</v>
      </c>
      <c r="E15" s="14">
        <f ca="1">_xlfn.MAXIFS(Aporte!$A$2:INDEX(Aporte!$A:$A,ROWS(Aporte!$A:$A)),Aporte!$A$2:INDEX(Aporte!$A:$A,ROWS(Aporte!$A:$A)),_xlfn.CONCAT("&lt;",$B15),Aporte!$B$2:INDEX(Aporte!$B:$B,ROWS(Aporte!$B:$B)),_xlfn.CONCAT("=",$C15))</f>
        <v>0</v>
      </c>
      <c r="F15" s="15" t="e" cm="1">
        <f t="array" aca="1" ref="F15" ca="1">_xlfn.XLOOKUP($E15&amp;$C15,Aporte!$A:$A&amp;Aporte!$B:$B,Aporte!$F:$F)</f>
        <v>#N/A</v>
      </c>
      <c r="G15" s="9"/>
      <c r="H15" s="7"/>
      <c r="I15" s="9"/>
      <c r="J15" s="10"/>
      <c r="K15" s="7"/>
      <c r="L15" s="9"/>
    </row>
    <row r="16" spans="1:12">
      <c r="A16" s="7"/>
      <c r="B16" s="8"/>
      <c r="C16" s="7"/>
      <c r="D16" s="16">
        <f>COUNTIFS($B$2:$B16,"&gt;="&amp;YEAR($B16),$C$2:$C16,"="&amp;$C16)</f>
        <v>0</v>
      </c>
      <c r="E16" s="14">
        <f ca="1">_xlfn.MAXIFS(Aporte!$A$2:INDEX(Aporte!$A:$A,ROWS(Aporte!$A:$A)),Aporte!$A$2:INDEX(Aporte!$A:$A,ROWS(Aporte!$A:$A)),_xlfn.CONCAT("&lt;",$B16),Aporte!$B$2:INDEX(Aporte!$B:$B,ROWS(Aporte!$B:$B)),_xlfn.CONCAT("=",$C16))</f>
        <v>0</v>
      </c>
      <c r="F16" s="15" t="e" cm="1">
        <f t="array" aca="1" ref="F16" ca="1">_xlfn.XLOOKUP($E16&amp;$C16,Aporte!$A:$A&amp;Aporte!$B:$B,Aporte!$F:$F)</f>
        <v>#N/A</v>
      </c>
      <c r="G16" s="9"/>
      <c r="H16" s="7"/>
      <c r="I16" s="9"/>
      <c r="J16" s="10"/>
      <c r="K16" s="7"/>
      <c r="L16" s="9"/>
    </row>
    <row r="17" spans="1:12">
      <c r="A17" s="7"/>
      <c r="B17" s="8"/>
      <c r="C17" s="7"/>
      <c r="D17" s="16">
        <f>COUNTIFS($B$2:$B17,"&gt;="&amp;YEAR($B17),$C$2:$C17,"="&amp;$C17)</f>
        <v>0</v>
      </c>
      <c r="E17" s="14">
        <f ca="1">_xlfn.MAXIFS(Aporte!$A$2:INDEX(Aporte!$A:$A,ROWS(Aporte!$A:$A)),Aporte!$A$2:INDEX(Aporte!$A:$A,ROWS(Aporte!$A:$A)),_xlfn.CONCAT("&lt;",$B17),Aporte!$B$2:INDEX(Aporte!$B:$B,ROWS(Aporte!$B:$B)),_xlfn.CONCAT("=",$C17))</f>
        <v>0</v>
      </c>
      <c r="F17" s="15" t="e" cm="1">
        <f t="array" aca="1" ref="F17" ca="1">_xlfn.XLOOKUP($E17&amp;$C17,Aporte!$A:$A&amp;Aporte!$B:$B,Aporte!$F:$F)</f>
        <v>#N/A</v>
      </c>
      <c r="G17" s="9"/>
      <c r="H17" s="7"/>
      <c r="I17" s="9"/>
      <c r="J17" s="10"/>
      <c r="K17" s="7"/>
      <c r="L17" s="9"/>
    </row>
    <row r="18" spans="1:12">
      <c r="A18" s="7"/>
      <c r="B18" s="8"/>
      <c r="C18" s="7"/>
      <c r="D18" s="16">
        <f>COUNTIFS($B$2:$B18,"&gt;="&amp;YEAR($B18),$C$2:$C18,"="&amp;$C18)</f>
        <v>0</v>
      </c>
      <c r="E18" s="14">
        <f ca="1">_xlfn.MAXIFS(Aporte!$A$2:INDEX(Aporte!$A:$A,ROWS(Aporte!$A:$A)),Aporte!$A$2:INDEX(Aporte!$A:$A,ROWS(Aporte!$A:$A)),_xlfn.CONCAT("&lt;",$B18),Aporte!$B$2:INDEX(Aporte!$B:$B,ROWS(Aporte!$B:$B)),_xlfn.CONCAT("=",$C18))</f>
        <v>0</v>
      </c>
      <c r="F18" s="15" t="e" cm="1">
        <f t="array" aca="1" ref="F18" ca="1">_xlfn.XLOOKUP($E18&amp;$C18,Aporte!$A:$A&amp;Aporte!$B:$B,Aporte!$F:$F)</f>
        <v>#N/A</v>
      </c>
      <c r="G18" s="9"/>
      <c r="H18" s="7"/>
      <c r="I18" s="9"/>
      <c r="J18" s="10"/>
      <c r="K18" s="7"/>
      <c r="L18" s="9"/>
    </row>
    <row r="19" spans="1:12">
      <c r="A19" s="7"/>
      <c r="B19" s="8"/>
      <c r="C19" s="7"/>
      <c r="D19" s="16">
        <f>COUNTIFS($B$2:$B19,"&gt;="&amp;YEAR($B19),$C$2:$C19,"="&amp;$C19)</f>
        <v>0</v>
      </c>
      <c r="E19" s="14">
        <f ca="1">_xlfn.MAXIFS(Aporte!$A$2:INDEX(Aporte!$A:$A,ROWS(Aporte!$A:$A)),Aporte!$A$2:INDEX(Aporte!$A:$A,ROWS(Aporte!$A:$A)),_xlfn.CONCAT("&lt;",$B19),Aporte!$B$2:INDEX(Aporte!$B:$B,ROWS(Aporte!$B:$B)),_xlfn.CONCAT("=",$C19))</f>
        <v>0</v>
      </c>
      <c r="F19" s="15" t="e" cm="1">
        <f t="array" aca="1" ref="F19" ca="1">_xlfn.XLOOKUP($E19&amp;$C19,Aporte!$A:$A&amp;Aporte!$B:$B,Aporte!$F:$F)</f>
        <v>#N/A</v>
      </c>
      <c r="G19" s="9"/>
      <c r="H19" s="7"/>
      <c r="I19" s="9"/>
      <c r="J19" s="10"/>
      <c r="K19" s="7"/>
      <c r="L19" s="9"/>
    </row>
    <row r="20" spans="1:12">
      <c r="A20" s="7"/>
      <c r="B20" s="8"/>
      <c r="C20" s="7"/>
      <c r="D20" s="16">
        <f>COUNTIFS($B$2:$B20,"&gt;="&amp;YEAR($B20),$C$2:$C20,"="&amp;$C20)</f>
        <v>0</v>
      </c>
      <c r="E20" s="14">
        <f ca="1">_xlfn.MAXIFS(Aporte!$A$2:INDEX(Aporte!$A:$A,ROWS(Aporte!$A:$A)),Aporte!$A$2:INDEX(Aporte!$A:$A,ROWS(Aporte!$A:$A)),_xlfn.CONCAT("&lt;",$B20),Aporte!$B$2:INDEX(Aporte!$B:$B,ROWS(Aporte!$B:$B)),_xlfn.CONCAT("=",$C20))</f>
        <v>0</v>
      </c>
      <c r="F20" s="15" t="e" cm="1">
        <f t="array" aca="1" ref="F20" ca="1">_xlfn.XLOOKUP($E20&amp;$C20,Aporte!$A:$A&amp;Aporte!$B:$B,Aporte!$F:$F)</f>
        <v>#N/A</v>
      </c>
      <c r="G20" s="9"/>
      <c r="H20" s="7"/>
      <c r="I20" s="9"/>
      <c r="J20" s="10"/>
      <c r="K20" s="7"/>
      <c r="L20" s="9"/>
    </row>
    <row r="21" spans="1:12">
      <c r="A21" s="7"/>
      <c r="B21" s="8"/>
      <c r="C21" s="7"/>
      <c r="D21" s="16">
        <f>COUNTIFS($B$2:$B21,"&gt;="&amp;YEAR($B21),$C$2:$C21,"="&amp;$C21)</f>
        <v>0</v>
      </c>
      <c r="E21" s="14">
        <f ca="1">_xlfn.MAXIFS(Aporte!$A$2:INDEX(Aporte!$A:$A,ROWS(Aporte!$A:$A)),Aporte!$A$2:INDEX(Aporte!$A:$A,ROWS(Aporte!$A:$A)),_xlfn.CONCAT("&lt;",$B21),Aporte!$B$2:INDEX(Aporte!$B:$B,ROWS(Aporte!$B:$B)),_xlfn.CONCAT("=",$C21))</f>
        <v>0</v>
      </c>
      <c r="F21" s="15" t="e" cm="1">
        <f t="array" aca="1" ref="F21" ca="1">_xlfn.XLOOKUP($E21&amp;$C21,Aporte!$A:$A&amp;Aporte!$B:$B,Aporte!$F:$F)</f>
        <v>#N/A</v>
      </c>
      <c r="G21" s="9"/>
      <c r="H21" s="7"/>
      <c r="I21" s="9"/>
      <c r="J21" s="10"/>
      <c r="K21" s="7"/>
      <c r="L21" s="9"/>
    </row>
    <row r="22" spans="1:12">
      <c r="A22" s="7"/>
      <c r="B22" s="8"/>
      <c r="C22" s="7"/>
      <c r="D22" s="16">
        <f>COUNTIFS($B$2:$B22,"&gt;="&amp;YEAR($B22),$C$2:$C22,"="&amp;$C22)</f>
        <v>0</v>
      </c>
      <c r="E22" s="14">
        <f ca="1">_xlfn.MAXIFS(Aporte!$A$2:INDEX(Aporte!$A:$A,ROWS(Aporte!$A:$A)),Aporte!$A$2:INDEX(Aporte!$A:$A,ROWS(Aporte!$A:$A)),_xlfn.CONCAT("&lt;",$B22),Aporte!$B$2:INDEX(Aporte!$B:$B,ROWS(Aporte!$B:$B)),_xlfn.CONCAT("=",$C22))</f>
        <v>0</v>
      </c>
      <c r="F22" s="15" t="e" cm="1">
        <f t="array" aca="1" ref="F22" ca="1">_xlfn.XLOOKUP($E22&amp;$C22,Aporte!$A:$A&amp;Aporte!$B:$B,Aporte!$F:$F)</f>
        <v>#N/A</v>
      </c>
      <c r="G22" s="9"/>
      <c r="H22" s="7"/>
      <c r="I22" s="9"/>
      <c r="J22" s="10"/>
      <c r="K22" s="7"/>
      <c r="L22" s="9"/>
    </row>
    <row r="23" spans="1:12">
      <c r="A23" s="7"/>
      <c r="B23" s="8"/>
      <c r="C23" s="7"/>
      <c r="D23" s="16">
        <f>COUNTIFS($B$2:$B23,"&gt;="&amp;YEAR($B23),$C$2:$C23,"="&amp;$C23)</f>
        <v>0</v>
      </c>
      <c r="E23" s="14">
        <f ca="1">_xlfn.MAXIFS(Aporte!$A$2:INDEX(Aporte!$A:$A,ROWS(Aporte!$A:$A)),Aporte!$A$2:INDEX(Aporte!$A:$A,ROWS(Aporte!$A:$A)),_xlfn.CONCAT("&lt;",$B23),Aporte!$B$2:INDEX(Aporte!$B:$B,ROWS(Aporte!$B:$B)),_xlfn.CONCAT("=",$C23))</f>
        <v>0</v>
      </c>
      <c r="F23" s="15" t="e" cm="1">
        <f t="array" aca="1" ref="F23" ca="1">_xlfn.XLOOKUP($E23&amp;$C23,Aporte!$A:$A&amp;Aporte!$B:$B,Aporte!$F:$F)</f>
        <v>#N/A</v>
      </c>
      <c r="G23" s="9"/>
      <c r="H23" s="7"/>
      <c r="I23" s="9"/>
      <c r="J23" s="10"/>
      <c r="K23" s="7"/>
      <c r="L23" s="9"/>
    </row>
  </sheetData>
  <sheetProtection sheet="1" objects="1" scenarios="1"/>
  <dataValidations count="4">
    <dataValidation type="whole" allowBlank="1" showInputMessage="1" showErrorMessage="1" errorTitle="Error de Valor" error="La fecha debe estar entre la fecha inicial y final del crédito." sqref="K2:K23" xr:uid="{EB076B6F-81FD-4A25-9DEA-33DF3883445D}">
      <formula1>0</formula1>
      <formula2>$H2</formula2>
    </dataValidation>
    <dataValidation type="decimal" allowBlank="1" showInputMessage="1" showErrorMessage="1" errorTitle="Error de Valor" error="El pago no debe superar el valor del crédito." sqref="L2:L23" xr:uid="{A665E4AF-CF0A-4050-B705-BACA52723110}">
      <formula1>0</formula1>
      <formula2>$G2</formula2>
    </dataValidation>
    <dataValidation allowBlank="1" showInputMessage="1" showErrorMessage="1" errorTitle="Error de Valor" error="El valor debe ser un número." sqref="I2" xr:uid="{CF2B7BD9-381E-4627-8DB0-85750519FAE9}"/>
    <dataValidation type="custom" allowBlank="1" showInputMessage="1" showErrorMessage="1" errorTitle="Error de Valor" error="Sólo puede haber un crédito para cáda código." sqref="A2:A23" xr:uid="{DFBDC875-B7A7-4846-994A-DDBA390CFB09}">
      <formula1>COUNTIF(A$2:A2,A2)&lt;2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whole" allowBlank="1" showInputMessage="1" showErrorMessage="1" errorTitle="Error de Valor" error="El número de periodos debe estar entre 1 y 32." xr:uid="{78D34562-E7CB-486D-86BF-DC0875D0AB4F}">
          <x14:formula1>
            <xm:f>1</xm:f>
          </x14:formula1>
          <x14:formula2>
            <xm:f>Política!$C$6</xm:f>
          </x14:formula2>
          <xm:sqref>H2:H1048576</xm:sqref>
        </x14:dataValidation>
        <x14:dataValidation type="custom" allowBlank="1" showInputMessage="1" showErrorMessage="1" errorTitle="Error de Valor" error="Los aportes totales de éste trabajador no permiten solicitar más créditos." xr:uid="{713E1D5E-0E5D-4E68-9B79-CE7DA997BDCC}">
          <x14:formula1>
            <xm:f>$D2&lt;=INT($F2/Política!$C$7)</xm:f>
          </x14:formula1>
          <xm:sqref>C2:C1048576</xm:sqref>
        </x14:dataValidation>
        <x14:dataValidation type="decimal" allowBlank="1" showInputMessage="1" showErrorMessage="1" errorTitle="Error de Valor" error="El monto es menor que el valor de préstamo límite o excede el máximo disponible para el trabajador." xr:uid="{D87929B5-C575-4541-A2AC-DB5CFDE15CDE}">
          <x14:formula1>
            <xm:f>50</xm:f>
          </x14:formula1>
          <x14:formula2>
            <xm:f>Política!$C$4*_xlfn.XLOOKUP($E2&amp;$C2,Aporte!$A:$A&amp;Aporte!$B:$B,Aporte!$E:$E)/(1-Política!$C$2)</xm:f>
          </x14:formula2>
          <xm:sqref>G2:G1048576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DF85-9033-4147-9CB0-D99E4AE578C0}">
  <dimension ref="B1:AG41"/>
  <sheetViews>
    <sheetView tabSelected="1" topLeftCell="P1" workbookViewId="0">
      <selection activeCell="G24" sqref="G24"/>
    </sheetView>
  </sheetViews>
  <sheetFormatPr defaultColWidth="2.85546875" defaultRowHeight="15"/>
  <cols>
    <col min="2" max="2" width="31.5703125" bestFit="1" customWidth="1"/>
    <col min="3" max="3" width="14.5703125" bestFit="1" customWidth="1"/>
    <col min="6" max="6" width="41.140625" bestFit="1" customWidth="1"/>
    <col min="7" max="7" width="14.5703125" bestFit="1" customWidth="1"/>
    <col min="9" max="9" width="8" bestFit="1" customWidth="1"/>
    <col min="10" max="10" width="16.140625" bestFit="1" customWidth="1"/>
    <col min="11" max="11" width="12" bestFit="1" customWidth="1"/>
    <col min="12" max="12" width="14.85546875" bestFit="1" customWidth="1"/>
    <col min="13" max="13" width="14.5703125" bestFit="1" customWidth="1"/>
    <col min="16" max="16" width="43.42578125" bestFit="1" customWidth="1"/>
    <col min="17" max="17" width="14.5703125" bestFit="1" customWidth="1"/>
    <col min="19" max="19" width="8" bestFit="1" customWidth="1"/>
    <col min="20" max="20" width="16.140625" bestFit="1" customWidth="1"/>
    <col min="21" max="21" width="12" bestFit="1" customWidth="1"/>
    <col min="22" max="22" width="14.85546875" bestFit="1" customWidth="1"/>
    <col min="23" max="23" width="14.5703125" bestFit="1" customWidth="1"/>
    <col min="26" max="26" width="43.42578125" bestFit="1" customWidth="1"/>
    <col min="27" max="27" width="14.5703125" bestFit="1" customWidth="1"/>
    <col min="29" max="29" width="8" bestFit="1" customWidth="1"/>
    <col min="30" max="30" width="16.140625" bestFit="1" customWidth="1"/>
    <col min="31" max="31" width="12" bestFit="1" customWidth="1"/>
    <col min="32" max="32" width="14.85546875" bestFit="1" customWidth="1"/>
    <col min="33" max="33" width="14.5703125" bestFit="1" customWidth="1"/>
  </cols>
  <sheetData>
    <row r="1" spans="2:33" ht="15.75" thickBot="1"/>
    <row r="2" spans="2:33" ht="15.75" thickBot="1">
      <c r="B2" s="5" t="s">
        <v>0</v>
      </c>
      <c r="C2" s="21">
        <v>3</v>
      </c>
      <c r="F2" s="24" t="s">
        <v>66</v>
      </c>
      <c r="G2" s="24"/>
      <c r="H2" s="24"/>
      <c r="I2" s="24"/>
      <c r="J2" s="24"/>
      <c r="K2" s="24"/>
      <c r="L2" s="24"/>
      <c r="M2" s="24"/>
      <c r="P2" s="24" t="s">
        <v>67</v>
      </c>
      <c r="Q2" s="24"/>
      <c r="R2" s="24"/>
      <c r="S2" s="24"/>
      <c r="T2" s="24"/>
      <c r="U2" s="24"/>
      <c r="V2" s="24"/>
      <c r="W2" s="24"/>
      <c r="Z2" s="24" t="s">
        <v>68</v>
      </c>
      <c r="AA2" s="24"/>
      <c r="AB2" s="24"/>
      <c r="AC2" s="24"/>
      <c r="AD2" s="24"/>
      <c r="AE2" s="24"/>
      <c r="AF2" s="24"/>
      <c r="AG2" s="24"/>
    </row>
    <row r="3" spans="2:33">
      <c r="B3" s="3" t="s">
        <v>51</v>
      </c>
      <c r="C3" s="17">
        <f ca="1">VLOOKUP($C$2,Crédito!$A$2:INDEX(Crédito!$L:$L,ROWS(Crédito!$L:$L)),2)</f>
        <v>45435</v>
      </c>
    </row>
    <row r="4" spans="2:33">
      <c r="B4" s="3" t="s">
        <v>52</v>
      </c>
      <c r="C4" s="16">
        <f ca="1">VLOOKUP($C$2,Crédito!$A$2:INDEX(Crédito!$L:$L,ROWS(Crédito!$L:$L)),3)</f>
        <v>3</v>
      </c>
      <c r="F4" s="3" t="s">
        <v>69</v>
      </c>
      <c r="G4" s="19">
        <f ca="1">(1-(1+$C$15)^(-($C$10)))/$C$15</f>
        <v>8.1622367063670769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74</v>
      </c>
      <c r="P4" s="3" t="s">
        <v>62</v>
      </c>
      <c r="Q4" s="15">
        <f ca="1">$C$11</f>
        <v>-40000</v>
      </c>
      <c r="S4" s="3" t="s">
        <v>70</v>
      </c>
      <c r="T4" s="3" t="s">
        <v>71</v>
      </c>
      <c r="U4" s="3" t="s">
        <v>72</v>
      </c>
      <c r="V4" s="3" t="s">
        <v>73</v>
      </c>
      <c r="W4" s="3" t="s">
        <v>74</v>
      </c>
      <c r="Z4" s="3" t="s">
        <v>63</v>
      </c>
      <c r="AA4" s="20">
        <f ca="1">$C$12</f>
        <v>-0.2</v>
      </c>
      <c r="AC4" s="3" t="s">
        <v>70</v>
      </c>
      <c r="AD4" s="3" t="s">
        <v>71</v>
      </c>
      <c r="AE4" s="3" t="s">
        <v>72</v>
      </c>
      <c r="AF4" s="3" t="s">
        <v>73</v>
      </c>
      <c r="AG4" s="3" t="s">
        <v>74</v>
      </c>
    </row>
    <row r="5" spans="2:33">
      <c r="B5" s="3" t="s">
        <v>9</v>
      </c>
      <c r="C5" s="18" t="str">
        <f ca="1">VLOOKUP(Amortización!$C$4,Trabajador!$A$2:INDEX(Trabajador!$E:$E,ROWS(Trabajador!$E:$E)),2)</f>
        <v>Daniel</v>
      </c>
      <c r="F5" s="3" t="s">
        <v>75</v>
      </c>
      <c r="G5" s="15">
        <f ca="1">$C$9/G4</f>
        <v>159270.06858131365</v>
      </c>
      <c r="I5" s="16">
        <v>0</v>
      </c>
      <c r="J5" s="15">
        <v>0</v>
      </c>
      <c r="K5" s="15">
        <v>0</v>
      </c>
      <c r="L5" s="15">
        <f ca="1">IF(I5=$C$13,$C$14,0)</f>
        <v>0</v>
      </c>
      <c r="M5" s="15">
        <f ca="1">$C$9</f>
        <v>1300000</v>
      </c>
      <c r="P5" s="3" t="s">
        <v>69</v>
      </c>
      <c r="Q5" s="19">
        <f ca="1">(1-(1+$C$15)^(-($C$10)))/$C$15</f>
        <v>8.1622367063670769</v>
      </c>
      <c r="S5" s="16">
        <v>0</v>
      </c>
      <c r="T5" s="15">
        <v>0</v>
      </c>
      <c r="U5" s="15">
        <v>0</v>
      </c>
      <c r="V5" s="15">
        <f ca="1">IF(S5=$C$13,$C$14,0)</f>
        <v>0</v>
      </c>
      <c r="W5" s="15">
        <f ca="1">$C$9</f>
        <v>1300000</v>
      </c>
      <c r="Z5" s="3" t="s">
        <v>69</v>
      </c>
      <c r="AA5" s="19">
        <f ca="1">IF($C$15=AA4,$C$10/(1+$C$15),(1-((1+AA4)/(1+$C$15))^$C$10)/($C$15-AA4))</f>
        <v>4.0349664060115265</v>
      </c>
      <c r="AC5" s="16">
        <v>0</v>
      </c>
      <c r="AD5" s="15">
        <v>0</v>
      </c>
      <c r="AE5" s="15">
        <v>0</v>
      </c>
      <c r="AF5" s="15">
        <f ca="1">IF(AC5=$C$13,$C$14,0)</f>
        <v>0</v>
      </c>
      <c r="AG5" s="15">
        <f ca="1">$C$9</f>
        <v>1300000</v>
      </c>
    </row>
    <row r="6" spans="2:33">
      <c r="B6" s="3" t="s">
        <v>10</v>
      </c>
      <c r="C6" s="18" t="str">
        <f ca="1">VLOOKUP(Amortización!$C$4,Trabajador!$A$2:INDEX(Trabajador!$E:$E,ROWS(Trabajador!$E:$E)),3)</f>
        <v>Felipe</v>
      </c>
      <c r="F6" s="3" t="s">
        <v>76</v>
      </c>
      <c r="G6" s="16">
        <f ca="1">$C$10-$C$13</f>
        <v>9</v>
      </c>
      <c r="I6" s="16">
        <v>1</v>
      </c>
      <c r="J6" s="15">
        <f ca="1">IF(I6&lt;=$C$10,IF(I6&gt;$C$13,G$9,G$5),"")</f>
        <v>159270.06858131365</v>
      </c>
      <c r="K6" s="15">
        <f ca="1">IF(I6&lt;=$C$10,M5*$C$15,"")</f>
        <v>26000</v>
      </c>
      <c r="L6" s="15">
        <f ca="1">IF(I6&lt;=$C$10,J6-K6+IF(I6=$C$13,$C$14,0),"")</f>
        <v>133270.06858131365</v>
      </c>
      <c r="M6" s="15">
        <f t="shared" ref="M6:M41" ca="1" si="0">IF(I6&lt;=$C$10,M5-L6,"")</f>
        <v>1166729.9314186864</v>
      </c>
      <c r="P6" s="3" t="s">
        <v>77</v>
      </c>
      <c r="Q6" s="15">
        <f ca="1">($C$9-Q4/$C$15*(Q5-$C$10/(1+$C$15)^$C$10))/Q5</f>
        <v>313992.19591697084</v>
      </c>
      <c r="S6" s="16">
        <v>1</v>
      </c>
      <c r="T6" s="15">
        <f ca="1">IF(S6&lt;=$C$10,IF(S6&gt;$C$13,Q$10,Q$6)+((S6-IF(S6&gt;$C$13,$C$13+1,1))*Q$4),"")</f>
        <v>313992.19591697084</v>
      </c>
      <c r="U6" s="15">
        <f ca="1">IF(S6&lt;=$C$10,W5*$C$15,"")</f>
        <v>26000</v>
      </c>
      <c r="V6" s="15">
        <f ca="1">IF(S6&lt;=$C$10,T6-U6+IF(S6=$C$13,$C$14,0),"")</f>
        <v>287992.19591697084</v>
      </c>
      <c r="W6" s="15">
        <f ca="1">IF(S6&lt;=$C$10,W5-V6,"")</f>
        <v>1012007.8040830292</v>
      </c>
      <c r="Z6" s="3" t="s">
        <v>77</v>
      </c>
      <c r="AA6" s="15">
        <f ca="1">$C$9/AA5</f>
        <v>322183.59936359938</v>
      </c>
      <c r="AC6" s="16">
        <v>1</v>
      </c>
      <c r="AD6" s="15">
        <f ca="1">IF(AC6&lt;=$C$10,IF(AC6&gt;$C$13,AA$10,AA$6)*(1+AA$4)^(AC6-IF(AC6&gt;$C$13,$C$13+1,1)),"")</f>
        <v>322183.59936359938</v>
      </c>
      <c r="AE6" s="15">
        <f ca="1">IF(AC6&lt;=$C$10,AG5*$C$15,"")</f>
        <v>26000</v>
      </c>
      <c r="AF6" s="15">
        <f ca="1">IF(AC6&lt;=$C$10,AD6-AE6+IF(AC6=$C$13,$C$14,0),"")</f>
        <v>296183.59936359938</v>
      </c>
      <c r="AG6" s="15">
        <f t="shared" ref="AG6:AG41" ca="1" si="1">IF(AC6&lt;=$C$10,AG5-AF6,"")</f>
        <v>1003816.4006364006</v>
      </c>
    </row>
    <row r="7" spans="2:33">
      <c r="B7" s="3" t="s">
        <v>11</v>
      </c>
      <c r="C7" s="18" t="str">
        <f ca="1">VLOOKUP(Amortización!$C$4,Trabajador!$A$2:INDEX(Trabajador!$E:$E,ROWS(Trabajador!$E:$E)),4)</f>
        <v>Sánchez</v>
      </c>
      <c r="F7" s="3" t="s">
        <v>78</v>
      </c>
      <c r="G7" s="19">
        <f ca="1">(1-(1+$C$15)^(-((G6))))/$C$15</f>
        <v>8.1622367063670769</v>
      </c>
      <c r="I7" s="16">
        <v>2</v>
      </c>
      <c r="J7" s="15">
        <f ca="1">IF(I7&lt;=$C$10,IF(I7&gt;$C$13,G$9,G$5),"")</f>
        <v>159270.06858131365</v>
      </c>
      <c r="K7" s="15">
        <f ca="1">IF(I7&lt;=$C$10,M6*$C$15,"")</f>
        <v>23334.598628373729</v>
      </c>
      <c r="L7" s="15">
        <f ca="1">IF(I7&lt;=$C$10,J7-K7+IF(I7=$C$13,$C$14,0),"")</f>
        <v>135935.46995293992</v>
      </c>
      <c r="M7" s="15">
        <f t="shared" ca="1" si="0"/>
        <v>1030794.4614657465</v>
      </c>
      <c r="P7" s="3" t="s">
        <v>76</v>
      </c>
      <c r="Q7" s="16">
        <f ca="1">$C$10-$C$13</f>
        <v>9</v>
      </c>
      <c r="S7" s="16">
        <v>2</v>
      </c>
      <c r="T7" s="15">
        <f ca="1">IF(S7&lt;=$C$10,IF(S7&gt;$C$13,Q$10,Q$6)+((S7-IF(S7&gt;$C$13,$C$13+1,1))*Q$4),"")</f>
        <v>273992.19591697084</v>
      </c>
      <c r="U7" s="15">
        <f ca="1">IF(S7&lt;=$C$10,W6*$C$15,"")</f>
        <v>20240.156081660585</v>
      </c>
      <c r="V7" s="15">
        <f ca="1">IF(S7&lt;=$C$10,T7-U7+IF(S7=$C$13,$C$14,0),"")</f>
        <v>253752.03983531025</v>
      </c>
      <c r="W7" s="15">
        <f ca="1">IF(S7&lt;=$C$10,W6-V7,"")</f>
        <v>758255.76424771897</v>
      </c>
      <c r="Z7" s="3" t="s">
        <v>76</v>
      </c>
      <c r="AA7" s="16">
        <f ca="1">$C$10-$C$13</f>
        <v>9</v>
      </c>
      <c r="AC7" s="16">
        <v>2</v>
      </c>
      <c r="AD7" s="15">
        <f t="shared" ref="AD7:AD41" ca="1" si="2">IF(AC7&lt;=$C$10,IF(AC7&gt;$C$13,AA$10,AA$6)*(1+AA$4)^(AC7-IF(AC7&gt;$C$13,$C$13+1,1)),"")</f>
        <v>257746.87949087951</v>
      </c>
      <c r="AE7" s="15">
        <f ca="1">IF(AC7&lt;=$C$10,AG6*$C$15,"")</f>
        <v>20076.328012728012</v>
      </c>
      <c r="AF7" s="15">
        <f ca="1">IF(AC7&lt;=$C$10,AD7-AE7+IF(AC7=$C$13,$C$14,0),"")</f>
        <v>237670.55147815149</v>
      </c>
      <c r="AG7" s="15">
        <f t="shared" ca="1" si="1"/>
        <v>766145.8491582491</v>
      </c>
    </row>
    <row r="8" spans="2:33">
      <c r="B8" s="3" t="s">
        <v>12</v>
      </c>
      <c r="C8" s="18" t="str">
        <f ca="1">VLOOKUP(Amortización!$C$4,Trabajador!$A$2:INDEX(Trabajador!$E:$E,ROWS(Trabajador!$E:$E)),5)</f>
        <v>Ramírez</v>
      </c>
      <c r="F8" s="3" t="s">
        <v>79</v>
      </c>
      <c r="G8" s="15">
        <f ca="1">VLOOKUP($C$13,I5:M41,5)</f>
        <v>1300000</v>
      </c>
      <c r="I8" s="16">
        <v>3</v>
      </c>
      <c r="J8" s="15">
        <f ca="1">IF(I8&lt;=$C$10,IF(I8&gt;$C$13,G$9,G$5),"")</f>
        <v>159270.06858131365</v>
      </c>
      <c r="K8" s="15">
        <f ca="1">IF(I8&lt;=$C$10,M7*$C$15,"")</f>
        <v>20615.889229314929</v>
      </c>
      <c r="L8" s="15">
        <f ca="1">IF(I8&lt;=$C$10,J8-K8+IF(I8=$C$13,$C$14,0),"")</f>
        <v>138654.17935199873</v>
      </c>
      <c r="M8" s="15">
        <f t="shared" ca="1" si="0"/>
        <v>892140.28211374779</v>
      </c>
      <c r="P8" s="3" t="s">
        <v>78</v>
      </c>
      <c r="Q8" s="19">
        <f ca="1">(1-(1+$C$15)^(-((Q7))))/$C$15</f>
        <v>8.1622367063670769</v>
      </c>
      <c r="S8" s="16">
        <v>3</v>
      </c>
      <c r="T8" s="15">
        <f ca="1">IF(S8&lt;=$C$10,IF(S8&gt;$C$13,Q$10,Q$6)+((S8-IF(S8&gt;$C$13,$C$13+1,1))*Q$4),"")</f>
        <v>233992.19591697084</v>
      </c>
      <c r="U8" s="15">
        <f ca="1">IF(S8&lt;=$C$10,W7*$C$15,"")</f>
        <v>15165.11528495438</v>
      </c>
      <c r="V8" s="15">
        <f ca="1">IF(S8&lt;=$C$10,T8-U8+IF(S8=$C$13,$C$14,0),"")</f>
        <v>218827.08063201647</v>
      </c>
      <c r="W8" s="15">
        <f ca="1">IF(S8&lt;=$C$10,W7-V8,"")</f>
        <v>539428.68361570244</v>
      </c>
      <c r="Z8" s="3" t="s">
        <v>78</v>
      </c>
      <c r="AA8" s="19">
        <f ca="1">IF($C$15=AA4,AA7/(1+$C$15),(1-((1+AA4)/(1+$C$15))^AA7)/($C$15-AA4))</f>
        <v>4.0349664060115265</v>
      </c>
      <c r="AC8" s="16">
        <v>3</v>
      </c>
      <c r="AD8" s="15">
        <f t="shared" ca="1" si="2"/>
        <v>206197.50359270364</v>
      </c>
      <c r="AE8" s="15">
        <f ca="1">IF(AC8&lt;=$C$10,AG7*$C$15,"")</f>
        <v>15322.916983164982</v>
      </c>
      <c r="AF8" s="15">
        <f ca="1">IF(AC8&lt;=$C$10,AD8-AE8+IF(AC8=$C$13,$C$14,0),"")</f>
        <v>190874.58660953864</v>
      </c>
      <c r="AG8" s="15">
        <f t="shared" ca="1" si="1"/>
        <v>575271.26254871045</v>
      </c>
    </row>
    <row r="9" spans="2:33">
      <c r="B9" s="3" t="s">
        <v>60</v>
      </c>
      <c r="C9" s="15">
        <f ca="1">VLOOKUP($C$2,Crédito!$A$2:INDEX(Crédito!$L:$L,ROWS(Crédito!$L:$L)),7)</f>
        <v>1300000</v>
      </c>
      <c r="F9" s="3" t="s">
        <v>80</v>
      </c>
      <c r="G9" s="15">
        <f ca="1">G8/G7</f>
        <v>159270.06858131365</v>
      </c>
      <c r="I9" s="16">
        <v>4</v>
      </c>
      <c r="J9" s="15">
        <f ca="1">IF(I9&lt;=$C$10,IF(I9&gt;$C$13,G$9,G$5),"")</f>
        <v>159270.06858131365</v>
      </c>
      <c r="K9" s="15">
        <f ca="1">IF(I9&lt;=$C$10,M8*$C$15,"")</f>
        <v>17842.805642274958</v>
      </c>
      <c r="L9" s="15">
        <f ca="1">IF(I9&lt;=$C$10,J9-K9+IF(I9=$C$13,$C$14,0),"")</f>
        <v>141427.26293903869</v>
      </c>
      <c r="M9" s="15">
        <f t="shared" ca="1" si="0"/>
        <v>750713.0191747091</v>
      </c>
      <c r="P9" s="3" t="s">
        <v>79</v>
      </c>
      <c r="Q9" s="15">
        <f ca="1">VLOOKUP($C$13,S5:W41,5)</f>
        <v>1300000</v>
      </c>
      <c r="S9" s="16">
        <v>4</v>
      </c>
      <c r="T9" s="15">
        <f ca="1">IF(S9&lt;=$C$10,IF(S9&gt;$C$13,Q$10,Q$6)+((S9-IF(S9&gt;$C$13,$C$13+1,1))*Q$4),"")</f>
        <v>193992.19591697084</v>
      </c>
      <c r="U9" s="15">
        <f ca="1">IF(S9&lt;=$C$10,W8*$C$15,"")</f>
        <v>10788.573672314049</v>
      </c>
      <c r="V9" s="15">
        <f ca="1">IF(S9&lt;=$C$10,T9-U9+IF(S9=$C$13,$C$14,0),"")</f>
        <v>183203.62224465678</v>
      </c>
      <c r="W9" s="15">
        <f ca="1">IF(S9&lt;=$C$10,W8-V9,"")</f>
        <v>356225.06137104565</v>
      </c>
      <c r="Z9" s="3" t="s">
        <v>79</v>
      </c>
      <c r="AA9" s="15">
        <f ca="1">VLOOKUP($C$13,AC5:AG41,5)</f>
        <v>1300000</v>
      </c>
      <c r="AC9" s="16">
        <v>4</v>
      </c>
      <c r="AD9" s="15">
        <f t="shared" ca="1" si="2"/>
        <v>164958.00287416292</v>
      </c>
      <c r="AE9" s="15">
        <f ca="1">IF(AC9&lt;=$C$10,AG8*$C$15,"")</f>
        <v>11505.425250974209</v>
      </c>
      <c r="AF9" s="15">
        <f ca="1">IF(AC9&lt;=$C$10,AD9-AE9+IF(AC9=$C$13,$C$14,0),"")</f>
        <v>153452.5776231887</v>
      </c>
      <c r="AG9" s="15">
        <f t="shared" ca="1" si="1"/>
        <v>421818.68492552172</v>
      </c>
    </row>
    <row r="10" spans="2:33">
      <c r="B10" s="3" t="s">
        <v>61</v>
      </c>
      <c r="C10" s="16">
        <f ca="1">VLOOKUP($C$2,Crédito!$A$2:INDEX(Crédito!$L:$L,ROWS(Crédito!$L:$L)),8)</f>
        <v>9</v>
      </c>
      <c r="I10" s="16">
        <v>5</v>
      </c>
      <c r="J10" s="15">
        <f ca="1">IF(I10&lt;=$C$10,IF(I10&gt;$C$13,G$9,G$5),"")</f>
        <v>159270.06858131365</v>
      </c>
      <c r="K10" s="15">
        <f ca="1">IF(I10&lt;=$C$10,M9*$C$15,"")</f>
        <v>15014.260383494182</v>
      </c>
      <c r="L10" s="15">
        <f ca="1">IF(I10&lt;=$C$10,J10-K10+IF(I10=$C$13,$C$14,0),"")</f>
        <v>144255.80819781948</v>
      </c>
      <c r="M10" s="15">
        <f t="shared" ca="1" si="0"/>
        <v>606457.21097688959</v>
      </c>
      <c r="P10" s="3" t="s">
        <v>81</v>
      </c>
      <c r="Q10" s="15">
        <f ca="1">(Q9-Q4/$C$15*(Q8-Q7/(1+$C$15)^Q7))/Q8</f>
        <v>313992.19591697084</v>
      </c>
      <c r="S10" s="16">
        <v>5</v>
      </c>
      <c r="T10" s="15">
        <f ca="1">IF(S10&lt;=$C$10,IF(S10&gt;$C$13,Q$10,Q$6)+((S10-IF(S10&gt;$C$13,$C$13+1,1))*Q$4),"")</f>
        <v>153992.19591697084</v>
      </c>
      <c r="U10" s="15">
        <f ca="1">IF(S10&lt;=$C$10,W9*$C$15,"")</f>
        <v>7124.501227420913</v>
      </c>
      <c r="V10" s="15">
        <f ca="1">IF(S10&lt;=$C$10,T10-U10+IF(S10=$C$13,$C$14,0),"")</f>
        <v>146867.69468954994</v>
      </c>
      <c r="W10" s="15">
        <f ca="1">IF(S10&lt;=$C$10,W9-V10,"")</f>
        <v>209357.36668149571</v>
      </c>
      <c r="Z10" s="3" t="s">
        <v>81</v>
      </c>
      <c r="AA10" s="15">
        <f ca="1">AA9/AA8</f>
        <v>322183.59936359938</v>
      </c>
      <c r="AC10" s="16">
        <v>5</v>
      </c>
      <c r="AD10" s="15">
        <f t="shared" ca="1" si="2"/>
        <v>131966.40229933037</v>
      </c>
      <c r="AE10" s="15">
        <f ca="1">IF(AC10&lt;=$C$10,AG9*$C$15,"")</f>
        <v>8436.3736985104351</v>
      </c>
      <c r="AF10" s="15">
        <f ca="1">IF(AC10&lt;=$C$10,AD10-AE10+IF(AC10=$C$13,$C$14,0),"")</f>
        <v>123530.02860081993</v>
      </c>
      <c r="AG10" s="15">
        <f t="shared" ca="1" si="1"/>
        <v>298288.65632470179</v>
      </c>
    </row>
    <row r="11" spans="2:33">
      <c r="B11" s="3" t="s">
        <v>82</v>
      </c>
      <c r="C11" s="15">
        <f ca="1">VLOOKUP($C$2,Crédito!$A$2:INDEX(Crédito!$L:$L,ROWS(Crédito!$L:$L)),9)</f>
        <v>-40000</v>
      </c>
      <c r="I11" s="16">
        <v>6</v>
      </c>
      <c r="J11" s="15">
        <f ca="1">IF(I11&lt;=$C$10,IF(I11&gt;$C$13,G$9,G$5),"")</f>
        <v>159270.06858131365</v>
      </c>
      <c r="K11" s="15">
        <f ca="1">IF(I11&lt;=$C$10,M10*$C$15,"")</f>
        <v>12129.144219537791</v>
      </c>
      <c r="L11" s="15">
        <f ca="1">IF(I11&lt;=$C$10,J11-K11+IF(I11=$C$13,$C$14,0),"")</f>
        <v>147140.92436177586</v>
      </c>
      <c r="M11" s="15">
        <f t="shared" ca="1" si="0"/>
        <v>459316.28661511373</v>
      </c>
      <c r="S11" s="16">
        <v>6</v>
      </c>
      <c r="T11" s="15">
        <f ca="1">IF(S11&lt;=$C$10,IF(S11&gt;$C$13,Q$10,Q$6)+((S11-IF(S11&gt;$C$13,$C$13+1,1))*Q$4),"")</f>
        <v>113992.19591697084</v>
      </c>
      <c r="U11" s="15">
        <f ca="1">IF(S11&lt;=$C$10,W10*$C$15,"")</f>
        <v>4187.1473336299141</v>
      </c>
      <c r="V11" s="15">
        <f ca="1">IF(S11&lt;=$C$10,T11-U11+IF(S11=$C$13,$C$14,0),"")</f>
        <v>109805.04858334093</v>
      </c>
      <c r="W11" s="15">
        <f ca="1">IF(S11&lt;=$C$10,W10-V11,"")</f>
        <v>99552.318098154778</v>
      </c>
      <c r="AC11" s="16">
        <v>6</v>
      </c>
      <c r="AD11" s="15">
        <f t="shared" ca="1" si="2"/>
        <v>105573.12183946431</v>
      </c>
      <c r="AE11" s="15">
        <f ca="1">IF(AC11&lt;=$C$10,AG10*$C$15,"")</f>
        <v>5965.7731264940358</v>
      </c>
      <c r="AF11" s="15">
        <f ca="1">IF(AC11&lt;=$C$10,AD11-AE11+IF(AC11=$C$13,$C$14,0),"")</f>
        <v>99607.34871297027</v>
      </c>
      <c r="AG11" s="15">
        <f t="shared" ca="1" si="1"/>
        <v>198681.30761173152</v>
      </c>
    </row>
    <row r="12" spans="2:33">
      <c r="B12" s="3" t="s">
        <v>63</v>
      </c>
      <c r="C12" s="19">
        <f ca="1">VLOOKUP($C$2,Crédito!$A$2:INDEX(Crédito!$L:$L,ROWS(Crédito!$L:$L)),10)</f>
        <v>-0.2</v>
      </c>
      <c r="I12" s="16">
        <v>7</v>
      </c>
      <c r="J12" s="15">
        <f ca="1">IF(I12&lt;=$C$10,IF(I12&gt;$C$13,G$9,G$5),"")</f>
        <v>159270.06858131365</v>
      </c>
      <c r="K12" s="15">
        <f ca="1">IF(I12&lt;=$C$10,M11*$C$15,"")</f>
        <v>9186.3257323022754</v>
      </c>
      <c r="L12" s="15">
        <f ca="1">IF(I12&lt;=$C$10,J12-K12+IF(I12=$C$13,$C$14,0),"")</f>
        <v>150083.74284901138</v>
      </c>
      <c r="M12" s="15">
        <f t="shared" ca="1" si="0"/>
        <v>309232.54376610235</v>
      </c>
      <c r="S12" s="16">
        <v>7</v>
      </c>
      <c r="T12" s="15">
        <f ca="1">IF(S12&lt;=$C$10,IF(S12&gt;$C$13,Q$10,Q$6)+((S12-IF(S12&gt;$C$13,$C$13+1,1))*Q$4),"")</f>
        <v>73992.195916970843</v>
      </c>
      <c r="U12" s="15">
        <f ca="1">IF(S12&lt;=$C$10,W11*$C$15,"")</f>
        <v>1991.0463619630957</v>
      </c>
      <c r="V12" s="15">
        <f ca="1">IF(S12&lt;=$C$10,T12-U12+IF(S12=$C$13,$C$14,0),"")</f>
        <v>72001.149555007752</v>
      </c>
      <c r="W12" s="15">
        <f ca="1">IF(S12&lt;=$C$10,W11-V12,"")</f>
        <v>27551.168543147025</v>
      </c>
      <c r="AC12" s="16">
        <v>7</v>
      </c>
      <c r="AD12" s="15">
        <f t="shared" ca="1" si="2"/>
        <v>84458.497471571449</v>
      </c>
      <c r="AE12" s="15">
        <f ca="1">IF(AC12&lt;=$C$10,AG11*$C$15,"")</f>
        <v>3973.6261522346304</v>
      </c>
      <c r="AF12" s="15">
        <f ca="1">IF(AC12&lt;=$C$10,AD12-AE12+IF(AC12=$C$13,$C$14,0),"")</f>
        <v>80484.871319336817</v>
      </c>
      <c r="AG12" s="15">
        <f t="shared" ca="1" si="1"/>
        <v>118196.4362923947</v>
      </c>
    </row>
    <row r="13" spans="2:33">
      <c r="B13" s="3" t="s">
        <v>64</v>
      </c>
      <c r="C13" s="16">
        <f ca="1">VLOOKUP($C$2,Crédito!$A$2:INDEX(Crédito!$L:$L,ROWS(Crédito!$L:$L)),11)</f>
        <v>0</v>
      </c>
      <c r="I13" s="16">
        <v>8</v>
      </c>
      <c r="J13" s="15">
        <f ca="1">IF(I13&lt;=$C$10,IF(I13&gt;$C$13,G$9,G$5),"")</f>
        <v>159270.06858131365</v>
      </c>
      <c r="K13" s="15">
        <f ca="1">IF(I13&lt;=$C$10,M12*$C$15,"")</f>
        <v>6184.6508753220469</v>
      </c>
      <c r="L13" s="15">
        <f ca="1">IF(I13&lt;=$C$10,J13-K13+IF(I13=$C$13,$C$14,0),"")</f>
        <v>153085.4177059916</v>
      </c>
      <c r="M13" s="15">
        <f t="shared" ca="1" si="0"/>
        <v>156147.12606011075</v>
      </c>
      <c r="S13" s="16">
        <v>8</v>
      </c>
      <c r="T13" s="15">
        <f ca="1">IF(S13&lt;=$C$10,IF(S13&gt;$C$13,Q$10,Q$6)+((S13-IF(S13&gt;$C$13,$C$13+1,1))*Q$4),"")</f>
        <v>33992.195916970843</v>
      </c>
      <c r="U13" s="15">
        <f ca="1">IF(S13&lt;=$C$10,W12*$C$15,"")</f>
        <v>551.02337086294051</v>
      </c>
      <c r="V13" s="15">
        <f ca="1">IF(S13&lt;=$C$10,T13-U13+IF(S13=$C$13,$C$14,0),"")</f>
        <v>33441.172546107904</v>
      </c>
      <c r="W13" s="15">
        <f ca="1">IF(S13&lt;=$C$10,W12-V13,"")</f>
        <v>-5890.004002960879</v>
      </c>
      <c r="AC13" s="16">
        <v>8</v>
      </c>
      <c r="AD13" s="15">
        <f t="shared" ca="1" si="2"/>
        <v>67566.797977257171</v>
      </c>
      <c r="AE13" s="15">
        <f ca="1">IF(AC13&lt;=$C$10,AG12*$C$15,"")</f>
        <v>2363.9287258478939</v>
      </c>
      <c r="AF13" s="15">
        <f ca="1">IF(AC13&lt;=$C$10,AD13-AE13+IF(AC13=$C$13,$C$14,0),"")</f>
        <v>65202.869251409276</v>
      </c>
      <c r="AG13" s="15">
        <f t="shared" ca="1" si="1"/>
        <v>52993.567040985428</v>
      </c>
    </row>
    <row r="14" spans="2:33">
      <c r="B14" s="3" t="s">
        <v>65</v>
      </c>
      <c r="C14" s="15">
        <f ca="1">VLOOKUP($C$2,Crédito!$A$2:INDEX(Crédito!$L:$L,ROWS(Crédito!$L:$L)),12)</f>
        <v>0</v>
      </c>
      <c r="I14" s="16">
        <v>9</v>
      </c>
      <c r="J14" s="15">
        <f ca="1">IF(I14&lt;=$C$10,IF(I14&gt;$C$13,G$9,G$5),"")</f>
        <v>159270.06858131365</v>
      </c>
      <c r="K14" s="15">
        <f ca="1">IF(I14&lt;=$C$10,M13*$C$15,"")</f>
        <v>3122.9425212022152</v>
      </c>
      <c r="L14" s="15">
        <f ca="1">IF(I14&lt;=$C$10,J14-K14+IF(I14=$C$13,$C$14,0),"")</f>
        <v>156147.12606011145</v>
      </c>
      <c r="M14" s="15">
        <f t="shared" ca="1" si="0"/>
        <v>-6.9849193096160889E-10</v>
      </c>
      <c r="S14" s="16">
        <v>9</v>
      </c>
      <c r="T14" s="15">
        <f ca="1">IF(S14&lt;=$C$10,IF(S14&gt;$C$13,Q$10,Q$6)+((S14-IF(S14&gt;$C$13,$C$13+1,1))*Q$4),"")</f>
        <v>-6007.8040830291575</v>
      </c>
      <c r="U14" s="15">
        <f ca="1">IF(S14&lt;=$C$10,W13*$C$15,"")</f>
        <v>-117.80008005921758</v>
      </c>
      <c r="V14" s="15">
        <f ca="1">IF(S14&lt;=$C$10,T14-U14+IF(S14=$C$13,$C$14,0),"")</f>
        <v>-5890.0040029699403</v>
      </c>
      <c r="W14" s="15">
        <f ca="1">IF(S14&lt;=$C$10,W13-V14,"")</f>
        <v>9.061295713763684E-9</v>
      </c>
      <c r="AC14" s="16">
        <v>9</v>
      </c>
      <c r="AD14" s="15">
        <f t="shared" ca="1" si="2"/>
        <v>54053.438381805739</v>
      </c>
      <c r="AE14" s="15">
        <f ca="1">IF(AC14&lt;=$C$10,AG13*$C$15,"")</f>
        <v>1059.8713408197086</v>
      </c>
      <c r="AF14" s="15">
        <f ca="1">IF(AC14&lt;=$C$10,AD14-AE14+IF(AC14=$C$13,$C$14,0),"")</f>
        <v>52993.567040986032</v>
      </c>
      <c r="AG14" s="15">
        <f t="shared" ca="1" si="1"/>
        <v>-6.0390448197722435E-10</v>
      </c>
    </row>
    <row r="15" spans="2:33">
      <c r="B15" s="3" t="s">
        <v>6</v>
      </c>
      <c r="C15" s="19">
        <f>Política!$C$5</f>
        <v>0.02</v>
      </c>
      <c r="I15" s="16">
        <v>10</v>
      </c>
      <c r="J15" s="15" t="str">
        <f ca="1">IF(I15&lt;=$C$10,IF(I15&gt;$C$13,G$9,G$5),"")</f>
        <v/>
      </c>
      <c r="K15" s="15" t="str">
        <f ca="1">IF(I15&lt;=$C$10,M14*$C$15,"")</f>
        <v/>
      </c>
      <c r="L15" s="15" t="str">
        <f ca="1">IF(I15&lt;=$C$10,J15-K15+IF(I15=$C$13,$C$14,0),"")</f>
        <v/>
      </c>
      <c r="M15" s="15" t="str">
        <f t="shared" ca="1" si="0"/>
        <v/>
      </c>
      <c r="S15" s="16">
        <v>10</v>
      </c>
      <c r="T15" s="15" t="str">
        <f ca="1">IF(S15&lt;=$C$10,IF(S15&gt;$C$13,Q$10,Q$6)+((S15-IF(S15&gt;$C$13,$C$13+1,1))*Q$4),"")</f>
        <v/>
      </c>
      <c r="U15" s="15" t="str">
        <f ca="1">IF(S15&lt;=$C$10,W14*$C$15,"")</f>
        <v/>
      </c>
      <c r="V15" s="15" t="str">
        <f ca="1">IF(S15&lt;=$C$10,T15-U15+IF(S15=$C$13,$C$14,0),"")</f>
        <v/>
      </c>
      <c r="W15" s="15" t="str">
        <f ca="1">IF(S15&lt;=$C$10,W14-V15,"")</f>
        <v/>
      </c>
      <c r="AC15" s="16">
        <v>10</v>
      </c>
      <c r="AD15" s="15" t="str">
        <f t="shared" ca="1" si="2"/>
        <v/>
      </c>
      <c r="AE15" s="15" t="str">
        <f ca="1">IF(AC15&lt;=$C$10,AG14*$C$15,"")</f>
        <v/>
      </c>
      <c r="AF15" s="15" t="str">
        <f ca="1">IF(AC15&lt;=$C$10,AD15-AE15+IF(AC15=$C$13,$C$14,0),"")</f>
        <v/>
      </c>
      <c r="AG15" s="15" t="str">
        <f t="shared" ca="1" si="1"/>
        <v/>
      </c>
    </row>
    <row r="16" spans="2:33">
      <c r="I16" s="16">
        <v>11</v>
      </c>
      <c r="J16" s="15" t="str">
        <f ca="1">IF(I16&lt;=$C$10,IF(I16&gt;$C$13,G$9,G$5),"")</f>
        <v/>
      </c>
      <c r="K16" s="15" t="str">
        <f ca="1">IF(I16&lt;=$C$10,M15*$C$15,"")</f>
        <v/>
      </c>
      <c r="L16" s="15" t="str">
        <f ca="1">IF(I16&lt;=$C$10,J16-K16+IF(I16=$C$13,$C$14,0),"")</f>
        <v/>
      </c>
      <c r="M16" s="15" t="str">
        <f t="shared" ca="1" si="0"/>
        <v/>
      </c>
      <c r="S16" s="16">
        <v>11</v>
      </c>
      <c r="T16" s="15" t="str">
        <f ca="1">IF(S16&lt;=$C$10,IF(S16&gt;$C$13,Q$10,Q$6)+((S16-IF(S16&gt;$C$13,$C$13+1,1))*Q$4),"")</f>
        <v/>
      </c>
      <c r="U16" s="15" t="str">
        <f ca="1">IF(S16&lt;=$C$10,W15*$C$15,"")</f>
        <v/>
      </c>
      <c r="V16" s="15" t="str">
        <f ca="1">IF(S16&lt;=$C$10,T16-U16+IF(S16=$C$13,$C$14,0),"")</f>
        <v/>
      </c>
      <c r="W16" s="15" t="str">
        <f ca="1">IF(S16&lt;=$C$10,W15-V16,"")</f>
        <v/>
      </c>
      <c r="AC16" s="16">
        <v>11</v>
      </c>
      <c r="AD16" s="15" t="str">
        <f t="shared" ca="1" si="2"/>
        <v/>
      </c>
      <c r="AE16" s="15" t="str">
        <f ca="1">IF(AC16&lt;=$C$10,AG15*$C$15,"")</f>
        <v/>
      </c>
      <c r="AF16" s="15" t="str">
        <f ca="1">IF(AC16&lt;=$C$10,AD16-AE16+IF(AC16=$C$13,$C$14,0),"")</f>
        <v/>
      </c>
      <c r="AG16" s="15" t="str">
        <f t="shared" ca="1" si="1"/>
        <v/>
      </c>
    </row>
    <row r="17" spans="9:33">
      <c r="I17" s="16">
        <v>12</v>
      </c>
      <c r="J17" s="15" t="str">
        <f ca="1">IF(I17&lt;=$C$10,IF(I17&gt;$C$13,G$9,G$5),"")</f>
        <v/>
      </c>
      <c r="K17" s="15" t="str">
        <f ca="1">IF(I17&lt;=$C$10,M16*$C$15,"")</f>
        <v/>
      </c>
      <c r="L17" s="15" t="str">
        <f ca="1">IF(I17&lt;=$C$10,J17-K17+IF(I17=$C$13,$C$14,0),"")</f>
        <v/>
      </c>
      <c r="M17" s="15" t="str">
        <f t="shared" ca="1" si="0"/>
        <v/>
      </c>
      <c r="S17" s="16">
        <v>12</v>
      </c>
      <c r="T17" s="15" t="str">
        <f ca="1">IF(S17&lt;=$C$10,IF(S17&gt;$C$13,Q$10,Q$6)+((S17-IF(S17&gt;$C$13,$C$13+1,1))*Q$4),"")</f>
        <v/>
      </c>
      <c r="U17" s="15" t="str">
        <f ca="1">IF(S17&lt;=$C$10,W16*$C$15,"")</f>
        <v/>
      </c>
      <c r="V17" s="15" t="str">
        <f ca="1">IF(S17&lt;=$C$10,T17-U17+IF(S17=$C$13,$C$14,0),"")</f>
        <v/>
      </c>
      <c r="W17" s="15" t="str">
        <f ca="1">IF(S17&lt;=$C$10,W16-V17,"")</f>
        <v/>
      </c>
      <c r="AC17" s="16">
        <v>12</v>
      </c>
      <c r="AD17" s="15" t="str">
        <f t="shared" ca="1" si="2"/>
        <v/>
      </c>
      <c r="AE17" s="15" t="str">
        <f ca="1">IF(AC17&lt;=$C$10,AG16*$C$15,"")</f>
        <v/>
      </c>
      <c r="AF17" s="15" t="str">
        <f ca="1">IF(AC17&lt;=$C$10,AD17-AE17+IF(AC17=$C$13,$C$14,0),"")</f>
        <v/>
      </c>
      <c r="AG17" s="15" t="str">
        <f t="shared" ca="1" si="1"/>
        <v/>
      </c>
    </row>
    <row r="18" spans="9:33">
      <c r="I18" s="16">
        <v>13</v>
      </c>
      <c r="J18" s="15" t="str">
        <f ca="1">IF(I18&lt;=$C$10,IF(I18&gt;$C$13,G$9,G$5),"")</f>
        <v/>
      </c>
      <c r="K18" s="15" t="str">
        <f ca="1">IF(I18&lt;=$C$10,M17*$C$15,"")</f>
        <v/>
      </c>
      <c r="L18" s="15" t="str">
        <f ca="1">IF(I18&lt;=$C$10,J18-K18+IF(I18=$C$13,$C$14,0),"")</f>
        <v/>
      </c>
      <c r="M18" s="15" t="str">
        <f t="shared" ca="1" si="0"/>
        <v/>
      </c>
      <c r="S18" s="16">
        <v>13</v>
      </c>
      <c r="T18" s="15" t="str">
        <f ca="1">IF(S18&lt;=$C$10,IF(S18&gt;$C$13,Q$10,Q$6)+((S18-IF(S18&gt;$C$13,$C$13+1,1))*Q$4),"")</f>
        <v/>
      </c>
      <c r="U18" s="15" t="str">
        <f ca="1">IF(S18&lt;=$C$10,W17*$C$15,"")</f>
        <v/>
      </c>
      <c r="V18" s="15" t="str">
        <f ca="1">IF(S18&lt;=$C$10,T18-U18+IF(S18=$C$13,$C$14,0),"")</f>
        <v/>
      </c>
      <c r="W18" s="15" t="str">
        <f ca="1">IF(S18&lt;=$C$10,W17-V18,"")</f>
        <v/>
      </c>
      <c r="AC18" s="16">
        <v>13</v>
      </c>
      <c r="AD18" s="15" t="str">
        <f t="shared" ca="1" si="2"/>
        <v/>
      </c>
      <c r="AE18" s="15" t="str">
        <f ca="1">IF(AC18&lt;=$C$10,AG17*$C$15,"")</f>
        <v/>
      </c>
      <c r="AF18" s="15" t="str">
        <f ca="1">IF(AC18&lt;=$C$10,AD18-AE18+IF(AC18=$C$13,$C$14,0),"")</f>
        <v/>
      </c>
      <c r="AG18" s="15" t="str">
        <f t="shared" ca="1" si="1"/>
        <v/>
      </c>
    </row>
    <row r="19" spans="9:33">
      <c r="I19" s="16">
        <v>14</v>
      </c>
      <c r="J19" s="15" t="str">
        <f ca="1">IF(I19&lt;=$C$10,IF(I19&gt;$C$13,G$9,G$5),"")</f>
        <v/>
      </c>
      <c r="K19" s="15" t="str">
        <f ca="1">IF(I19&lt;=$C$10,M18*$C$15,"")</f>
        <v/>
      </c>
      <c r="L19" s="15" t="str">
        <f ca="1">IF(I19&lt;=$C$10,J19-K19+IF(I19=$C$13,$C$14,0),"")</f>
        <v/>
      </c>
      <c r="M19" s="15" t="str">
        <f t="shared" ca="1" si="0"/>
        <v/>
      </c>
      <c r="S19" s="16">
        <v>14</v>
      </c>
      <c r="T19" s="15" t="str">
        <f ca="1">IF(S19&lt;=$C$10,IF(S19&gt;$C$13,Q$10,Q$6)+((S19-IF(S19&gt;$C$13,$C$13+1,1))*Q$4),"")</f>
        <v/>
      </c>
      <c r="U19" s="15" t="str">
        <f ca="1">IF(S19&lt;=$C$10,W18*$C$15,"")</f>
        <v/>
      </c>
      <c r="V19" s="15" t="str">
        <f ca="1">IF(S19&lt;=$C$10,T19-U19+IF(S19=$C$13,$C$14,0),"")</f>
        <v/>
      </c>
      <c r="W19" s="15" t="str">
        <f ca="1">IF(S19&lt;=$C$10,W18-V19,"")</f>
        <v/>
      </c>
      <c r="AC19" s="16">
        <v>14</v>
      </c>
      <c r="AD19" s="15" t="str">
        <f t="shared" ca="1" si="2"/>
        <v/>
      </c>
      <c r="AE19" s="15" t="str">
        <f ca="1">IF(AC19&lt;=$C$10,AG18*$C$15,"")</f>
        <v/>
      </c>
      <c r="AF19" s="15" t="str">
        <f ca="1">IF(AC19&lt;=$C$10,AD19-AE19+IF(AC19=$C$13,$C$14,0),"")</f>
        <v/>
      </c>
      <c r="AG19" s="15" t="str">
        <f t="shared" ca="1" si="1"/>
        <v/>
      </c>
    </row>
    <row r="20" spans="9:33">
      <c r="I20" s="16">
        <v>15</v>
      </c>
      <c r="J20" s="15" t="str">
        <f ca="1">IF(I20&lt;=$C$10,IF(I20&gt;$C$13,G$9,G$5),"")</f>
        <v/>
      </c>
      <c r="K20" s="15" t="str">
        <f ca="1">IF(I20&lt;=$C$10,M19*$C$15,"")</f>
        <v/>
      </c>
      <c r="L20" s="15" t="str">
        <f ca="1">IF(I20&lt;=$C$10,J20-K20+IF(I20=$C$13,$C$14,0),"")</f>
        <v/>
      </c>
      <c r="M20" s="15" t="str">
        <f t="shared" ca="1" si="0"/>
        <v/>
      </c>
      <c r="S20" s="16">
        <v>15</v>
      </c>
      <c r="T20" s="15" t="str">
        <f ca="1">IF(S20&lt;=$C$10,IF(S20&gt;$C$13,Q$10,Q$6)+((S20-IF(S20&gt;$C$13,$C$13+1,1))*Q$4),"")</f>
        <v/>
      </c>
      <c r="U20" s="15" t="str">
        <f ca="1">IF(S20&lt;=$C$10,W19*$C$15,"")</f>
        <v/>
      </c>
      <c r="V20" s="15" t="str">
        <f ca="1">IF(S20&lt;=$C$10,T20-U20+IF(S20=$C$13,$C$14,0),"")</f>
        <v/>
      </c>
      <c r="W20" s="15" t="str">
        <f ca="1">IF(S20&lt;=$C$10,W19-V20,"")</f>
        <v/>
      </c>
      <c r="AC20" s="16">
        <v>15</v>
      </c>
      <c r="AD20" s="15" t="str">
        <f t="shared" ca="1" si="2"/>
        <v/>
      </c>
      <c r="AE20" s="15" t="str">
        <f ca="1">IF(AC20&lt;=$C$10,AG19*$C$15,"")</f>
        <v/>
      </c>
      <c r="AF20" s="15" t="str">
        <f ca="1">IF(AC20&lt;=$C$10,AD20-AE20+IF(AC20=$C$13,$C$14,0),"")</f>
        <v/>
      </c>
      <c r="AG20" s="15" t="str">
        <f t="shared" ca="1" si="1"/>
        <v/>
      </c>
    </row>
    <row r="21" spans="9:33">
      <c r="I21" s="16">
        <v>16</v>
      </c>
      <c r="J21" s="15" t="str">
        <f ca="1">IF(I21&lt;=$C$10,IF(I21&gt;$C$13,G$9,G$5),"")</f>
        <v/>
      </c>
      <c r="K21" s="15" t="str">
        <f ca="1">IF(I21&lt;=$C$10,M20*$C$15,"")</f>
        <v/>
      </c>
      <c r="L21" s="15" t="str">
        <f ca="1">IF(I21&lt;=$C$10,J21-K21+IF(I21=$C$13,$C$14,0),"")</f>
        <v/>
      </c>
      <c r="M21" s="15" t="str">
        <f t="shared" ca="1" si="0"/>
        <v/>
      </c>
      <c r="S21" s="16">
        <v>16</v>
      </c>
      <c r="T21" s="15" t="str">
        <f ca="1">IF(S21&lt;=$C$10,IF(S21&gt;$C$13,Q$10,Q$6)+((S21-IF(S21&gt;$C$13,$C$13+1,1))*Q$4),"")</f>
        <v/>
      </c>
      <c r="U21" s="15" t="str">
        <f ca="1">IF(S21&lt;=$C$10,W20*$C$15,"")</f>
        <v/>
      </c>
      <c r="V21" s="15" t="str">
        <f ca="1">IF(S21&lt;=$C$10,T21-U21+IF(S21=$C$13,$C$14,0),"")</f>
        <v/>
      </c>
      <c r="W21" s="15" t="str">
        <f ca="1">IF(S21&lt;=$C$10,W20-V21,"")</f>
        <v/>
      </c>
      <c r="AC21" s="16">
        <v>16</v>
      </c>
      <c r="AD21" s="15" t="str">
        <f t="shared" ca="1" si="2"/>
        <v/>
      </c>
      <c r="AE21" s="15" t="str">
        <f ca="1">IF(AC21&lt;=$C$10,AG20*$C$15,"")</f>
        <v/>
      </c>
      <c r="AF21" s="15" t="str">
        <f ca="1">IF(AC21&lt;=$C$10,AD21-AE21+IF(AC21=$C$13,$C$14,0),"")</f>
        <v/>
      </c>
      <c r="AG21" s="15" t="str">
        <f t="shared" ca="1" si="1"/>
        <v/>
      </c>
    </row>
    <row r="22" spans="9:33">
      <c r="I22" s="16">
        <v>17</v>
      </c>
      <c r="J22" s="15" t="str">
        <f ca="1">IF(I22&lt;=$C$10,IF(I22&gt;$C$13,G$9,G$5),"")</f>
        <v/>
      </c>
      <c r="K22" s="15" t="str">
        <f ca="1">IF(I22&lt;=$C$10,M21*$C$15,"")</f>
        <v/>
      </c>
      <c r="L22" s="15" t="str">
        <f ca="1">IF(I22&lt;=$C$10,J22-K22+IF(I22=$C$13,$C$14,0),"")</f>
        <v/>
      </c>
      <c r="M22" s="15" t="str">
        <f t="shared" ca="1" si="0"/>
        <v/>
      </c>
      <c r="S22" s="16">
        <v>17</v>
      </c>
      <c r="T22" s="15" t="str">
        <f ca="1">IF(S22&lt;=$C$10,IF(S22&gt;$C$13,Q$10,Q$6)+((S22-IF(S22&gt;$C$13,$C$13+1,1))*Q$4),"")</f>
        <v/>
      </c>
      <c r="U22" s="15" t="str">
        <f ca="1">IF(S22&lt;=$C$10,W21*$C$15,"")</f>
        <v/>
      </c>
      <c r="V22" s="15" t="str">
        <f ca="1">IF(S22&lt;=$C$10,T22-U22+IF(S22=$C$13,$C$14,0),"")</f>
        <v/>
      </c>
      <c r="W22" s="15" t="str">
        <f ca="1">IF(S22&lt;=$C$10,W21-V22,"")</f>
        <v/>
      </c>
      <c r="AC22" s="16">
        <v>17</v>
      </c>
      <c r="AD22" s="15" t="str">
        <f t="shared" ca="1" si="2"/>
        <v/>
      </c>
      <c r="AE22" s="15" t="str">
        <f ca="1">IF(AC22&lt;=$C$10,AG21*$C$15,"")</f>
        <v/>
      </c>
      <c r="AF22" s="15" t="str">
        <f ca="1">IF(AC22&lt;=$C$10,AD22-AE22+IF(AC22=$C$13,$C$14,0),"")</f>
        <v/>
      </c>
      <c r="AG22" s="15" t="str">
        <f t="shared" ca="1" si="1"/>
        <v/>
      </c>
    </row>
    <row r="23" spans="9:33">
      <c r="I23" s="16">
        <v>18</v>
      </c>
      <c r="J23" s="15" t="str">
        <f ca="1">IF(I23&lt;=$C$10,IF(I23&gt;$C$13,G$9,G$5),"")</f>
        <v/>
      </c>
      <c r="K23" s="15" t="str">
        <f ca="1">IF(I23&lt;=$C$10,M22*$C$15,"")</f>
        <v/>
      </c>
      <c r="L23" s="15" t="str">
        <f ca="1">IF(I23&lt;=$C$10,J23-K23+IF(I23=$C$13,$C$14,0),"")</f>
        <v/>
      </c>
      <c r="M23" s="15" t="str">
        <f t="shared" ca="1" si="0"/>
        <v/>
      </c>
      <c r="S23" s="16">
        <v>18</v>
      </c>
      <c r="T23" s="15" t="str">
        <f ca="1">IF(S23&lt;=$C$10,IF(S23&gt;$C$13,Q$10,Q$6)+((S23-IF(S23&gt;$C$13,$C$13+1,1))*Q$4),"")</f>
        <v/>
      </c>
      <c r="U23" s="15" t="str">
        <f ca="1">IF(S23&lt;=$C$10,W22*$C$15,"")</f>
        <v/>
      </c>
      <c r="V23" s="15" t="str">
        <f ca="1">IF(S23&lt;=$C$10,T23-U23+IF(S23=$C$13,$C$14,0),"")</f>
        <v/>
      </c>
      <c r="W23" s="15" t="str">
        <f ca="1">IF(S23&lt;=$C$10,W22-V23,"")</f>
        <v/>
      </c>
      <c r="AC23" s="16">
        <v>18</v>
      </c>
      <c r="AD23" s="15" t="str">
        <f t="shared" ca="1" si="2"/>
        <v/>
      </c>
      <c r="AE23" s="15" t="str">
        <f ca="1">IF(AC23&lt;=$C$10,AG22*$C$15,"")</f>
        <v/>
      </c>
      <c r="AF23" s="15" t="str">
        <f ca="1">IF(AC23&lt;=$C$10,AD23-AE23+IF(AC23=$C$13,$C$14,0),"")</f>
        <v/>
      </c>
      <c r="AG23" s="15" t="str">
        <f t="shared" ca="1" si="1"/>
        <v/>
      </c>
    </row>
    <row r="24" spans="9:33">
      <c r="I24" s="16">
        <v>19</v>
      </c>
      <c r="J24" s="15" t="str">
        <f ca="1">IF(I24&lt;=$C$10,IF(I24&gt;$C$13,G$9,G$5),"")</f>
        <v/>
      </c>
      <c r="K24" s="15" t="str">
        <f ca="1">IF(I24&lt;=$C$10,M23*$C$15,"")</f>
        <v/>
      </c>
      <c r="L24" s="15" t="str">
        <f ca="1">IF(I24&lt;=$C$10,J24-K24+IF(I24=$C$13,$C$14,0),"")</f>
        <v/>
      </c>
      <c r="M24" s="15" t="str">
        <f t="shared" ca="1" si="0"/>
        <v/>
      </c>
      <c r="S24" s="16">
        <v>19</v>
      </c>
      <c r="T24" s="15" t="str">
        <f ca="1">IF(S24&lt;=$C$10,IF(S24&gt;$C$13,Q$10,Q$6)+((S24-IF(S24&gt;$C$13,$C$13+1,1))*Q$4),"")</f>
        <v/>
      </c>
      <c r="U24" s="15" t="str">
        <f ca="1">IF(S24&lt;=$C$10,W23*$C$15,"")</f>
        <v/>
      </c>
      <c r="V24" s="15" t="str">
        <f ca="1">IF(S24&lt;=$C$10,T24-U24+IF(S24=$C$13,$C$14,0),"")</f>
        <v/>
      </c>
      <c r="W24" s="15" t="str">
        <f ca="1">IF(S24&lt;=$C$10,W23-V24,"")</f>
        <v/>
      </c>
      <c r="AC24" s="16">
        <v>19</v>
      </c>
      <c r="AD24" s="15" t="str">
        <f t="shared" ca="1" si="2"/>
        <v/>
      </c>
      <c r="AE24" s="15" t="str">
        <f ca="1">IF(AC24&lt;=$C$10,AG23*$C$15,"")</f>
        <v/>
      </c>
      <c r="AF24" s="15" t="str">
        <f ca="1">IF(AC24&lt;=$C$10,AD24-AE24+IF(AC24=$C$13,$C$14,0),"")</f>
        <v/>
      </c>
      <c r="AG24" s="15" t="str">
        <f t="shared" ca="1" si="1"/>
        <v/>
      </c>
    </row>
    <row r="25" spans="9:33">
      <c r="I25" s="16">
        <v>20</v>
      </c>
      <c r="J25" s="15" t="str">
        <f ca="1">IF(I25&lt;=$C$10,IF(I25&gt;$C$13,G$9,G$5),"")</f>
        <v/>
      </c>
      <c r="K25" s="15" t="str">
        <f ca="1">IF(I25&lt;=$C$10,M24*$C$15,"")</f>
        <v/>
      </c>
      <c r="L25" s="15" t="str">
        <f ca="1">IF(I25&lt;=$C$10,J25-K25+IF(I25=$C$13,$C$14,0),"")</f>
        <v/>
      </c>
      <c r="M25" s="15" t="str">
        <f t="shared" ca="1" si="0"/>
        <v/>
      </c>
      <c r="S25" s="16">
        <v>20</v>
      </c>
      <c r="T25" s="15" t="str">
        <f ca="1">IF(S25&lt;=$C$10,IF(S25&gt;$C$13,Q$10,Q$6)+((S25-IF(S25&gt;$C$13,$C$13+1,1))*Q$4),"")</f>
        <v/>
      </c>
      <c r="U25" s="15" t="str">
        <f ca="1">IF(S25&lt;=$C$10,W24*$C$15,"")</f>
        <v/>
      </c>
      <c r="V25" s="15" t="str">
        <f ca="1">IF(S25&lt;=$C$10,T25-U25+IF(S25=$C$13,$C$14,0),"")</f>
        <v/>
      </c>
      <c r="W25" s="15" t="str">
        <f ca="1">IF(S25&lt;=$C$10,W24-V25,"")</f>
        <v/>
      </c>
      <c r="AC25" s="16">
        <v>20</v>
      </c>
      <c r="AD25" s="15" t="str">
        <f t="shared" ca="1" si="2"/>
        <v/>
      </c>
      <c r="AE25" s="15" t="str">
        <f ca="1">IF(AC25&lt;=$C$10,AG24*$C$15,"")</f>
        <v/>
      </c>
      <c r="AF25" s="15" t="str">
        <f ca="1">IF(AC25&lt;=$C$10,AD25-AE25+IF(AC25=$C$13,$C$14,0),"")</f>
        <v/>
      </c>
      <c r="AG25" s="15" t="str">
        <f t="shared" ca="1" si="1"/>
        <v/>
      </c>
    </row>
    <row r="26" spans="9:33">
      <c r="I26" s="16">
        <v>21</v>
      </c>
      <c r="J26" s="15" t="str">
        <f ca="1">IF(I26&lt;=$C$10,IF(I26&gt;$C$13,G$9,G$5),"")</f>
        <v/>
      </c>
      <c r="K26" s="15" t="str">
        <f ca="1">IF(I26&lt;=$C$10,M25*$C$15,"")</f>
        <v/>
      </c>
      <c r="L26" s="15" t="str">
        <f ca="1">IF(I26&lt;=$C$10,J26-K26+IF(I26=$C$13,$C$14,0),"")</f>
        <v/>
      </c>
      <c r="M26" s="15" t="str">
        <f t="shared" ca="1" si="0"/>
        <v/>
      </c>
      <c r="S26" s="16">
        <v>21</v>
      </c>
      <c r="T26" s="15" t="str">
        <f ca="1">IF(S26&lt;=$C$10,IF(S26&gt;$C$13,Q$10,Q$6)+((S26-IF(S26&gt;$C$13,$C$13+1,1))*Q$4),"")</f>
        <v/>
      </c>
      <c r="U26" s="15" t="str">
        <f ca="1">IF(S26&lt;=$C$10,W25*$C$15,"")</f>
        <v/>
      </c>
      <c r="V26" s="15" t="str">
        <f ca="1">IF(S26&lt;=$C$10,T26-U26+IF(S26=$C$13,$C$14,0),"")</f>
        <v/>
      </c>
      <c r="W26" s="15" t="str">
        <f ca="1">IF(S26&lt;=$C$10,W25-V26,"")</f>
        <v/>
      </c>
      <c r="AC26" s="16">
        <v>21</v>
      </c>
      <c r="AD26" s="15" t="str">
        <f t="shared" ca="1" si="2"/>
        <v/>
      </c>
      <c r="AE26" s="15" t="str">
        <f ca="1">IF(AC26&lt;=$C$10,AG25*$C$15,"")</f>
        <v/>
      </c>
      <c r="AF26" s="15" t="str">
        <f ca="1">IF(AC26&lt;=$C$10,AD26-AE26+IF(AC26=$C$13,$C$14,0),"")</f>
        <v/>
      </c>
      <c r="AG26" s="15" t="str">
        <f t="shared" ca="1" si="1"/>
        <v/>
      </c>
    </row>
    <row r="27" spans="9:33">
      <c r="I27" s="16">
        <v>22</v>
      </c>
      <c r="J27" s="15" t="str">
        <f ca="1">IF(I27&lt;=$C$10,IF(I27&gt;$C$13,G$9,G$5),"")</f>
        <v/>
      </c>
      <c r="K27" s="15" t="str">
        <f ca="1">IF(I27&lt;=$C$10,M26*$C$15,"")</f>
        <v/>
      </c>
      <c r="L27" s="15" t="str">
        <f ca="1">IF(I27&lt;=$C$10,J27-K27+IF(I27=$C$13,$C$14,0),"")</f>
        <v/>
      </c>
      <c r="M27" s="15" t="str">
        <f t="shared" ca="1" si="0"/>
        <v/>
      </c>
      <c r="S27" s="16">
        <v>22</v>
      </c>
      <c r="T27" s="15" t="str">
        <f ca="1">IF(S27&lt;=$C$10,IF(S27&gt;$C$13,Q$10,Q$6)+((S27-IF(S27&gt;$C$13,$C$13+1,1))*Q$4),"")</f>
        <v/>
      </c>
      <c r="U27" s="15" t="str">
        <f ca="1">IF(S27&lt;=$C$10,W26*$C$15,"")</f>
        <v/>
      </c>
      <c r="V27" s="15" t="str">
        <f ca="1">IF(S27&lt;=$C$10,T27-U27+IF(S27=$C$13,$C$14,0),"")</f>
        <v/>
      </c>
      <c r="W27" s="15" t="str">
        <f ca="1">IF(S27&lt;=$C$10,W26-V27,"")</f>
        <v/>
      </c>
      <c r="AC27" s="16">
        <v>22</v>
      </c>
      <c r="AD27" s="15" t="str">
        <f t="shared" ca="1" si="2"/>
        <v/>
      </c>
      <c r="AE27" s="15" t="str">
        <f ca="1">IF(AC27&lt;=$C$10,AG26*$C$15,"")</f>
        <v/>
      </c>
      <c r="AF27" s="15" t="str">
        <f ca="1">IF(AC27&lt;=$C$10,AD27-AE27+IF(AC27=$C$13,$C$14,0),"")</f>
        <v/>
      </c>
      <c r="AG27" s="15" t="str">
        <f t="shared" ca="1" si="1"/>
        <v/>
      </c>
    </row>
    <row r="28" spans="9:33">
      <c r="I28" s="16">
        <v>23</v>
      </c>
      <c r="J28" s="15" t="str">
        <f ca="1">IF(I28&lt;=$C$10,IF(I28&gt;$C$13,G$9,G$5),"")</f>
        <v/>
      </c>
      <c r="K28" s="15" t="str">
        <f ca="1">IF(I28&lt;=$C$10,M27*$C$15,"")</f>
        <v/>
      </c>
      <c r="L28" s="15" t="str">
        <f ca="1">IF(I28&lt;=$C$10,J28-K28+IF(I28=$C$13,$C$14,0),"")</f>
        <v/>
      </c>
      <c r="M28" s="15" t="str">
        <f t="shared" ca="1" si="0"/>
        <v/>
      </c>
      <c r="S28" s="16">
        <v>23</v>
      </c>
      <c r="T28" s="15" t="str">
        <f ca="1">IF(S28&lt;=$C$10,IF(S28&gt;$C$13,Q$10,Q$6)+((S28-IF(S28&gt;$C$13,$C$13+1,1))*Q$4),"")</f>
        <v/>
      </c>
      <c r="U28" s="15" t="str">
        <f ca="1">IF(S28&lt;=$C$10,W27*$C$15,"")</f>
        <v/>
      </c>
      <c r="V28" s="15" t="str">
        <f ca="1">IF(S28&lt;=$C$10,T28-U28+IF(S28=$C$13,$C$14,0),"")</f>
        <v/>
      </c>
      <c r="W28" s="15" t="str">
        <f ca="1">IF(S28&lt;=$C$10,W27-V28,"")</f>
        <v/>
      </c>
      <c r="AC28" s="16">
        <v>23</v>
      </c>
      <c r="AD28" s="15" t="str">
        <f t="shared" ca="1" si="2"/>
        <v/>
      </c>
      <c r="AE28" s="15" t="str">
        <f ca="1">IF(AC28&lt;=$C$10,AG27*$C$15,"")</f>
        <v/>
      </c>
      <c r="AF28" s="15" t="str">
        <f ca="1">IF(AC28&lt;=$C$10,AD28-AE28+IF(AC28=$C$13,$C$14,0),"")</f>
        <v/>
      </c>
      <c r="AG28" s="15" t="str">
        <f t="shared" ca="1" si="1"/>
        <v/>
      </c>
    </row>
    <row r="29" spans="9:33">
      <c r="I29" s="16">
        <v>24</v>
      </c>
      <c r="J29" s="15" t="str">
        <f ca="1">IF(I29&lt;=$C$10,IF(I29&gt;$C$13,G$9,G$5),"")</f>
        <v/>
      </c>
      <c r="K29" s="15" t="str">
        <f ca="1">IF(I29&lt;=$C$10,M28*$C$15,"")</f>
        <v/>
      </c>
      <c r="L29" s="15" t="str">
        <f ca="1">IF(I29&lt;=$C$10,J29-K29+IF(I29=$C$13,$C$14,0),"")</f>
        <v/>
      </c>
      <c r="M29" s="15" t="str">
        <f t="shared" ca="1" si="0"/>
        <v/>
      </c>
      <c r="S29" s="16">
        <v>24</v>
      </c>
      <c r="T29" s="15" t="str">
        <f ca="1">IF(S29&lt;=$C$10,IF(S29&gt;$C$13,Q$10,Q$6)+((S29-IF(S29&gt;$C$13,$C$13+1,1))*Q$4),"")</f>
        <v/>
      </c>
      <c r="U29" s="15" t="str">
        <f ca="1">IF(S29&lt;=$C$10,W28*$C$15,"")</f>
        <v/>
      </c>
      <c r="V29" s="15" t="str">
        <f ca="1">IF(S29&lt;=$C$10,T29-U29+IF(S29=$C$13,$C$14,0),"")</f>
        <v/>
      </c>
      <c r="W29" s="15" t="str">
        <f ca="1">IF(S29&lt;=$C$10,W28-V29,"")</f>
        <v/>
      </c>
      <c r="AC29" s="16">
        <v>24</v>
      </c>
      <c r="AD29" s="15" t="str">
        <f t="shared" ca="1" si="2"/>
        <v/>
      </c>
      <c r="AE29" s="15" t="str">
        <f ca="1">IF(AC29&lt;=$C$10,AG28*$C$15,"")</f>
        <v/>
      </c>
      <c r="AF29" s="15" t="str">
        <f ca="1">IF(AC29&lt;=$C$10,AD29-AE29+IF(AC29=$C$13,$C$14,0),"")</f>
        <v/>
      </c>
      <c r="AG29" s="15" t="str">
        <f t="shared" ca="1" si="1"/>
        <v/>
      </c>
    </row>
    <row r="30" spans="9:33">
      <c r="I30" s="16">
        <v>25</v>
      </c>
      <c r="J30" s="15" t="str">
        <f ca="1">IF(I30&lt;=$C$10,IF(I30&gt;$C$13,G$9,G$5),"")</f>
        <v/>
      </c>
      <c r="K30" s="15" t="str">
        <f ca="1">IF(I30&lt;=$C$10,M29*$C$15,"")</f>
        <v/>
      </c>
      <c r="L30" s="15" t="str">
        <f ca="1">IF(I30&lt;=$C$10,J30-K30+IF(I30=$C$13,$C$14,0),"")</f>
        <v/>
      </c>
      <c r="M30" s="15" t="str">
        <f t="shared" ca="1" si="0"/>
        <v/>
      </c>
      <c r="S30" s="16">
        <v>25</v>
      </c>
      <c r="T30" s="15" t="str">
        <f ca="1">IF(S30&lt;=$C$10,IF(S30&gt;$C$13,Q$10,Q$6)+((S30-IF(S30&gt;$C$13,$C$13+1,1))*Q$4),"")</f>
        <v/>
      </c>
      <c r="U30" s="15" t="str">
        <f ca="1">IF(S30&lt;=$C$10,W29*$C$15,"")</f>
        <v/>
      </c>
      <c r="V30" s="15" t="str">
        <f ca="1">IF(S30&lt;=$C$10,T30-U30+IF(S30=$C$13,$C$14,0),"")</f>
        <v/>
      </c>
      <c r="W30" s="15" t="str">
        <f ca="1">IF(S30&lt;=$C$10,W29-V30,"")</f>
        <v/>
      </c>
      <c r="AC30" s="16">
        <v>25</v>
      </c>
      <c r="AD30" s="15" t="str">
        <f t="shared" ca="1" si="2"/>
        <v/>
      </c>
      <c r="AE30" s="15" t="str">
        <f ca="1">IF(AC30&lt;=$C$10,AG29*$C$15,"")</f>
        <v/>
      </c>
      <c r="AF30" s="15" t="str">
        <f ca="1">IF(AC30&lt;=$C$10,AD30-AE30+IF(AC30=$C$13,$C$14,0),"")</f>
        <v/>
      </c>
      <c r="AG30" s="15" t="str">
        <f t="shared" ca="1" si="1"/>
        <v/>
      </c>
    </row>
    <row r="31" spans="9:33">
      <c r="I31" s="16">
        <v>26</v>
      </c>
      <c r="J31" s="15" t="str">
        <f ca="1">IF(I31&lt;=$C$10,IF(I31&gt;$C$13,G$9,G$5),"")</f>
        <v/>
      </c>
      <c r="K31" s="15" t="str">
        <f ca="1">IF(I31&lt;=$C$10,M30*$C$15,"")</f>
        <v/>
      </c>
      <c r="L31" s="15" t="str">
        <f ca="1">IF(I31&lt;=$C$10,J31-K31+IF(I31=$C$13,$C$14,0),"")</f>
        <v/>
      </c>
      <c r="M31" s="15" t="str">
        <f t="shared" ca="1" si="0"/>
        <v/>
      </c>
      <c r="S31" s="16">
        <v>26</v>
      </c>
      <c r="T31" s="15" t="str">
        <f ca="1">IF(S31&lt;=$C$10,IF(S31&gt;$C$13,Q$10,Q$6)+((S31-IF(S31&gt;$C$13,$C$13+1,1))*Q$4),"")</f>
        <v/>
      </c>
      <c r="U31" s="15" t="str">
        <f ca="1">IF(S31&lt;=$C$10,W30*$C$15,"")</f>
        <v/>
      </c>
      <c r="V31" s="15" t="str">
        <f ca="1">IF(S31&lt;=$C$10,T31-U31+IF(S31=$C$13,$C$14,0),"")</f>
        <v/>
      </c>
      <c r="W31" s="15" t="str">
        <f ca="1">IF(S31&lt;=$C$10,W30-V31,"")</f>
        <v/>
      </c>
      <c r="AC31" s="16">
        <v>26</v>
      </c>
      <c r="AD31" s="15" t="str">
        <f t="shared" ca="1" si="2"/>
        <v/>
      </c>
      <c r="AE31" s="15" t="str">
        <f ca="1">IF(AC31&lt;=$C$10,AG30*$C$15,"")</f>
        <v/>
      </c>
      <c r="AF31" s="15" t="str">
        <f ca="1">IF(AC31&lt;=$C$10,AD31-AE31+IF(AC31=$C$13,$C$14,0),"")</f>
        <v/>
      </c>
      <c r="AG31" s="15" t="str">
        <f t="shared" ca="1" si="1"/>
        <v/>
      </c>
    </row>
    <row r="32" spans="9:33">
      <c r="I32" s="16">
        <v>27</v>
      </c>
      <c r="J32" s="15" t="str">
        <f ca="1">IF(I32&lt;=$C$10,IF(I32&gt;$C$13,G$9,G$5),"")</f>
        <v/>
      </c>
      <c r="K32" s="15" t="str">
        <f ca="1">IF(I32&lt;=$C$10,M31*$C$15,"")</f>
        <v/>
      </c>
      <c r="L32" s="15" t="str">
        <f ca="1">IF(I32&lt;=$C$10,J32-K32+IF(I32=$C$13,$C$14,0),"")</f>
        <v/>
      </c>
      <c r="M32" s="15" t="str">
        <f t="shared" ca="1" si="0"/>
        <v/>
      </c>
      <c r="S32" s="16">
        <v>27</v>
      </c>
      <c r="T32" s="15" t="str">
        <f ca="1">IF(S32&lt;=$C$10,IF(S32&gt;$C$13,Q$10,Q$6)+((S32-IF(S32&gt;$C$13,$C$13+1,1))*Q$4),"")</f>
        <v/>
      </c>
      <c r="U32" s="15" t="str">
        <f ca="1">IF(S32&lt;=$C$10,W31*$C$15,"")</f>
        <v/>
      </c>
      <c r="V32" s="15" t="str">
        <f ca="1">IF(S32&lt;=$C$10,T32-U32+IF(S32=$C$13,$C$14,0),"")</f>
        <v/>
      </c>
      <c r="W32" s="15" t="str">
        <f ca="1">IF(S32&lt;=$C$10,W31-V32,"")</f>
        <v/>
      </c>
      <c r="AC32" s="16">
        <v>27</v>
      </c>
      <c r="AD32" s="15" t="str">
        <f t="shared" ca="1" si="2"/>
        <v/>
      </c>
      <c r="AE32" s="15" t="str">
        <f ca="1">IF(AC32&lt;=$C$10,AG31*$C$15,"")</f>
        <v/>
      </c>
      <c r="AF32" s="15" t="str">
        <f ca="1">IF(AC32&lt;=$C$10,AD32-AE32+IF(AC32=$C$13,$C$14,0),"")</f>
        <v/>
      </c>
      <c r="AG32" s="15" t="str">
        <f t="shared" ca="1" si="1"/>
        <v/>
      </c>
    </row>
    <row r="33" spans="9:33">
      <c r="I33" s="16">
        <v>28</v>
      </c>
      <c r="J33" s="15" t="str">
        <f ca="1">IF(I33&lt;=$C$10,IF(I33&gt;$C$13,G$9,G$5),"")</f>
        <v/>
      </c>
      <c r="K33" s="15" t="str">
        <f ca="1">IF(I33&lt;=$C$10,M32*$C$15,"")</f>
        <v/>
      </c>
      <c r="L33" s="15" t="str">
        <f ca="1">IF(I33&lt;=$C$10,J33-K33+IF(I33=$C$13,$C$14,0),"")</f>
        <v/>
      </c>
      <c r="M33" s="15" t="str">
        <f t="shared" ca="1" si="0"/>
        <v/>
      </c>
      <c r="S33" s="16">
        <v>28</v>
      </c>
      <c r="T33" s="15" t="str">
        <f ca="1">IF(S33&lt;=$C$10,IF(S33&gt;$C$13,Q$10,Q$6)+((S33-IF(S33&gt;$C$13,$C$13+1,1))*Q$4),"")</f>
        <v/>
      </c>
      <c r="U33" s="15" t="str">
        <f ca="1">IF(S33&lt;=$C$10,W32*$C$15,"")</f>
        <v/>
      </c>
      <c r="V33" s="15" t="str">
        <f ca="1">IF(S33&lt;=$C$10,T33-U33+IF(S33=$C$13,$C$14,0),"")</f>
        <v/>
      </c>
      <c r="W33" s="15" t="str">
        <f ca="1">IF(S33&lt;=$C$10,W32-V33,"")</f>
        <v/>
      </c>
      <c r="AC33" s="16">
        <v>28</v>
      </c>
      <c r="AD33" s="15" t="str">
        <f t="shared" ca="1" si="2"/>
        <v/>
      </c>
      <c r="AE33" s="15" t="str">
        <f ca="1">IF(AC33&lt;=$C$10,AG32*$C$15,"")</f>
        <v/>
      </c>
      <c r="AF33" s="15" t="str">
        <f ca="1">IF(AC33&lt;=$C$10,AD33-AE33+IF(AC33=$C$13,$C$14,0),"")</f>
        <v/>
      </c>
      <c r="AG33" s="15" t="str">
        <f t="shared" ca="1" si="1"/>
        <v/>
      </c>
    </row>
    <row r="34" spans="9:33">
      <c r="I34" s="16">
        <v>29</v>
      </c>
      <c r="J34" s="15" t="str">
        <f ca="1">IF(I34&lt;=$C$10,IF(I34&gt;$C$13,G$9,G$5),"")</f>
        <v/>
      </c>
      <c r="K34" s="15" t="str">
        <f ca="1">IF(I34&lt;=$C$10,M33*$C$15,"")</f>
        <v/>
      </c>
      <c r="L34" s="15" t="str">
        <f ca="1">IF(I34&lt;=$C$10,J34-K34+IF(I34=$C$13,$C$14,0),"")</f>
        <v/>
      </c>
      <c r="M34" s="15" t="str">
        <f t="shared" ca="1" si="0"/>
        <v/>
      </c>
      <c r="S34" s="16">
        <v>29</v>
      </c>
      <c r="T34" s="15" t="str">
        <f ca="1">IF(S34&lt;=$C$10,IF(S34&gt;$C$13,Q$10,Q$6)+((S34-IF(S34&gt;$C$13,$C$13+1,1))*Q$4),"")</f>
        <v/>
      </c>
      <c r="U34" s="15" t="str">
        <f ca="1">IF(S34&lt;=$C$10,W33*$C$15,"")</f>
        <v/>
      </c>
      <c r="V34" s="15" t="str">
        <f ca="1">IF(S34&lt;=$C$10,T34-U34+IF(S34=$C$13,$C$14,0),"")</f>
        <v/>
      </c>
      <c r="W34" s="15" t="str">
        <f ca="1">IF(S34&lt;=$C$10,W33-V34,"")</f>
        <v/>
      </c>
      <c r="AC34" s="16">
        <v>29</v>
      </c>
      <c r="AD34" s="15" t="str">
        <f t="shared" ca="1" si="2"/>
        <v/>
      </c>
      <c r="AE34" s="15" t="str">
        <f ca="1">IF(AC34&lt;=$C$10,AG33*$C$15,"")</f>
        <v/>
      </c>
      <c r="AF34" s="15" t="str">
        <f ca="1">IF(AC34&lt;=$C$10,AD34-AE34+IF(AC34=$C$13,$C$14,0),"")</f>
        <v/>
      </c>
      <c r="AG34" s="15" t="str">
        <f t="shared" ca="1" si="1"/>
        <v/>
      </c>
    </row>
    <row r="35" spans="9:33">
      <c r="I35" s="16">
        <v>30</v>
      </c>
      <c r="J35" s="15" t="str">
        <f ca="1">IF(I35&lt;=$C$10,IF(I35&gt;$C$13,G$9,G$5),"")</f>
        <v/>
      </c>
      <c r="K35" s="15" t="str">
        <f ca="1">IF(I35&lt;=$C$10,M34*$C$15,"")</f>
        <v/>
      </c>
      <c r="L35" s="15" t="str">
        <f ca="1">IF(I35&lt;=$C$10,J35-K35+IF(I35=$C$13,$C$14,0),"")</f>
        <v/>
      </c>
      <c r="M35" s="15" t="str">
        <f t="shared" ca="1" si="0"/>
        <v/>
      </c>
      <c r="S35" s="16">
        <v>30</v>
      </c>
      <c r="T35" s="15" t="str">
        <f ca="1">IF(S35&lt;=$C$10,IF(S35&gt;$C$13,Q$10,Q$6)+((S35-IF(S35&gt;$C$13,$C$13+1,1))*Q$4),"")</f>
        <v/>
      </c>
      <c r="U35" s="15" t="str">
        <f ca="1">IF(S35&lt;=$C$10,W34*$C$15,"")</f>
        <v/>
      </c>
      <c r="V35" s="15" t="str">
        <f ca="1">IF(S35&lt;=$C$10,T35-U35+IF(S35=$C$13,$C$14,0),"")</f>
        <v/>
      </c>
      <c r="W35" s="15" t="str">
        <f ca="1">IF(S35&lt;=$C$10,W34-V35,"")</f>
        <v/>
      </c>
      <c r="AC35" s="16">
        <v>30</v>
      </c>
      <c r="AD35" s="15" t="str">
        <f t="shared" ca="1" si="2"/>
        <v/>
      </c>
      <c r="AE35" s="15" t="str">
        <f ca="1">IF(AC35&lt;=$C$10,AG34*$C$15,"")</f>
        <v/>
      </c>
      <c r="AF35" s="15" t="str">
        <f ca="1">IF(AC35&lt;=$C$10,AD35-AE35+IF(AC35=$C$13,$C$14,0),"")</f>
        <v/>
      </c>
      <c r="AG35" s="15" t="str">
        <f t="shared" ca="1" si="1"/>
        <v/>
      </c>
    </row>
    <row r="36" spans="9:33">
      <c r="I36" s="16">
        <v>31</v>
      </c>
      <c r="J36" s="15" t="str">
        <f ca="1">IF(I36&lt;=$C$10,IF(I36&gt;$C$13,G$9,G$5),"")</f>
        <v/>
      </c>
      <c r="K36" s="15" t="str">
        <f ca="1">IF(I36&lt;=$C$10,M35*$C$15,"")</f>
        <v/>
      </c>
      <c r="L36" s="15" t="str">
        <f ca="1">IF(I36&lt;=$C$10,J36-K36+IF(I36=$C$13,$C$14,0),"")</f>
        <v/>
      </c>
      <c r="M36" s="15" t="str">
        <f t="shared" ca="1" si="0"/>
        <v/>
      </c>
      <c r="S36" s="16">
        <v>31</v>
      </c>
      <c r="T36" s="15" t="str">
        <f ca="1">IF(S36&lt;=$C$10,IF(S36&gt;$C$13,Q$10,Q$6)+((S36-IF(S36&gt;$C$13,$C$13+1,1))*Q$4),"")</f>
        <v/>
      </c>
      <c r="U36" s="15" t="str">
        <f ca="1">IF(S36&lt;=$C$10,W35*$C$15,"")</f>
        <v/>
      </c>
      <c r="V36" s="15" t="str">
        <f ca="1">IF(S36&lt;=$C$10,T36-U36+IF(S36=$C$13,$C$14,0),"")</f>
        <v/>
      </c>
      <c r="W36" s="15" t="str">
        <f ca="1">IF(S36&lt;=$C$10,W35-V36,"")</f>
        <v/>
      </c>
      <c r="AC36" s="16">
        <v>31</v>
      </c>
      <c r="AD36" s="15" t="str">
        <f t="shared" ca="1" si="2"/>
        <v/>
      </c>
      <c r="AE36" s="15" t="str">
        <f ca="1">IF(AC36&lt;=$C$10,AG35*$C$15,"")</f>
        <v/>
      </c>
      <c r="AF36" s="15" t="str">
        <f ca="1">IF(AC36&lt;=$C$10,AD36-AE36+IF(AC36=$C$13,$C$14,0),"")</f>
        <v/>
      </c>
      <c r="AG36" s="15" t="str">
        <f t="shared" ca="1" si="1"/>
        <v/>
      </c>
    </row>
    <row r="37" spans="9:33">
      <c r="I37" s="16">
        <v>32</v>
      </c>
      <c r="J37" s="15" t="str">
        <f ca="1">IF(I37&lt;=$C$10,IF(I37&gt;$C$13,G$9,G$5),"")</f>
        <v/>
      </c>
      <c r="K37" s="15" t="str">
        <f ca="1">IF(I37&lt;=$C$10,M36*$C$15,"")</f>
        <v/>
      </c>
      <c r="L37" s="15" t="str">
        <f ca="1">IF(I37&lt;=$C$10,J37-K37+IF(I37=$C$13,$C$14,0),"")</f>
        <v/>
      </c>
      <c r="M37" s="15" t="str">
        <f t="shared" ca="1" si="0"/>
        <v/>
      </c>
      <c r="S37" s="16">
        <v>32</v>
      </c>
      <c r="T37" s="15" t="str">
        <f ca="1">IF(S37&lt;=$C$10,IF(S37&gt;$C$13,Q$10,Q$6)+((S37-IF(S37&gt;$C$13,$C$13+1,1))*Q$4),"")</f>
        <v/>
      </c>
      <c r="U37" s="15" t="str">
        <f ca="1">IF(S37&lt;=$C$10,W36*$C$15,"")</f>
        <v/>
      </c>
      <c r="V37" s="15" t="str">
        <f ca="1">IF(S37&lt;=$C$10,T37-U37+IF(S37=$C$13,$C$14,0),"")</f>
        <v/>
      </c>
      <c r="W37" s="15" t="str">
        <f ca="1">IF(S37&lt;=$C$10,W36-V37,"")</f>
        <v/>
      </c>
      <c r="AC37" s="16">
        <v>32</v>
      </c>
      <c r="AD37" s="15" t="str">
        <f t="shared" ca="1" si="2"/>
        <v/>
      </c>
      <c r="AE37" s="15" t="str">
        <f ca="1">IF(AC37&lt;=$C$10,AG36*$C$15,"")</f>
        <v/>
      </c>
      <c r="AF37" s="15" t="str">
        <f ca="1">IF(AC37&lt;=$C$10,AD37-AE37+IF(AC37=$C$13,$C$14,0),"")</f>
        <v/>
      </c>
      <c r="AG37" s="15" t="str">
        <f t="shared" ca="1" si="1"/>
        <v/>
      </c>
    </row>
    <row r="38" spans="9:33">
      <c r="I38" s="16">
        <v>33</v>
      </c>
      <c r="J38" s="15" t="str">
        <f ca="1">IF(I38&lt;=$C$10,IF(I38&gt;$C$13,G$9,G$5),"")</f>
        <v/>
      </c>
      <c r="K38" s="15" t="str">
        <f ca="1">IF(I38&lt;=$C$10,M37*$C$15,"")</f>
        <v/>
      </c>
      <c r="L38" s="15" t="str">
        <f ca="1">IF(I38&lt;=$C$10,J38-K38+IF(I38=$C$13,$C$14,0),"")</f>
        <v/>
      </c>
      <c r="M38" s="15" t="str">
        <f t="shared" ca="1" si="0"/>
        <v/>
      </c>
      <c r="S38" s="16">
        <v>33</v>
      </c>
      <c r="T38" s="15" t="str">
        <f ca="1">IF(S38&lt;=$C$10,IF(S38&gt;$C$13,Q$10,Q$6)+((S38-IF(S38&gt;$C$13,$C$13+1,1))*Q$4),"")</f>
        <v/>
      </c>
      <c r="U38" s="15" t="str">
        <f ca="1">IF(S38&lt;=$C$10,W37*$C$15,"")</f>
        <v/>
      </c>
      <c r="V38" s="15" t="str">
        <f ca="1">IF(S38&lt;=$C$10,T38-U38+IF(S38=$C$13,$C$14,0),"")</f>
        <v/>
      </c>
      <c r="W38" s="15" t="str">
        <f ca="1">IF(S38&lt;=$C$10,W37-V38,"")</f>
        <v/>
      </c>
      <c r="AC38" s="16">
        <v>33</v>
      </c>
      <c r="AD38" s="15" t="str">
        <f t="shared" ca="1" si="2"/>
        <v/>
      </c>
      <c r="AE38" s="15" t="str">
        <f ca="1">IF(AC38&lt;=$C$10,AG37*$C$15,"")</f>
        <v/>
      </c>
      <c r="AF38" s="15" t="str">
        <f ca="1">IF(AC38&lt;=$C$10,AD38-AE38+IF(AC38=$C$13,$C$14,0),"")</f>
        <v/>
      </c>
      <c r="AG38" s="15" t="str">
        <f t="shared" ca="1" si="1"/>
        <v/>
      </c>
    </row>
    <row r="39" spans="9:33">
      <c r="I39" s="16">
        <v>34</v>
      </c>
      <c r="J39" s="15" t="str">
        <f ca="1">IF(I39&lt;=$C$10,IF(I39&gt;$C$13,G$9,G$5),"")</f>
        <v/>
      </c>
      <c r="K39" s="15" t="str">
        <f ca="1">IF(I39&lt;=$C$10,M38*$C$15,"")</f>
        <v/>
      </c>
      <c r="L39" s="15" t="str">
        <f ca="1">IF(I39&lt;=$C$10,J39-K39+IF(I39=$C$13,$C$14,0),"")</f>
        <v/>
      </c>
      <c r="M39" s="15" t="str">
        <f t="shared" ca="1" si="0"/>
        <v/>
      </c>
      <c r="S39" s="16">
        <v>34</v>
      </c>
      <c r="T39" s="15" t="str">
        <f ca="1">IF(S39&lt;=$C$10,IF(S39&gt;$C$13,Q$10,Q$6)+((S39-IF(S39&gt;$C$13,$C$13+1,1))*Q$4),"")</f>
        <v/>
      </c>
      <c r="U39" s="15" t="str">
        <f ca="1">IF(S39&lt;=$C$10,W38*$C$15,"")</f>
        <v/>
      </c>
      <c r="V39" s="15" t="str">
        <f ca="1">IF(S39&lt;=$C$10,T39-U39+IF(S39=$C$13,$C$14,0),"")</f>
        <v/>
      </c>
      <c r="W39" s="15" t="str">
        <f ca="1">IF(S39&lt;=$C$10,W38-V39,"")</f>
        <v/>
      </c>
      <c r="AC39" s="16">
        <v>34</v>
      </c>
      <c r="AD39" s="15" t="str">
        <f t="shared" ca="1" si="2"/>
        <v/>
      </c>
      <c r="AE39" s="15" t="str">
        <f ca="1">IF(AC39&lt;=$C$10,AG38*$C$15,"")</f>
        <v/>
      </c>
      <c r="AF39" s="15" t="str">
        <f ca="1">IF(AC39&lt;=$C$10,AD39-AE39+IF(AC39=$C$13,$C$14,0),"")</f>
        <v/>
      </c>
      <c r="AG39" s="15" t="str">
        <f t="shared" ca="1" si="1"/>
        <v/>
      </c>
    </row>
    <row r="40" spans="9:33">
      <c r="I40" s="16">
        <v>35</v>
      </c>
      <c r="J40" s="15" t="str">
        <f ca="1">IF(I40&lt;=$C$10,IF(I40&gt;$C$13,G$9,G$5),"")</f>
        <v/>
      </c>
      <c r="K40" s="15" t="str">
        <f ca="1">IF(I40&lt;=$C$10,M39*$C$15,"")</f>
        <v/>
      </c>
      <c r="L40" s="15" t="str">
        <f ca="1">IF(I40&lt;=$C$10,J40-K40+IF(I40=$C$13,$C$14,0),"")</f>
        <v/>
      </c>
      <c r="M40" s="15" t="str">
        <f t="shared" ca="1" si="0"/>
        <v/>
      </c>
      <c r="S40" s="16">
        <v>35</v>
      </c>
      <c r="T40" s="15" t="str">
        <f ca="1">IF(S40&lt;=$C$10,IF(S40&gt;$C$13,Q$10,Q$6)+((S40-IF(S40&gt;$C$13,$C$13+1,1))*Q$4),"")</f>
        <v/>
      </c>
      <c r="U40" s="15" t="str">
        <f ca="1">IF(S40&lt;=$C$10,W39*$C$15,"")</f>
        <v/>
      </c>
      <c r="V40" s="15" t="str">
        <f ca="1">IF(S40&lt;=$C$10,T40-U40+IF(S40=$C$13,$C$14,0),"")</f>
        <v/>
      </c>
      <c r="W40" s="15" t="str">
        <f ca="1">IF(S40&lt;=$C$10,W39-V40,"")</f>
        <v/>
      </c>
      <c r="AC40" s="16">
        <v>35</v>
      </c>
      <c r="AD40" s="15" t="str">
        <f t="shared" ca="1" si="2"/>
        <v/>
      </c>
      <c r="AE40" s="15" t="str">
        <f ca="1">IF(AC40&lt;=$C$10,AG39*$C$15,"")</f>
        <v/>
      </c>
      <c r="AF40" s="15" t="str">
        <f ca="1">IF(AC40&lt;=$C$10,AD40-AE40+IF(AC40=$C$13,$C$14,0),"")</f>
        <v/>
      </c>
      <c r="AG40" s="15" t="str">
        <f t="shared" ca="1" si="1"/>
        <v/>
      </c>
    </row>
    <row r="41" spans="9:33">
      <c r="I41" s="16">
        <v>36</v>
      </c>
      <c r="J41" s="15" t="str">
        <f ca="1">IF(I41&lt;=$C$10,IF(I41&gt;$C$13,G$9,G$5),"")</f>
        <v/>
      </c>
      <c r="K41" s="15" t="str">
        <f ca="1">IF(I41&lt;=$C$10,M40*$C$15,"")</f>
        <v/>
      </c>
      <c r="L41" s="15" t="str">
        <f ca="1">IF(I41&lt;=$C$10,J41-K41+IF(I41=$C$13,$C$14,0),"")</f>
        <v/>
      </c>
      <c r="M41" s="15" t="str">
        <f t="shared" ca="1" si="0"/>
        <v/>
      </c>
      <c r="S41" s="16">
        <v>36</v>
      </c>
      <c r="T41" s="15" t="str">
        <f ca="1">IF(S41&lt;=$C$10,IF(S41&gt;$C$13,Q$10,Q$6)+((S41-IF(S41&gt;$C$13,$C$13+1,1))*Q$4),"")</f>
        <v/>
      </c>
      <c r="U41" s="15" t="str">
        <f ca="1">IF(S41&lt;=$C$10,W40*$C$15,"")</f>
        <v/>
      </c>
      <c r="V41" s="15" t="str">
        <f ca="1">IF(S41&lt;=$C$10,T41-U41+IF(S41=$C$13,$C$14,0),"")</f>
        <v/>
      </c>
      <c r="W41" s="15" t="str">
        <f ca="1">IF(S41&lt;=$C$10,W40-V41,"")</f>
        <v/>
      </c>
      <c r="AC41" s="16">
        <v>36</v>
      </c>
      <c r="AD41" s="15" t="str">
        <f t="shared" ca="1" si="2"/>
        <v/>
      </c>
      <c r="AE41" s="15" t="str">
        <f ca="1">IF(AC41&lt;=$C$10,AG40*$C$15,"")</f>
        <v/>
      </c>
      <c r="AF41" s="15" t="str">
        <f ca="1">IF(AC41&lt;=$C$10,AD41-AE41+IF(AC41=$C$13,$C$14,0),"")</f>
        <v/>
      </c>
      <c r="AG41" s="15" t="str">
        <f t="shared" ca="1" si="1"/>
        <v/>
      </c>
    </row>
  </sheetData>
  <sheetProtection sheet="1" objects="1" scenarios="1"/>
  <mergeCells count="3">
    <mergeCell ref="F2:M2"/>
    <mergeCell ref="P2:W2"/>
    <mergeCell ref="Z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Nicolás David Sabogal Velásquez</dc:creator>
  <cp:keywords/>
  <dc:description/>
  <cp:lastModifiedBy>Nicolás David Sabogal Velásquez</cp:lastModifiedBy>
  <cp:revision/>
  <dcterms:created xsi:type="dcterms:W3CDTF">2015-06-05T18:19:34Z</dcterms:created>
  <dcterms:modified xsi:type="dcterms:W3CDTF">2024-11-19T21:38:34Z</dcterms:modified>
  <cp:category/>
  <cp:contentStatus/>
</cp:coreProperties>
</file>