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4"/>
    <sheet state="visible" name="1, Aspectos generales" sheetId="2" r:id="rId5"/>
    <sheet state="visible" name="2, Identidad e Información" sheetId="3" r:id="rId6"/>
    <sheet state="visible" name="3, Estructura y navegación" sheetId="4" r:id="rId7"/>
    <sheet state="visible" name="4, Rotulado" sheetId="5" r:id="rId8"/>
    <sheet state="visible" name="5, Layout de la página" sheetId="6" r:id="rId9"/>
    <sheet state="visible" name="6, Entendibilidad y Facilidad" sheetId="7" r:id="rId10"/>
    <sheet state="visible" name="7, Control y Retoalimentación" sheetId="8" r:id="rId11"/>
    <sheet state="visible" name="8, Elementos multimedia" sheetId="9" r:id="rId12"/>
    <sheet state="visible" name="9, Búsqueda" sheetId="10" r:id="rId13"/>
    <sheet state="visible" name="10, Ayuda" sheetId="11" r:id="rId14"/>
    <sheet state="visible" name="Cálculo de % usabilidad" sheetId="12" r:id="rId15"/>
    <sheet state="visible" name="Tablas de relevancia" sheetId="13" r:id="rId16"/>
    <sheet state="visible" name="Valores" sheetId="14" r:id="rId17"/>
  </sheets>
  <definedNames>
    <definedName name="Tabla622">'Tablas de relevancia'!$A$18:$Q$24</definedName>
    <definedName name="Relevancia">Valores!$J$5:$J$8</definedName>
    <definedName name="Tabla626">'Tablas de relevancia'!$A$71:$Q$77</definedName>
    <definedName name="Tabla630">'Tablas de relevancia'!$A$118:$Q$122</definedName>
    <definedName name="NumEval">'Cálculo de % usabilidad'!$F$4</definedName>
    <definedName name="Valores1">Valores!$A$5:$A$16</definedName>
    <definedName name="Tabla621">'Tablas de relevancia'!$A$4:$Q$13</definedName>
    <definedName name="ValoresVC">Valores!$M$5:$N$21</definedName>
    <definedName name="Valores2">Valores!$C$5:$C$10</definedName>
    <definedName name="Relenacia">Valores!$J$5:$J$8</definedName>
    <definedName name="Tabla625">'Tablas de relevancia'!$A$57:$Q$66</definedName>
    <definedName name="ValoresRC">Valores!$J$5:$K$8</definedName>
    <definedName name="Tabla623">'Tablas de relevancia'!$A$29:$Q$42</definedName>
    <definedName name="Tabla629">'Tablas de relevancia'!$A$106:$Q$113</definedName>
    <definedName name="Tabla624">'Tablas de relevancia'!$A$47:$Q$52</definedName>
    <definedName name="Tipos">Valores!$E$5:$E$20</definedName>
    <definedName name="TipoDeSitio">'Datos sitio'!$B$15</definedName>
    <definedName name="Tabla627">'Tablas de relevancia'!$A$82:$Q$91</definedName>
    <definedName name="Tabla628">'Tablas de relevancia'!$A$96:$Q$101</definedName>
  </definedNames>
  <calcPr/>
  <extLst>
    <ext uri="GoogleSheetsCustomDataVersion2">
      <go:sheetsCustomData xmlns:go="http://customooxmlschemas.google.com/" r:id="rId18" roundtripDataChecksum="xOaldlG7XyaFTKbeSgvFOcafK43oBobdvssau7IlboI="/>
    </ext>
  </extLst>
</workbook>
</file>

<file path=xl/sharedStrings.xml><?xml version="1.0" encoding="utf-8"?>
<sst xmlns="http://schemas.openxmlformats.org/spreadsheetml/2006/main" count="2013" uniqueCount="305">
  <si>
    <t>Checklist para revisión heurística de usabilidad v.3beta</t>
  </si>
  <si>
    <t xml:space="preserve">basada en la tesis de  Mª del Carmen Suárez Torrente </t>
  </si>
  <si>
    <t xml:space="preserve">Sirius: Sistema de Evaluación de la Usabilidad Web Orientado al Usuario y basado en la Determinación de Tareas Críticas </t>
  </si>
  <si>
    <r>
      <rPr>
        <rFont val="Calibri"/>
        <b/>
        <color theme="1"/>
        <sz val="11.0"/>
      </rPr>
      <t xml:space="preserve">Autor: </t>
    </r>
    <r>
      <rPr>
        <rFont val="Calibri"/>
        <color theme="1"/>
        <sz val="11.0"/>
      </rPr>
      <t>Olga Carreras Montoto</t>
    </r>
  </si>
  <si>
    <t>(Usable y accesible)</t>
  </si>
  <si>
    <r>
      <rPr>
        <rFont val="Calibri"/>
        <b/>
        <color theme="1"/>
        <sz val="11.0"/>
      </rPr>
      <t>Mejoras de la v.3 por</t>
    </r>
    <r>
      <rPr>
        <rFont val="Calibri"/>
        <color theme="1"/>
        <sz val="11.0"/>
      </rPr>
      <t xml:space="preserve">: Cecilio Sánchez </t>
    </r>
    <r>
      <rPr>
        <rFont val="Calibri"/>
        <color theme="1"/>
        <sz val="11.0"/>
      </rPr>
      <t>«</t>
    </r>
    <r>
      <rPr>
        <rFont val="Calibri"/>
        <color theme="1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</si>
  <si>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</si>
  <si>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</si>
  <si>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</si>
  <si>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</si>
  <si>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Sánchez Pérez Miguel Angel</t>
  </si>
  <si>
    <t>Fecha de evaluación</t>
  </si>
  <si>
    <t>Nombre del sitio evaluado</t>
  </si>
  <si>
    <t>SH - Sistema Hsopitalario</t>
  </si>
  <si>
    <t>URL del sitio evaluado</t>
  </si>
  <si>
    <t>http://localhost:8080/view/</t>
  </si>
  <si>
    <t>Tipo de sitio evaluado</t>
  </si>
  <si>
    <t>Corporativo / Empresas</t>
  </si>
  <si>
    <t>(nota: no admite la definición de sitio híbrido, ver pp. 162 de la tesis)</t>
  </si>
  <si>
    <t>Navegador con el que se revisa</t>
  </si>
  <si>
    <t>Microsoft Edge</t>
  </si>
  <si>
    <t>Versión el navegador</t>
  </si>
  <si>
    <t>130.0.2849.80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</si>
  <si>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</si>
  <si>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</si>
  <si>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</si>
  <si>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</si>
  <si>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</si>
  <si>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</si>
  <si>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</si>
  <si>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</si>
  <si>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</si>
  <si>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</si>
  <si>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r>
      <rPr>
        <rFont val="Calibri"/>
        <b/>
        <color theme="1"/>
        <sz val="12.0"/>
      </rPr>
      <t xml:space="preserve">CRITERIOS DEL "HEURÍSTICO ASPECTOS GENERALES": </t>
    </r>
    <r>
      <rPr>
        <rFont val="Calibri"/>
        <b val="0"/>
        <color theme="1"/>
        <sz val="12.0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</si>
  <si>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</si>
  <si>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</si>
  <si>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</si>
  <si>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</si>
  <si>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</si>
  <si>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</si>
  <si>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</si>
  <si>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</si>
  <si>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</si>
  <si>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</si>
  <si>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</si>
  <si>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</si>
  <si>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AG2</t>
  </si>
  <si>
    <t xml:space="preserve">Contenidos y servicios ofrecidos precisos y completos </t>
  </si>
  <si>
    <t>AG3</t>
  </si>
  <si>
    <t xml:space="preserve">Estructura general del sitio web orientada al usuario </t>
  </si>
  <si>
    <t>AG4</t>
  </si>
  <si>
    <t>Look &amp; Feel general se corresponde con los objetivos, características, contenidos y servicios del sitio web</t>
  </si>
  <si>
    <t>AG5</t>
  </si>
  <si>
    <t xml:space="preserve">Diseño general del sitio web reconocible </t>
  </si>
  <si>
    <t>AG6</t>
  </si>
  <si>
    <t>Diseño general del sitio web coherente</t>
  </si>
  <si>
    <t>AG7</t>
  </si>
  <si>
    <t>Se utiliza el idioma del usuario</t>
  </si>
  <si>
    <t>S</t>
  </si>
  <si>
    <t>AG8</t>
  </si>
  <si>
    <t xml:space="preserve">Se da soporte a otro/s idioma/s </t>
  </si>
  <si>
    <t>AG9</t>
  </si>
  <si>
    <t xml:space="preserve">Traducción del sitio completa y correcta </t>
  </si>
  <si>
    <t>NA</t>
  </si>
  <si>
    <t>AG10</t>
  </si>
  <si>
    <t>Sitio web actualizado periódicamente</t>
  </si>
  <si>
    <t>Núm.elementos evaluados</t>
  </si>
  <si>
    <t xml:space="preserve"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</si>
  <si>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</si>
  <si>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</si>
  <si>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</si>
  <si>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</si>
  <si>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</si>
  <si>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</si>
  <si>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</si>
  <si>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</si>
  <si>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</si>
  <si>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</si>
  <si>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</si>
  <si>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</si>
  <si>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</si>
  <si>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</si>
  <si>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</si>
  <si>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</si>
  <si>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</si>
  <si>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r>
      <rPr>
        <rFont val="Calibri"/>
        <b/>
        <color theme="1"/>
        <sz val="12.0"/>
      </rPr>
      <t xml:space="preserve">CRITERIOS DEL "IDENTIDAD E INFORMACIÓN": </t>
    </r>
    <r>
      <rPr>
        <rFont val="Calibri"/>
        <b val="0"/>
        <color theme="1"/>
        <sz val="12.0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</si>
  <si>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</si>
  <si>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</si>
  <si>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II.2</t>
  </si>
  <si>
    <t>Identidad del sitio en todas las páginas</t>
  </si>
  <si>
    <t>II.3</t>
  </si>
  <si>
    <t>Eslogan o tagline adecuado al objetivo del sitio</t>
  </si>
  <si>
    <t xml:space="preserve">No hay eslogan </t>
  </si>
  <si>
    <t>II.4</t>
  </si>
  <si>
    <t>Se ofrece información sobre el sitio web, empresa</t>
  </si>
  <si>
    <t>NTS</t>
  </si>
  <si>
    <t>No hay esa información</t>
  </si>
  <si>
    <t>II.5</t>
  </si>
  <si>
    <t>Existen mecanismos de contacto</t>
  </si>
  <si>
    <t>II.6</t>
  </si>
  <si>
    <t>Se ofrece información sobre la protección de datos de carácter personal o los
derechos de autor de los contenidos del sitio web</t>
  </si>
  <si>
    <t>No hay registro de derechos de autor</t>
  </si>
  <si>
    <t>II.7</t>
  </si>
  <si>
    <t>Se ofrece información sobre el autor, fuentes y fechas de creación y revisión
en artículos, noticias, informes</t>
  </si>
  <si>
    <t>No existe esa información</t>
  </si>
  <si>
    <r>
      <rPr>
        <rFont val="Calibri"/>
        <b/>
        <color theme="1"/>
        <sz val="12.0"/>
      </rPr>
      <t>CRITERIOS DEL "ESTRUCTURA Y NAVEGACIÓN":</t>
    </r>
    <r>
      <rPr>
        <rFont val="Calibri"/>
        <b val="0"/>
        <color theme="1"/>
        <sz val="12.0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</si>
  <si>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</si>
  <si>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</si>
  <si>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</si>
  <si>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</si>
  <si>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</si>
  <si>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</si>
  <si>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</si>
  <si>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</si>
  <si>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EN.5</t>
  </si>
  <si>
    <t>Equilibrio entre profundidad y anchura en el caso de estructura jerárquica</t>
  </si>
  <si>
    <t>EN.6</t>
  </si>
  <si>
    <t>Enlaces fácilmente reconocibles como tales</t>
  </si>
  <si>
    <t>EN.7</t>
  </si>
  <si>
    <t>La caracterización de los enlaces indica su estado (visitados, activos)</t>
  </si>
  <si>
    <t>No se cuentan con muchos links, pero indica las paginas de datos que esta visitando el usuario en cuanto a registros</t>
  </si>
  <si>
    <t>EN.8</t>
  </si>
  <si>
    <t>No hay redundancia de enlaces</t>
  </si>
  <si>
    <t>EN.9</t>
  </si>
  <si>
    <t>No hay enlaces rotos</t>
  </si>
  <si>
    <t>El enlace principal del logotipo no funciona</t>
  </si>
  <si>
    <t>EN.10</t>
  </si>
  <si>
    <t>No hay enlaces que lleven a la misma página que se está visualizando</t>
  </si>
  <si>
    <t>EN.11</t>
  </si>
  <si>
    <t>En las imágenes de enlace se indica el contenido al que se va a acceder</t>
  </si>
  <si>
    <t>No hay imágenes en el sitio</t>
  </si>
  <si>
    <t>EN.12</t>
  </si>
  <si>
    <t>Existe un enlace para volver al inicio en cada página</t>
  </si>
  <si>
    <t>EN.13</t>
  </si>
  <si>
    <t>Existen elementos de navegación que orienten al usuario acerca de dónde está y cómo deshacer su navegación (ej: migas)</t>
  </si>
  <si>
    <t>EN.14</t>
  </si>
  <si>
    <t>Existe mapa del sitio para acceder directamente a los contenidos sin navegar</t>
  </si>
  <si>
    <t>No hay mapa del sitio</t>
  </si>
  <si>
    <r>
      <rPr>
        <rFont val="Calibri"/>
        <b/>
        <color theme="1"/>
        <sz val="12.0"/>
      </rPr>
      <t>CRITERIOS DEL "ROTULADO":</t>
    </r>
    <r>
      <rPr>
        <rFont val="Calibri"/>
        <b val="0"/>
        <color theme="1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</si>
  <si>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</si>
  <si>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</si>
  <si>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</si>
  <si>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</si>
  <si>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</si>
  <si>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</si>
  <si>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</si>
  <si>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</si>
  <si>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RO.5</t>
  </si>
  <si>
    <t>URLs de páginas internas claras</t>
  </si>
  <si>
    <t>RO.6</t>
  </si>
  <si>
    <t>URLs de páginas internas permanentes</t>
  </si>
  <si>
    <r>
      <rPr>
        <rFont val="Calibri"/>
        <b/>
        <color theme="1"/>
        <sz val="12.0"/>
      </rPr>
      <t xml:space="preserve">CRITERIOS DEL "LAYOUT DE LA PÁGINA": </t>
    </r>
    <r>
      <rPr>
        <rFont val="Calibri"/>
        <b val="0"/>
        <color theme="1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</si>
  <si>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</si>
  <si>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</si>
  <si>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LA.2</t>
  </si>
  <si>
    <t>Se ha evitado la sobrecarga informativa</t>
  </si>
  <si>
    <t>Algunas tablas cuentan con demasiados datos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</si>
  <si>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</si>
  <si>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</si>
  <si>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</si>
  <si>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</si>
  <si>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LA.5</t>
  </si>
  <si>
    <t>Uso correcto del espacio visual de la página</t>
  </si>
  <si>
    <t>LA.6</t>
  </si>
  <si>
    <t>Se utiliza correctamente la jerarquía visual para expresar las relaciones del tipo "parte de" entre los elementos de la página</t>
  </si>
  <si>
    <t>LA.7</t>
  </si>
  <si>
    <t>Se ha controlado la longitud de página</t>
  </si>
  <si>
    <t>LA.8</t>
  </si>
  <si>
    <t>La versión impresa de la página es correcta</t>
  </si>
  <si>
    <t>No hay versión impresa para la aplicación web</t>
  </si>
  <si>
    <t>LA.9</t>
  </si>
  <si>
    <t>El texto de la página se lee sin dificultad</t>
  </si>
  <si>
    <t>LA.10</t>
  </si>
  <si>
    <t>Se ha evitado el texto parpadeante / deslizante</t>
  </si>
  <si>
    <r>
      <rPr>
        <rFont val="Calibri"/>
        <b/>
        <color theme="1"/>
        <sz val="12.0"/>
      </rPr>
      <t xml:space="preserve">CRITERIOS DEL "ENTENDIBILIDAD Y FACILIDAD EN LA INTERACCIÓN": </t>
    </r>
    <r>
      <rPr>
        <rFont val="Calibri"/>
        <b val="0"/>
        <color theme="1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</si>
  <si>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</si>
  <si>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</si>
  <si>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</si>
  <si>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</si>
  <si>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</si>
  <si>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</si>
  <si>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t xml:space="preserve">No hay párrafos </t>
  </si>
  <si>
    <t>EF.4</t>
  </si>
  <si>
    <t>Uso consistente de los controles de la interfaz</t>
  </si>
  <si>
    <t>EF.5</t>
  </si>
  <si>
    <t>Metáforas visuales reconocibles y comprensibles por cualquier usuario (ej.: iconos)</t>
  </si>
  <si>
    <t>EF.6</t>
  </si>
  <si>
    <t>Si se usan menús desplegables, orden coherente o alfabético</t>
  </si>
  <si>
    <t>EF.7</t>
  </si>
  <si>
    <t>Si el usuario tiene que rellenar un campo, las opciones  disponibles se pueden seleccionar en vez de tener que escribirlas</t>
  </si>
  <si>
    <r>
      <rPr>
        <rFont val="Calibri"/>
        <b/>
        <color theme="1"/>
        <sz val="12.0"/>
      </rPr>
      <t>CRITERIOS DEL "CONTROL Y RETORALIMENTACIÓN":</t>
    </r>
    <r>
      <rPr>
        <rFont val="Calibri"/>
        <b val="0"/>
        <color theme="1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</si>
  <si>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</si>
  <si>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</si>
  <si>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CR.2</t>
  </si>
  <si>
    <t>Se informa al usuario acerca de lo que está pasando</t>
  </si>
  <si>
    <t>CR.3</t>
  </si>
  <si>
    <t>Se informa al usuario de lo que ha pasado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</si>
  <si>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</si>
  <si>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</si>
  <si>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</si>
  <si>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</si>
  <si>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</si>
  <si>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</si>
  <si>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</si>
  <si>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</si>
  <si>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CR.8</t>
  </si>
  <si>
    <t>Se ha evitado la proliferación de ventanas en la pantalla del usuario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</si>
  <si>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</si>
  <si>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</si>
  <si>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</si>
  <si>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</si>
  <si>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rPr>
        <rFont val="Calibri"/>
        <b/>
        <color theme="1"/>
        <sz val="12.0"/>
      </rPr>
      <t>CRITERIOS DEL "ELEMENTOS MULTIMEDIA":</t>
    </r>
    <r>
      <rPr>
        <rFont val="Calibri"/>
        <b val="0"/>
        <color theme="1"/>
        <sz val="12.0"/>
      </rPr>
      <t xml:space="preserve"> Elementos relacionados con el grado de adecuación de los contenidos multimedia al sitio web.</t>
    </r>
  </si>
  <si>
    <t>EM.1</t>
  </si>
  <si>
    <t>Fotografías bien recortadas</t>
  </si>
  <si>
    <t>No hay fotografías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</si>
  <si>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</si>
  <si>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</si>
  <si>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</si>
  <si>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</si>
  <si>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</si>
  <si>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</si>
  <si>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</si>
  <si>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</si>
  <si>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EM.6</t>
  </si>
  <si>
    <t>El uso de sonido proporciona algún tipo de valor añadido</t>
  </si>
  <si>
    <t>No hay sonidos</t>
  </si>
  <si>
    <r>
      <rPr>
        <rFont val="Calibri"/>
        <b/>
        <color theme="1"/>
        <sz val="12.0"/>
      </rPr>
      <t xml:space="preserve">CRITERIOS DEL "BÚSQUEDA": </t>
    </r>
    <r>
      <rPr>
        <rFont val="Calibri"/>
        <b val="0"/>
        <color theme="1"/>
        <sz val="11.0"/>
      </rPr>
      <t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</si>
  <si>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</si>
  <si>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</si>
  <si>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</si>
  <si>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</si>
  <si>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</si>
  <si>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</si>
  <si>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</si>
  <si>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</si>
  <si>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</si>
  <si>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</si>
  <si>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</si>
  <si>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</si>
  <si>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</si>
  <si>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</si>
  <si>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</si>
  <si>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</si>
  <si>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 dada</t>
  </si>
  <si>
    <r>
      <rPr>
        <rFont val="Calibri"/>
        <b/>
        <color theme="1"/>
        <sz val="12.0"/>
      </rPr>
      <t xml:space="preserve">CRITERIOS DEL "AYUDA": </t>
    </r>
    <r>
      <rPr>
        <rFont val="Calibri"/>
        <b val="0"/>
        <color theme="1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</si>
  <si>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</si>
  <si>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</si>
  <si>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>No existe una sección de ayuda</t>
  </si>
  <si>
    <t>AY.2</t>
  </si>
  <si>
    <t>Fácil acceso y retorno al/del sistema de ayuda</t>
  </si>
  <si>
    <t>AY.3</t>
  </si>
  <si>
    <t>Se ofrece ayuda contextual en tareas complejas</t>
  </si>
  <si>
    <t>AY.4</t>
  </si>
  <si>
    <t>FAQs (si las hay) correcta la elección como la redacción de las preguntas</t>
  </si>
  <si>
    <t>AY.5</t>
  </si>
  <si>
    <t>FAQs (si las hay) correcta la redacción de las respuestas</t>
  </si>
  <si>
    <t xml:space="preserve"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</si>
  <si>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</si>
  <si>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</si>
  <si>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</si>
  <si>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</si>
  <si>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</si>
  <si>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</si>
  <si>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</si>
  <si>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</si>
  <si>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</si>
  <si>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r>
      <rPr>
        <rFont val="Calibri"/>
        <b/>
        <color theme="1"/>
        <sz val="9.0"/>
      </rPr>
      <t xml:space="preserve">nce: </t>
    </r>
    <r>
      <rPr>
        <rFont val="Calibri"/>
        <color theme="1"/>
        <sz val="9.0"/>
      </rPr>
      <t>número de criterios evaluados. Será como máximo los 83. Los NA no contabilizan. Se toma de la celda E14 de esta hoja (NumEval)</t>
    </r>
  </si>
  <si>
    <r>
      <rPr>
        <rFont val="Calibri"/>
        <b/>
        <color theme="1"/>
        <sz val="9.0"/>
      </rPr>
      <t xml:space="preserve">vc: </t>
    </r>
    <r>
      <rPr>
        <rFont val="Calibri"/>
        <color theme="1"/>
        <sz val="9.0"/>
      </rPr>
      <t>valor de evaluación de un criterio (campo de la columna f "Valor interno" de cada criterio en cada hoja)</t>
    </r>
  </si>
  <si>
    <r>
      <rPr>
        <rFont val="Calibri"/>
        <b/>
        <color theme="1"/>
        <sz val="9.0"/>
      </rPr>
      <t xml:space="preserve">fc: </t>
    </r>
    <r>
      <rPr>
        <rFont val="Calibri"/>
        <color theme="1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</si>
  <si>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</si>
  <si>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r>
      <rPr>
        <rFont val="Calibri"/>
        <b/>
        <color theme="1"/>
        <sz val="9.0"/>
      </rPr>
      <t xml:space="preserve">rc : </t>
    </r>
    <r>
      <rPr>
        <rFont val="Calibri"/>
        <color theme="1"/>
        <sz val="9.0"/>
      </rPr>
      <t>Valor de relevancia que corresponde a un criterio (campo de la columna g "Valor interno de Relevancia")</t>
    </r>
  </si>
  <si>
    <t>TABLA 6.21. RELEVANCIA DEL INCUMPLIMIENTO DE LOS CRITERIOS DE "ASPECTOS GENERALES"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</si>
  <si>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</si>
  <si>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</si>
  <si>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</si>
  <si>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</si>
  <si>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</si>
  <si>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</si>
  <si>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</si>
  <si>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</si>
  <si>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</si>
  <si>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</si>
  <si>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</si>
  <si>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</si>
  <si>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</si>
  <si>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</si>
  <si>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</si>
  <si>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</si>
  <si>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</si>
  <si>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</si>
  <si>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</si>
  <si>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</si>
  <si>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</si>
  <si>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</si>
  <si>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</si>
  <si>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</si>
  <si>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</si>
  <si>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</si>
  <si>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</si>
  <si>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</si>
  <si>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</si>
  <si>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</si>
  <si>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</si>
  <si>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</si>
  <si>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NPP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</si>
</sst>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0.000000000000000"/>
  </numFmts>
  <fonts count="20">
    <font>
      <sz val="11.0"/>
      <color theme="1"/>
      <name val="Calibri"/>
      <scheme val="minor"/>
    </font>
    <font>
      <b/>
      <i/>
      <sz val="18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8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8.0"/>
      <color theme="1"/>
      <name val="Calibri"/>
    </font>
    <font/>
    <font>
      <sz val="9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vertical="center"/>
    </xf>
    <xf borderId="1" fillId="2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3" numFmtId="1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Border="1" applyFont="1"/>
    <xf borderId="2" fillId="2" fontId="7" numFmtId="0" xfId="0" applyBorder="1" applyFont="1"/>
    <xf borderId="0" fillId="0" fontId="7" numFmtId="0" xfId="0" applyAlignment="1" applyFont="1">
      <alignment shrinkToFit="0" vertical="center" wrapText="1"/>
    </xf>
    <xf borderId="1" fillId="2" fontId="9" numFmtId="0" xfId="0" applyBorder="1" applyFont="1"/>
    <xf borderId="1" fillId="2" fontId="9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0" fontId="3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/>
    </xf>
    <xf borderId="3" fillId="2" fontId="3" numFmtId="164" xfId="0" applyAlignment="1" applyBorder="1" applyFont="1" applyNumberFormat="1">
      <alignment horizontal="center"/>
    </xf>
    <xf borderId="3" fillId="2" fontId="3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3" numFmtId="1" xfId="0" applyFont="1" applyNumberFormat="1"/>
    <xf borderId="4" fillId="2" fontId="9" numFmtId="1" xfId="0" applyBorder="1" applyFont="1" applyNumberFormat="1"/>
    <xf borderId="0" fillId="0" fontId="9" numFmtId="0" xfId="0" applyFont="1"/>
    <xf borderId="2" fillId="2" fontId="9" numFmtId="0" xfId="0" applyBorder="1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 vertical="center"/>
    </xf>
    <xf borderId="3" fillId="2" fontId="3" numFmtId="0" xfId="0" applyBorder="1" applyFont="1"/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/>
    </xf>
    <xf borderId="0" fillId="0" fontId="7" numFmtId="0" xfId="0" applyAlignment="1" applyFont="1">
      <alignment horizontal="left" shrinkToFit="0" vertical="center" wrapText="1"/>
    </xf>
    <xf borderId="2" fillId="3" fontId="3" numFmtId="2" xfId="0" applyBorder="1" applyFont="1" applyNumberForma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3" numFmtId="164" xfId="0" applyAlignment="1" applyBorder="1" applyFont="1" applyNumberFormat="1">
      <alignment vertical="top"/>
    </xf>
    <xf borderId="1" fillId="2" fontId="3" numFmtId="165" xfId="0" applyAlignment="1" applyBorder="1" applyFont="1" applyNumberFormat="1">
      <alignment vertical="top"/>
    </xf>
    <xf borderId="2" fillId="3" fontId="11" numFmtId="0" xfId="0" applyBorder="1" applyFont="1"/>
    <xf borderId="0" fillId="0" fontId="12" numFmtId="0" xfId="0" applyFont="1"/>
    <xf borderId="5" fillId="2" fontId="12" numFmtId="0" xfId="0" applyBorder="1" applyFont="1"/>
    <xf borderId="6" fillId="0" fontId="13" numFmtId="2" xfId="0" applyAlignment="1" applyBorder="1" applyFont="1" applyNumberFormat="1">
      <alignment horizontal="left"/>
    </xf>
    <xf borderId="0" fillId="0" fontId="14" numFmtId="0" xfId="0" applyAlignment="1" applyFont="1">
      <alignment horizontal="left"/>
    </xf>
    <xf borderId="7" fillId="0" fontId="9" numFmtId="0" xfId="0" applyAlignment="1" applyBorder="1" applyFont="1">
      <alignment horizontal="left" vertical="top"/>
    </xf>
    <xf borderId="8" fillId="0" fontId="15" numFmtId="0" xfId="0" applyBorder="1" applyFont="1"/>
    <xf borderId="1" fillId="0" fontId="3" numFmtId="1" xfId="0" applyBorder="1" applyFont="1" applyNumberFormat="1"/>
    <xf borderId="7" fillId="0" fontId="9" numFmtId="0" xfId="0" applyAlignment="1" applyBorder="1" applyFont="1">
      <alignment horizontal="left" shrinkToFit="0" vertical="top" wrapText="1"/>
    </xf>
    <xf borderId="1" fillId="0" fontId="9" numFmtId="0" xfId="0" applyBorder="1" applyFont="1"/>
    <xf borderId="1" fillId="0" fontId="3" numFmtId="164" xfId="0" applyBorder="1" applyFont="1" applyNumberFormat="1"/>
    <xf borderId="0" fillId="0" fontId="16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horizontal="left" textRotation="30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381250"/>
    <xdr:pic>
      <xdr:nvPicPr>
        <xdr:cNvPr descr="formula_evaluacion_usabilidad_sirius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00200"/>
    <xdr:pic>
      <xdr:nvPicPr>
        <xdr:cNvPr descr="subformula_evaluación_usabilidad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localhost:8080/view/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hyperlink" Target="mailto:carreras.olga@gmail.com?subject=Excel%20Sirius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14"/>
    <col customWidth="1" min="2" max="2" width="57.43"/>
    <col customWidth="1" min="3" max="3" width="18.0"/>
    <col customWidth="1" min="4" max="26" width="11.57"/>
  </cols>
  <sheetData>
    <row r="1" ht="36.75" customHeight="1">
      <c r="A1" s="1" t="s">
        <v>0</v>
      </c>
      <c r="B1" s="2"/>
      <c r="C1" s="3">
        <v>40756.0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</v>
      </c>
      <c r="B5" s="6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9</v>
      </c>
      <c r="B11" s="10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" t="s">
        <v>11</v>
      </c>
      <c r="B12" s="11">
        <v>45637.0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" t="s">
        <v>12</v>
      </c>
      <c r="B13" s="10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9" t="s">
        <v>14</v>
      </c>
      <c r="B14" s="12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 t="s">
        <v>16</v>
      </c>
      <c r="B15" s="10" t="s">
        <v>17</v>
      </c>
      <c r="C15" s="4" t="s">
        <v>18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" t="s">
        <v>19</v>
      </c>
      <c r="B16" s="13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 t="s">
        <v>21</v>
      </c>
      <c r="B17" s="13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4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7" t="s">
        <v>24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25</v>
      </c>
      <c r="B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4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30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31</v>
      </c>
      <c r="B30" s="4"/>
      <c r="C30" s="6" t="s">
        <v>32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4"/>
    <hyperlink r:id="rId6" ref="C21"/>
    <hyperlink r:id="rId7" ref="C30"/>
  </hyperlinks>
  <printOptions/>
  <pageMargins bottom="0.75" footer="0.0" header="0.0" left="0.7" right="0.7" top="0.75"/>
  <pageSetup paperSize="9"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9.57"/>
    <col customWidth="1" min="3" max="3" width="11.57"/>
    <col customWidth="1" min="4" max="4" width="14.57"/>
    <col customWidth="1" min="5" max="5" width="22.0"/>
    <col customWidth="1" min="6" max="6" width="16.86"/>
    <col customWidth="1" min="7" max="7" width="29.14"/>
    <col customWidth="1" min="8" max="10" width="23.57"/>
    <col customWidth="1" min="11" max="11" width="25.43"/>
    <col customWidth="1" min="12" max="12" width="4.57"/>
    <col customWidth="1" min="13" max="26" width="11.57"/>
  </cols>
  <sheetData>
    <row r="1" ht="36.75" customHeight="1">
      <c r="A1" s="45" t="s">
        <v>226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6" t="s">
        <v>34</v>
      </c>
      <c r="B2" s="16" t="s">
        <v>35</v>
      </c>
      <c r="C2" s="17" t="s">
        <v>36</v>
      </c>
      <c r="D2" s="17" t="s">
        <v>227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 t="s">
        <v>228</v>
      </c>
      <c r="B3" s="43" t="s">
        <v>229</v>
      </c>
      <c r="C3" s="37" t="s">
        <v>58</v>
      </c>
      <c r="D3" s="38" t="str">
        <f>IF(OR(TipoDeSitio="",C3="NA"),"",VLOOKUP(CONCATENATE(A3,": ",B3),Tabla629,MATCH(TipoDeSitio,Tipos,0)+1,0))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0.006097560976</v>
      </c>
      <c r="I3" s="40">
        <f t="shared" ref="I3:I10" si="1">IF(OR(H3="",F3=""),"",H3*F3)</f>
        <v>0.06097560976</v>
      </c>
      <c r="J3" s="41">
        <f t="shared" ref="J3:J10" si="2">IF(H3="","",H3*10)</f>
        <v>0.06097560976</v>
      </c>
      <c r="K3" s="1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3" t="s">
        <v>230</v>
      </c>
      <c r="B4" s="13" t="s">
        <v>231</v>
      </c>
      <c r="C4" s="47">
        <v>9.0</v>
      </c>
      <c r="D4" s="38" t="str">
        <f>IF(OR(TipoDeSitio="",C4="NA"),"",VLOOKUP(CONCATENATE(A4,": ",B4),Tabla629,MATCH(TipoDeSitio,Tipos,0)+1,0))</f>
        <v>MA</v>
      </c>
      <c r="E4" s="13"/>
      <c r="F4" s="9">
        <f>IF(C4="","",VLOOKUP(C4,ValoresVC,2,0))</f>
        <v>9</v>
      </c>
      <c r="G4" s="39">
        <f>IF(D4="","",VLOOKUP($D4,ValoresRC,2,0))</f>
        <v>4</v>
      </c>
      <c r="H4" s="40">
        <f>IF(OR(G4="",G4=0,'Cálculo de % usabilidad'!$F$5=0),"",G4/'Cálculo de % usabilidad'!$F$5)</f>
        <v>0.0243902439</v>
      </c>
      <c r="I4" s="40">
        <f t="shared" si="1"/>
        <v>0.2195121951</v>
      </c>
      <c r="J4" s="41">
        <f t="shared" si="2"/>
        <v>0.243902439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232</v>
      </c>
      <c r="B5" s="13" t="s">
        <v>233</v>
      </c>
      <c r="C5" s="47">
        <v>9.0</v>
      </c>
      <c r="D5" s="38" t="str">
        <f>IF(OR(TipoDeSitio="",C5="NA"),"",VLOOKUP(CONCATENATE(A5,": ",B5),Tabla629,MATCH(TipoDeSitio,Tipos,0)+1,0))</f>
        <v>ME</v>
      </c>
      <c r="E5" s="13"/>
      <c r="F5" s="9">
        <f>IF(C5="","",VLOOKUP(C5,ValoresVC,2,0))</f>
        <v>9</v>
      </c>
      <c r="G5" s="39">
        <f>IF(D5="","",VLOOKUP($D5,ValoresRC,2,0))</f>
        <v>2</v>
      </c>
      <c r="H5" s="40">
        <f>IF(OR(G5="",G5=0,'Cálculo de % usabilidad'!$F$5=0),"",G5/'Cálculo de % usabilidad'!$F$5)</f>
        <v>0.01219512195</v>
      </c>
      <c r="I5" s="40">
        <f t="shared" si="1"/>
        <v>0.1097560976</v>
      </c>
      <c r="J5" s="41">
        <f t="shared" si="2"/>
        <v>0.1219512195</v>
      </c>
      <c r="K5" s="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 t="s">
        <v>234</v>
      </c>
      <c r="B6" s="43" t="s">
        <v>235</v>
      </c>
      <c r="C6" s="47">
        <v>9.0</v>
      </c>
      <c r="D6" s="38" t="str">
        <f>IF(OR(TipoDeSitio="",C6="NA"),"",VLOOKUP(CONCATENATE(A6,": ",B6),Tabla629,MATCH(TipoDeSitio,Tipos,0)+1,0))</f>
        <v>ME</v>
      </c>
      <c r="E6" s="13"/>
      <c r="F6" s="9">
        <f>IF(C6="","",VLOOKUP(C6,ValoresVC,2,0))</f>
        <v>9</v>
      </c>
      <c r="G6" s="39">
        <f>IF(D6="","",VLOOKUP($D6,ValoresRC,2,0))</f>
        <v>2</v>
      </c>
      <c r="H6" s="40">
        <f>IF(OR(G6="",G6=0,'Cálculo de % usabilidad'!$F$5=0),"",G6/'Cálculo de % usabilidad'!$F$5)</f>
        <v>0.01219512195</v>
      </c>
      <c r="I6" s="40">
        <f t="shared" si="1"/>
        <v>0.1097560976</v>
      </c>
      <c r="J6" s="41">
        <f t="shared" si="2"/>
        <v>0.1219512195</v>
      </c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236</v>
      </c>
      <c r="B7" s="43" t="s">
        <v>237</v>
      </c>
      <c r="C7" s="48">
        <v>9.0</v>
      </c>
      <c r="D7" s="38" t="str">
        <f>IF(OR(TipoDeSitio="",C7="NA"),"",VLOOKUP(CONCATENATE(A7,": ",B7),Tabla629,MATCH(TipoDeSitio,Tipos,0)+1,0))</f>
        <v>MO</v>
      </c>
      <c r="E7" s="13"/>
      <c r="F7" s="9">
        <f>IF(C7="","",VLOOKUP(C7,ValoresVC,2,0))</f>
        <v>9</v>
      </c>
      <c r="G7" s="39">
        <f>IF(D7="","",VLOOKUP($D7,ValoresRC,2,0))</f>
        <v>1</v>
      </c>
      <c r="H7" s="40">
        <f>IF(OR(G7="",G7=0,'Cálculo de % usabilidad'!$F$5=0),"",G7/'Cálculo de % usabilidad'!$F$5)</f>
        <v>0.006097560976</v>
      </c>
      <c r="I7" s="40">
        <f t="shared" si="1"/>
        <v>0.05487804878</v>
      </c>
      <c r="J7" s="41">
        <f t="shared" si="2"/>
        <v>0.06097560976</v>
      </c>
      <c r="K7" s="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 t="s">
        <v>238</v>
      </c>
      <c r="B8" s="43" t="s">
        <v>239</v>
      </c>
      <c r="C8" s="48">
        <v>0.0</v>
      </c>
      <c r="D8" s="38" t="str">
        <f>IF(OR(TipoDeSitio="",C8="NA"),"",VLOOKUP(CONCATENATE(A8,": ",B8),Tabla629,MATCH(TipoDeSitio,Tipos,0)+1,0))</f>
        <v>ME</v>
      </c>
      <c r="E8" s="13"/>
      <c r="F8" s="9">
        <f>IF(C8="","",VLOOKUP(C8,ValoresVC,2,0))</f>
        <v>0</v>
      </c>
      <c r="G8" s="39">
        <f>IF(D8="","",VLOOKUP($D8,ValoresRC,2,0))</f>
        <v>2</v>
      </c>
      <c r="H8" s="40">
        <f>IF(OR(G8="",G8=0,'Cálculo de % usabilidad'!$F$5=0),"",G8/'Cálculo de % usabilidad'!$F$5)</f>
        <v>0.01219512195</v>
      </c>
      <c r="I8" s="40">
        <f t="shared" si="1"/>
        <v>0</v>
      </c>
      <c r="J8" s="41">
        <f t="shared" si="2"/>
        <v>0.1219512195</v>
      </c>
      <c r="K8" s="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 t="s">
        <v>240</v>
      </c>
      <c r="B9" s="43" t="s">
        <v>241</v>
      </c>
      <c r="C9" s="48">
        <v>10.0</v>
      </c>
      <c r="D9" s="38" t="str">
        <f>IF(OR(TipoDeSitio="",C9="NA"),"",VLOOKUP(CONCATENATE(A9,": ",B9),Tabla629,MATCH(TipoDeSitio,Tipos,0)+1,0))</f>
        <v>ME</v>
      </c>
      <c r="E9" s="13"/>
      <c r="F9" s="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0.01219512195</v>
      </c>
      <c r="I9" s="40">
        <f t="shared" si="1"/>
        <v>0.1219512195</v>
      </c>
      <c r="J9" s="41">
        <f t="shared" si="2"/>
        <v>0.1219512195</v>
      </c>
      <c r="K9" s="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 t="s">
        <v>242</v>
      </c>
      <c r="B10" s="43" t="s">
        <v>243</v>
      </c>
      <c r="C10" s="48">
        <v>0.0</v>
      </c>
      <c r="D10" s="38" t="str">
        <f>IF(OR(TipoDeSitio="",C10="NA"),"",VLOOKUP(CONCATENATE(A10,": ",B10),Tabla629,MATCH(TipoDeSitio,Tipos,0)+1,0))</f>
        <v>ME</v>
      </c>
      <c r="E10" s="13"/>
      <c r="F10" s="9">
        <f>IF(C10="","",VLOOKUP(C10,ValoresVC,2,0))</f>
        <v>0</v>
      </c>
      <c r="G10" s="39">
        <f>IF(D10="","",VLOOKUP($D10,ValoresRC,2,0))</f>
        <v>2</v>
      </c>
      <c r="H10" s="40">
        <f>IF(OR(G10="",G10=0,'Cálculo de % usabilidad'!$F$5=0),"",G10/'Cálculo de % usabilidad'!$F$5)</f>
        <v>0.01219512195</v>
      </c>
      <c r="I10" s="40">
        <f t="shared" si="1"/>
        <v>0</v>
      </c>
      <c r="J10" s="41">
        <f t="shared" si="2"/>
        <v>0.1219512195</v>
      </c>
      <c r="K10" s="4" t="s">
        <v>66</v>
      </c>
      <c r="L10" s="27">
        <f>8-(COUNTIF(C3:C10,"NA")+COUNTBLANK(C3:C10))</f>
        <v>8</v>
      </c>
      <c r="M10" s="4" t="s">
        <v>67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28">
        <f>IF(SUM(G3:G10)=0,"",SUM(G3:G10))</f>
        <v>16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9" t="s">
        <v>68</v>
      </c>
      <c r="B12" s="4"/>
      <c r="C12" s="30" t="s">
        <v>69</v>
      </c>
      <c r="D12" s="31"/>
      <c r="E12" s="31"/>
      <c r="F12" s="31"/>
      <c r="G12" s="31"/>
      <c r="H12" s="31"/>
      <c r="I12" s="31"/>
      <c r="J12" s="3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70</v>
      </c>
      <c r="B13" s="4"/>
      <c r="C13" s="32">
        <v>0.0</v>
      </c>
      <c r="D13" s="31" t="s">
        <v>71</v>
      </c>
      <c r="E13" s="31"/>
      <c r="F13" s="32" t="s">
        <v>72</v>
      </c>
      <c r="G13" s="31" t="s">
        <v>73</v>
      </c>
      <c r="H13" s="31"/>
      <c r="I13" s="31"/>
      <c r="J13" s="3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74</v>
      </c>
      <c r="B14" s="4"/>
      <c r="C14" s="32">
        <v>10.0</v>
      </c>
      <c r="D14" s="31" t="s">
        <v>75</v>
      </c>
      <c r="E14" s="31"/>
      <c r="F14" s="32" t="s">
        <v>76</v>
      </c>
      <c r="G14" s="31" t="s">
        <v>77</v>
      </c>
      <c r="H14" s="31"/>
      <c r="I14" s="31"/>
      <c r="J14" s="3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32" t="s">
        <v>63</v>
      </c>
      <c r="D15" s="31" t="s">
        <v>78</v>
      </c>
      <c r="E15" s="31"/>
      <c r="F15" s="32" t="s">
        <v>79</v>
      </c>
      <c r="G15" s="31" t="s">
        <v>80</v>
      </c>
      <c r="H15" s="31"/>
      <c r="I15" s="31"/>
      <c r="J15" s="3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32" t="s">
        <v>81</v>
      </c>
      <c r="D16" s="31" t="s">
        <v>82</v>
      </c>
      <c r="E16" s="31"/>
      <c r="F16" s="32" t="s">
        <v>83</v>
      </c>
      <c r="G16" s="31" t="s">
        <v>84</v>
      </c>
      <c r="H16" s="31"/>
      <c r="I16" s="31"/>
      <c r="J16" s="3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31"/>
      <c r="D17" s="31"/>
      <c r="E17" s="31"/>
      <c r="F17" s="31"/>
      <c r="G17" s="31"/>
      <c r="H17" s="31"/>
      <c r="I17" s="31"/>
      <c r="J17" s="3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18"/>
      <c r="D18" s="18"/>
      <c r="E18" s="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4"/>
      <c r="B19" s="18"/>
      <c r="C19" s="18"/>
      <c r="D19" s="1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8"/>
      <c r="B20" s="18"/>
      <c r="C20" s="18"/>
      <c r="D20" s="18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dataValidations>
    <dataValidation type="list" allowBlank="1" showErrorMessage="1" sqref="C4:C10">
      <formula1>Valores1</formula1>
    </dataValidation>
    <dataValidation type="list" allowBlank="1" showErrorMessage="1" sqref="C3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88.43"/>
    <col customWidth="1" min="3" max="3" width="10.71"/>
    <col customWidth="1" min="4" max="4" width="15.0"/>
    <col customWidth="1" min="5" max="5" width="37.43"/>
    <col customWidth="1" min="6" max="6" width="16.86"/>
    <col customWidth="1" min="7" max="7" width="28.57"/>
    <col customWidth="1" min="8" max="10" width="25.14"/>
    <col customWidth="1" min="11" max="11" width="25.0"/>
    <col customWidth="1" min="12" max="12" width="6.43"/>
    <col customWidth="1" min="13" max="26" width="10.71"/>
  </cols>
  <sheetData>
    <row r="1" ht="36.75" customHeight="1">
      <c r="A1" s="8" t="s">
        <v>244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49" t="s">
        <v>245</v>
      </c>
      <c r="B3" s="43" t="s">
        <v>246</v>
      </c>
      <c r="C3" s="37" t="s">
        <v>95</v>
      </c>
      <c r="D3" s="38" t="str">
        <f>IF(OR(TipoDeSitio="",C3="NA"),"",VLOOKUP(CONCATENATE(A3,": ",B3),Tabla630,MATCH(TipoDeSitio,Tipos,0)+1,0))</f>
        <v>MO</v>
      </c>
      <c r="E3" s="49" t="s">
        <v>247</v>
      </c>
      <c r="F3" s="50">
        <f>IF(C3="","",VLOOKUP(C3,ValoresVC,2,0))</f>
        <v>0</v>
      </c>
      <c r="G3" s="50">
        <f>IF(D3="","",VLOOKUP($D3,ValoresRC,2,0))</f>
        <v>1</v>
      </c>
      <c r="H3" s="51">
        <f>IF(OR(G3="",G3=0,'Cálculo de % usabilidad'!$F$5=0),"",G3/'Cálculo de % usabilidad'!$F$5)</f>
        <v>0.006097560976</v>
      </c>
      <c r="I3" s="51">
        <f t="shared" ref="I3:I7" si="1">IF(OR(H3="",F3=""),"",H3*F3)</f>
        <v>0</v>
      </c>
      <c r="J3" s="52">
        <f t="shared" ref="J3:J7" si="2">IF(H3="","",H3*10)</f>
        <v>0.06097560976</v>
      </c>
      <c r="K3" s="18"/>
    </row>
    <row r="4" ht="14.25" customHeight="1">
      <c r="A4" s="49" t="s">
        <v>248</v>
      </c>
      <c r="B4" s="13" t="s">
        <v>249</v>
      </c>
      <c r="C4" s="47">
        <v>9.0</v>
      </c>
      <c r="D4" s="38" t="str">
        <f>IF(OR(TipoDeSitio="",C4="NA"),"",VLOOKUP(CONCATENATE(A4,": ",B4),Tabla630,MATCH(TipoDeSitio,Tipos,0)+1,0))</f>
        <v>MO</v>
      </c>
      <c r="E4" s="49"/>
      <c r="F4" s="50">
        <f>IF(C4="","",VLOOKUP(C4,ValoresVC,2,0))</f>
        <v>9</v>
      </c>
      <c r="G4" s="50">
        <f>IF(D4="","",VLOOKUP($D4,ValoresRC,2,0))</f>
        <v>1</v>
      </c>
      <c r="H4" s="51">
        <f>IF(OR(G4="",G4=0,'Cálculo de % usabilidad'!$F$5=0),"",G4/'Cálculo de % usabilidad'!$F$5)</f>
        <v>0.006097560976</v>
      </c>
      <c r="I4" s="51">
        <f t="shared" si="1"/>
        <v>0.05487804878</v>
      </c>
      <c r="J4" s="52">
        <f t="shared" si="2"/>
        <v>0.06097560976</v>
      </c>
      <c r="K4" s="18"/>
    </row>
    <row r="5" ht="14.25" customHeight="1">
      <c r="A5" s="49" t="s">
        <v>250</v>
      </c>
      <c r="B5" s="13" t="s">
        <v>251</v>
      </c>
      <c r="C5" s="37" t="s">
        <v>58</v>
      </c>
      <c r="D5" s="38" t="str">
        <f>IF(OR(TipoDeSitio="",C5="NA"),"",VLOOKUP(CONCATENATE(A5,": ",B5),Tabla630,MATCH(TipoDeSitio,Tipos,0)+1,0))</f>
        <v>ME</v>
      </c>
      <c r="E5" s="49"/>
      <c r="F5" s="50">
        <f>IF(C5="","",VLOOKUP(C5,ValoresVC,2,0))</f>
        <v>10</v>
      </c>
      <c r="G5" s="50">
        <f>IF(D5="","",VLOOKUP($D5,ValoresRC,2,0))</f>
        <v>2</v>
      </c>
      <c r="H5" s="51">
        <f>IF(OR(G5="",G5=0,'Cálculo de % usabilidad'!$F$5=0),"",G5/'Cálculo de % usabilidad'!$F$5)</f>
        <v>0.01219512195</v>
      </c>
      <c r="I5" s="51">
        <f t="shared" si="1"/>
        <v>0.1219512195</v>
      </c>
      <c r="J5" s="52">
        <f t="shared" si="2"/>
        <v>0.1219512195</v>
      </c>
      <c r="K5" s="18"/>
    </row>
    <row r="6" ht="14.25" customHeight="1">
      <c r="A6" s="49" t="s">
        <v>252</v>
      </c>
      <c r="B6" s="43" t="s">
        <v>253</v>
      </c>
      <c r="C6" s="48" t="s">
        <v>63</v>
      </c>
      <c r="D6" s="38" t="str">
        <f>IF(OR(TipoDeSitio="",C6="NA"),"",VLOOKUP(CONCATENATE(A6,": ",B6),Tabla630,MATCH(TipoDeSitio,Tipos,0)+1,0))</f>
        <v/>
      </c>
      <c r="E6" s="49"/>
      <c r="F6" s="50">
        <f>IF(C6="","",VLOOKUP(C6,ValoresVC,2,0))</f>
        <v>0</v>
      </c>
      <c r="G6" s="50" t="str">
        <f>IF(D6="","",VLOOKUP($D6,ValoresRC,2,0))</f>
        <v/>
      </c>
      <c r="H6" s="51" t="str">
        <f>IF(OR(G6="",G6=0,'Cálculo de % usabilidad'!$F$5=0),"",G6/'Cálculo de % usabilidad'!$F$5)</f>
        <v/>
      </c>
      <c r="I6" s="51" t="str">
        <f t="shared" si="1"/>
        <v/>
      </c>
      <c r="J6" s="52" t="str">
        <f t="shared" si="2"/>
        <v/>
      </c>
      <c r="K6" s="18"/>
    </row>
    <row r="7" ht="14.25" customHeight="1">
      <c r="A7" s="49" t="s">
        <v>254</v>
      </c>
      <c r="B7" s="43" t="s">
        <v>255</v>
      </c>
      <c r="C7" s="48" t="s">
        <v>63</v>
      </c>
      <c r="D7" s="38" t="str">
        <f>IF(OR(TipoDeSitio="",C7="NA"),"",VLOOKUP(CONCATENATE(A7,": ",B7),Tabla630,MATCH(TipoDeSitio,Tipos,0)+1,0))</f>
        <v/>
      </c>
      <c r="E7" s="49"/>
      <c r="F7" s="50">
        <f>IF(C7="","",VLOOKUP(C7,ValoresVC,2,0))</f>
        <v>0</v>
      </c>
      <c r="G7" s="50" t="str">
        <f>IF(D7="","",VLOOKUP($D7,ValoresRC,2,0))</f>
        <v/>
      </c>
      <c r="H7" s="51" t="str">
        <f>IF(OR(G7="",G7=0,'Cálculo de % usabilidad'!$F$5=0),"",G7/'Cálculo de % usabilidad'!$F$5)</f>
        <v/>
      </c>
      <c r="I7" s="51" t="str">
        <f t="shared" si="1"/>
        <v/>
      </c>
      <c r="J7" s="52" t="str">
        <f t="shared" si="2"/>
        <v/>
      </c>
      <c r="K7" s="26" t="s">
        <v>66</v>
      </c>
      <c r="L7" s="27">
        <f>5-(COUNTIF(C3:C7,"NA")+COUNTBLANK(C3:C7))</f>
        <v>3</v>
      </c>
      <c r="M7" s="26" t="s">
        <v>67</v>
      </c>
    </row>
    <row r="8" ht="14.25" customHeight="1">
      <c r="G8" s="28">
        <f>IF(SUM(G3:G7)=0,"",SUM(G3:G7))</f>
        <v>4</v>
      </c>
      <c r="H8" s="46"/>
      <c r="I8" s="46"/>
      <c r="J8" s="46"/>
    </row>
    <row r="9" ht="14.25" customHeight="1">
      <c r="A9" s="29" t="s">
        <v>68</v>
      </c>
      <c r="C9" s="30" t="s">
        <v>69</v>
      </c>
      <c r="D9" s="31"/>
      <c r="E9" s="31"/>
      <c r="F9" s="31"/>
      <c r="G9" s="31"/>
      <c r="H9" s="31"/>
      <c r="I9" s="46"/>
      <c r="J9" s="46"/>
    </row>
    <row r="10" ht="14.25" customHeight="1">
      <c r="A10" s="26" t="s">
        <v>70</v>
      </c>
      <c r="C10" s="32">
        <v>0.0</v>
      </c>
      <c r="D10" s="31" t="s">
        <v>71</v>
      </c>
      <c r="E10" s="31"/>
      <c r="F10" s="32" t="s">
        <v>72</v>
      </c>
      <c r="G10" s="31" t="s">
        <v>73</v>
      </c>
      <c r="H10" s="31"/>
      <c r="I10" s="46"/>
      <c r="J10" s="46"/>
    </row>
    <row r="11" ht="14.25" customHeight="1">
      <c r="A11" s="26" t="s">
        <v>74</v>
      </c>
      <c r="C11" s="32">
        <v>10.0</v>
      </c>
      <c r="D11" s="31" t="s">
        <v>75</v>
      </c>
      <c r="E11" s="31"/>
      <c r="F11" s="32" t="s">
        <v>76</v>
      </c>
      <c r="G11" s="31" t="s">
        <v>77</v>
      </c>
      <c r="H11" s="31"/>
      <c r="I11" s="18"/>
      <c r="J11" s="18"/>
    </row>
    <row r="12" ht="14.25" customHeight="1">
      <c r="C12" s="32" t="s">
        <v>63</v>
      </c>
      <c r="D12" s="31" t="s">
        <v>78</v>
      </c>
      <c r="E12" s="31"/>
      <c r="F12" s="32" t="s">
        <v>79</v>
      </c>
      <c r="G12" s="31" t="s">
        <v>80</v>
      </c>
      <c r="H12" s="31"/>
      <c r="I12" s="18"/>
      <c r="J12" s="18"/>
    </row>
    <row r="13" ht="14.25" customHeight="1">
      <c r="C13" s="32" t="s">
        <v>81</v>
      </c>
      <c r="D13" s="31" t="s">
        <v>82</v>
      </c>
      <c r="E13" s="31"/>
      <c r="F13" s="32" t="s">
        <v>83</v>
      </c>
      <c r="G13" s="31" t="s">
        <v>84</v>
      </c>
      <c r="H13" s="31"/>
      <c r="I13" s="18"/>
      <c r="J13" s="18"/>
    </row>
    <row r="14" ht="14.25" customHeight="1">
      <c r="C14" s="31"/>
      <c r="D14" s="31"/>
      <c r="E14" s="31"/>
      <c r="F14" s="31"/>
      <c r="G14" s="31"/>
      <c r="H14" s="31"/>
      <c r="I14" s="18"/>
      <c r="J14" s="18"/>
    </row>
    <row r="15" ht="14.25" customHeight="1">
      <c r="C15" s="18"/>
      <c r="D15" s="18"/>
      <c r="E15" s="18"/>
    </row>
    <row r="16" ht="14.25" customHeight="1">
      <c r="A16" s="44"/>
      <c r="B16" s="18"/>
      <c r="C16" s="18"/>
      <c r="D16" s="18"/>
    </row>
    <row r="17" ht="14.25" customHeight="1">
      <c r="A17" s="18"/>
      <c r="B17" s="18"/>
      <c r="C17" s="18"/>
      <c r="D17" s="18"/>
    </row>
    <row r="18" ht="14.25" customHeight="1">
      <c r="A18" s="18"/>
      <c r="B18" s="18"/>
      <c r="C18" s="18"/>
      <c r="D18" s="1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 C6:C7">
      <formula1>Valores1</formula1>
    </dataValidation>
    <dataValidation type="list" allowBlank="1" showErrorMessage="1" sqref="C3 C5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43"/>
    <col customWidth="1" min="2" max="3" width="14.43"/>
    <col customWidth="1" min="4" max="4" width="31.43"/>
    <col customWidth="1" min="5" max="5" width="10.71"/>
    <col customWidth="1" min="6" max="6" width="15.57"/>
    <col customWidth="1" min="7" max="26" width="10.71"/>
  </cols>
  <sheetData>
    <row r="1" ht="14.25" customHeight="1">
      <c r="A1" s="18"/>
    </row>
    <row r="2" ht="14.25" customHeight="1">
      <c r="A2" s="53" t="s">
        <v>256</v>
      </c>
    </row>
    <row r="3" ht="14.25" customHeight="1">
      <c r="A3" s="53"/>
      <c r="D3" s="54" t="s">
        <v>257</v>
      </c>
    </row>
    <row r="4" ht="14.25" customHeight="1">
      <c r="A4" s="55" t="s">
        <v>258</v>
      </c>
      <c r="B4" s="56">
        <f>IF(OR(ISERROR(F6),ISERROR(F7),F6="",F7="",F6=0,F7=0),"",(F6/F7)*100)</f>
        <v>88.04878049</v>
      </c>
      <c r="C4" s="57"/>
      <c r="D4" s="58" t="s">
        <v>259</v>
      </c>
      <c r="E4" s="59"/>
      <c r="F4" s="60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68</v>
      </c>
    </row>
    <row r="5" ht="36.75" customHeight="1">
      <c r="D5" s="61" t="s">
        <v>260</v>
      </c>
      <c r="E5" s="59"/>
      <c r="F5" s="60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164</v>
      </c>
      <c r="G5" s="26" t="s">
        <v>261</v>
      </c>
    </row>
    <row r="6" ht="14.25" customHeight="1">
      <c r="D6" s="62" t="s">
        <v>262</v>
      </c>
      <c r="E6" s="13"/>
      <c r="F6" s="63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8.804878049</v>
      </c>
      <c r="G6" s="26" t="s">
        <v>263</v>
      </c>
    </row>
    <row r="7" ht="14.25" customHeight="1">
      <c r="D7" s="62" t="s">
        <v>264</v>
      </c>
      <c r="E7" s="13"/>
      <c r="F7" s="63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s="26" t="s">
        <v>263</v>
      </c>
    </row>
    <row r="8" ht="14.25" customHeight="1">
      <c r="A8" s="26" t="s">
        <v>265</v>
      </c>
    </row>
    <row r="9" ht="14.25" customHeight="1">
      <c r="A9" s="64"/>
    </row>
    <row r="10" ht="14.25" customHeight="1">
      <c r="A10" s="64"/>
    </row>
    <row r="11" ht="14.25" customHeight="1">
      <c r="A11" s="64"/>
      <c r="B11" s="64" t="s">
        <v>266</v>
      </c>
    </row>
    <row r="12" ht="14.25" customHeight="1">
      <c r="A12" s="65"/>
      <c r="B12" s="64" t="s">
        <v>267</v>
      </c>
    </row>
    <row r="13" ht="14.25" customHeight="1">
      <c r="A13" s="65"/>
      <c r="B13" s="64" t="s">
        <v>268</v>
      </c>
    </row>
    <row r="14" ht="14.25" customHeight="1">
      <c r="A14" s="65"/>
      <c r="B14" s="64" t="s">
        <v>269</v>
      </c>
    </row>
    <row r="15" ht="14.25" customHeight="1">
      <c r="A15" s="65"/>
    </row>
    <row r="16" ht="14.25" customHeight="1">
      <c r="A16" s="65"/>
    </row>
    <row r="17" ht="14.25" customHeight="1">
      <c r="A17" s="65"/>
      <c r="D17" s="64" t="s">
        <v>270</v>
      </c>
    </row>
    <row r="18" ht="14.25" customHeight="1">
      <c r="A18" s="65"/>
    </row>
    <row r="19" ht="127.5" customHeight="1">
      <c r="A19" s="64"/>
    </row>
    <row r="20" ht="14.25" customHeight="1"/>
    <row r="21" ht="14.25" customHeight="1"/>
    <row r="22" ht="14.25" customHeight="1"/>
    <row r="23" ht="14.25" customHeight="1">
      <c r="A23" s="64"/>
    </row>
    <row r="24" ht="14.25" customHeight="1">
      <c r="A24" s="65"/>
    </row>
    <row r="25" ht="14.25" customHeight="1">
      <c r="A25" s="65"/>
    </row>
    <row r="26" ht="14.25" customHeight="1">
      <c r="A26" s="65"/>
    </row>
    <row r="27" ht="14.25" customHeight="1">
      <c r="A27" s="65"/>
    </row>
    <row r="28" ht="14.25" customHeight="1">
      <c r="A28" s="65"/>
    </row>
    <row r="29" ht="14.25" customHeight="1">
      <c r="A29" s="6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9.86"/>
    <col customWidth="1" min="2" max="17" width="5.43"/>
    <col customWidth="1" min="18" max="26" width="10.71"/>
  </cols>
  <sheetData>
    <row r="1" ht="14.25" customHeight="1">
      <c r="A1" s="66" t="s">
        <v>271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ht="14.25" customHeight="1">
      <c r="A2" s="67"/>
      <c r="B2" s="68" t="s">
        <v>272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ht="14.25" customHeight="1">
      <c r="A3" s="68" t="s">
        <v>35</v>
      </c>
      <c r="B3" s="69" t="s">
        <v>273</v>
      </c>
      <c r="C3" s="69" t="s">
        <v>274</v>
      </c>
      <c r="D3" s="69" t="s">
        <v>275</v>
      </c>
      <c r="E3" s="69" t="s">
        <v>276</v>
      </c>
      <c r="F3" s="69" t="s">
        <v>277</v>
      </c>
      <c r="G3" s="69" t="s">
        <v>278</v>
      </c>
      <c r="H3" s="69" t="s">
        <v>279</v>
      </c>
      <c r="I3" s="69" t="s">
        <v>280</v>
      </c>
      <c r="J3" s="69" t="s">
        <v>281</v>
      </c>
      <c r="K3" s="69" t="s">
        <v>282</v>
      </c>
      <c r="L3" s="69" t="s">
        <v>283</v>
      </c>
      <c r="M3" s="69" t="s">
        <v>284</v>
      </c>
      <c r="N3" s="69" t="s">
        <v>285</v>
      </c>
      <c r="O3" s="69" t="s">
        <v>286</v>
      </c>
      <c r="P3" s="69" t="s">
        <v>287</v>
      </c>
      <c r="Q3" s="69" t="s">
        <v>288</v>
      </c>
    </row>
    <row r="4" ht="14.25" customHeight="1">
      <c r="A4" s="67" t="str">
        <f>CONCATENATE('1, Aspectos generales'!A3,": ",'1, Aspectos generales'!B3)</f>
        <v>AG1: Objetivos del sitio web concretos y bien definidos</v>
      </c>
      <c r="B4" s="70" t="s">
        <v>289</v>
      </c>
      <c r="C4" s="70" t="s">
        <v>289</v>
      </c>
      <c r="D4" s="70" t="s">
        <v>290</v>
      </c>
      <c r="E4" s="70" t="s">
        <v>289</v>
      </c>
      <c r="F4" s="70" t="s">
        <v>291</v>
      </c>
      <c r="G4" s="70" t="s">
        <v>289</v>
      </c>
      <c r="H4" s="70" t="s">
        <v>291</v>
      </c>
      <c r="I4" s="70" t="s">
        <v>289</v>
      </c>
      <c r="J4" s="70" t="s">
        <v>289</v>
      </c>
      <c r="K4" s="70" t="s">
        <v>290</v>
      </c>
      <c r="L4" s="70" t="s">
        <v>291</v>
      </c>
      <c r="M4" s="70" t="s">
        <v>291</v>
      </c>
      <c r="N4" s="70" t="s">
        <v>289</v>
      </c>
      <c r="O4" s="70" t="s">
        <v>289</v>
      </c>
      <c r="P4" s="70" t="s">
        <v>289</v>
      </c>
      <c r="Q4" s="70" t="s">
        <v>291</v>
      </c>
    </row>
    <row r="5" ht="14.25" customHeight="1">
      <c r="A5" s="67" t="str">
        <f>CONCATENATE('1, Aspectos generales'!A4,": ",'1, Aspectos generales'!B4)</f>
        <v>AG2: Contenidos y servicios ofrecidos precisos y completos </v>
      </c>
      <c r="B5" s="70" t="s">
        <v>292</v>
      </c>
      <c r="C5" s="70" t="s">
        <v>292</v>
      </c>
      <c r="D5" s="70" t="s">
        <v>290</v>
      </c>
      <c r="E5" s="70" t="s">
        <v>292</v>
      </c>
      <c r="F5" s="70" t="s">
        <v>292</v>
      </c>
      <c r="G5" s="70" t="s">
        <v>289</v>
      </c>
      <c r="H5" s="70" t="s">
        <v>289</v>
      </c>
      <c r="I5" s="70" t="s">
        <v>292</v>
      </c>
      <c r="J5" s="70" t="s">
        <v>289</v>
      </c>
      <c r="K5" s="70" t="s">
        <v>290</v>
      </c>
      <c r="L5" s="70" t="s">
        <v>291</v>
      </c>
      <c r="M5" s="70" t="s">
        <v>291</v>
      </c>
      <c r="N5" s="70" t="s">
        <v>289</v>
      </c>
      <c r="O5" s="70" t="s">
        <v>289</v>
      </c>
      <c r="P5" s="70" t="s">
        <v>289</v>
      </c>
      <c r="Q5" s="70" t="s">
        <v>289</v>
      </c>
    </row>
    <row r="6" ht="14.25" customHeight="1">
      <c r="A6" s="67" t="str">
        <f>CONCATENATE('1, Aspectos generales'!A5,": ",'1, Aspectos generales'!B5)</f>
        <v>AG3: Estructura general del sitio web orientada al usuario </v>
      </c>
      <c r="B6" s="70" t="s">
        <v>289</v>
      </c>
      <c r="C6" s="70" t="s">
        <v>289</v>
      </c>
      <c r="D6" s="70" t="s">
        <v>291</v>
      </c>
      <c r="E6" s="70" t="s">
        <v>289</v>
      </c>
      <c r="F6" s="70" t="s">
        <v>289</v>
      </c>
      <c r="G6" s="70" t="s">
        <v>289</v>
      </c>
      <c r="H6" s="70" t="s">
        <v>289</v>
      </c>
      <c r="I6" s="70" t="s">
        <v>289</v>
      </c>
      <c r="J6" s="70" t="s">
        <v>289</v>
      </c>
      <c r="K6" s="70" t="s">
        <v>289</v>
      </c>
      <c r="L6" s="70" t="s">
        <v>291</v>
      </c>
      <c r="M6" s="70" t="s">
        <v>291</v>
      </c>
      <c r="N6" s="70" t="s">
        <v>289</v>
      </c>
      <c r="O6" s="70" t="s">
        <v>291</v>
      </c>
      <c r="P6" s="70" t="s">
        <v>289</v>
      </c>
      <c r="Q6" s="70" t="s">
        <v>289</v>
      </c>
    </row>
    <row r="7" ht="14.25" customHeight="1">
      <c r="A7" s="67" t="str">
        <f>CONCATENATE('1, Aspectos generales'!A6,": ",'1, Aspectos generales'!B6)</f>
        <v>AG4: Look &amp; Feel general se corresponde con los objetivos, características, contenidos y servicios del sitio web</v>
      </c>
      <c r="B7" s="70" t="s">
        <v>289</v>
      </c>
      <c r="C7" s="70" t="s">
        <v>289</v>
      </c>
      <c r="D7" s="70" t="s">
        <v>290</v>
      </c>
      <c r="E7" s="70" t="s">
        <v>291</v>
      </c>
      <c r="F7" s="70" t="s">
        <v>289</v>
      </c>
      <c r="G7" s="70" t="s">
        <v>291</v>
      </c>
      <c r="H7" s="70" t="s">
        <v>290</v>
      </c>
      <c r="I7" s="70" t="s">
        <v>291</v>
      </c>
      <c r="J7" s="70" t="s">
        <v>291</v>
      </c>
      <c r="K7" s="70" t="s">
        <v>291</v>
      </c>
      <c r="L7" s="70" t="s">
        <v>291</v>
      </c>
      <c r="M7" s="70" t="s">
        <v>291</v>
      </c>
      <c r="N7" s="70" t="s">
        <v>291</v>
      </c>
      <c r="O7" s="70" t="s">
        <v>291</v>
      </c>
      <c r="P7" s="70" t="s">
        <v>291</v>
      </c>
      <c r="Q7" s="70" t="s">
        <v>289</v>
      </c>
    </row>
    <row r="8" ht="14.25" customHeight="1">
      <c r="A8" s="67" t="str">
        <f>CONCATENATE('1, Aspectos generales'!A7,": ",'1, Aspectos generales'!B7)</f>
        <v>AG5: Diseño general del sitio web reconocible </v>
      </c>
      <c r="B8" s="70" t="s">
        <v>289</v>
      </c>
      <c r="C8" s="70" t="s">
        <v>289</v>
      </c>
      <c r="D8" s="70" t="s">
        <v>291</v>
      </c>
      <c r="E8" s="70" t="s">
        <v>289</v>
      </c>
      <c r="F8" s="70" t="s">
        <v>291</v>
      </c>
      <c r="G8" s="70" t="s">
        <v>291</v>
      </c>
      <c r="H8" s="70" t="s">
        <v>291</v>
      </c>
      <c r="I8" s="70" t="s">
        <v>291</v>
      </c>
      <c r="J8" s="70" t="s">
        <v>291</v>
      </c>
      <c r="K8" s="70" t="s">
        <v>291</v>
      </c>
      <c r="L8" s="70" t="s">
        <v>291</v>
      </c>
      <c r="M8" s="70" t="s">
        <v>291</v>
      </c>
      <c r="N8" s="70" t="s">
        <v>289</v>
      </c>
      <c r="O8" s="70" t="s">
        <v>290</v>
      </c>
      <c r="P8" s="70" t="s">
        <v>291</v>
      </c>
      <c r="Q8" s="70" t="s">
        <v>289</v>
      </c>
    </row>
    <row r="9" ht="14.25" customHeight="1">
      <c r="A9" s="67" t="str">
        <f>CONCATENATE('1, Aspectos generales'!A8,": ",'1, Aspectos generales'!B8)</f>
        <v>AG6: Diseño general del sitio web coherente</v>
      </c>
      <c r="B9" s="70" t="s">
        <v>292</v>
      </c>
      <c r="C9" s="70" t="s">
        <v>289</v>
      </c>
      <c r="D9" s="70" t="s">
        <v>291</v>
      </c>
      <c r="E9" s="70" t="s">
        <v>289</v>
      </c>
      <c r="F9" s="70" t="s">
        <v>289</v>
      </c>
      <c r="G9" s="70" t="s">
        <v>291</v>
      </c>
      <c r="H9" s="70" t="s">
        <v>291</v>
      </c>
      <c r="I9" s="70" t="s">
        <v>289</v>
      </c>
      <c r="J9" s="70" t="s">
        <v>291</v>
      </c>
      <c r="K9" s="70" t="s">
        <v>291</v>
      </c>
      <c r="L9" s="70" t="s">
        <v>291</v>
      </c>
      <c r="M9" s="70" t="s">
        <v>291</v>
      </c>
      <c r="N9" s="70" t="s">
        <v>289</v>
      </c>
      <c r="O9" s="70" t="s">
        <v>289</v>
      </c>
      <c r="P9" s="70" t="s">
        <v>291</v>
      </c>
      <c r="Q9" s="70" t="s">
        <v>289</v>
      </c>
    </row>
    <row r="10" ht="14.25" customHeight="1">
      <c r="A10" s="67" t="str">
        <f>CONCATENATE('1, Aspectos generales'!A9,": ",'1, Aspectos generales'!B9)</f>
        <v>AG7: Se utiliza el idioma del usuario</v>
      </c>
      <c r="B10" s="70" t="s">
        <v>289</v>
      </c>
      <c r="C10" s="70" t="s">
        <v>289</v>
      </c>
      <c r="D10" s="70" t="s">
        <v>289</v>
      </c>
      <c r="E10" s="70" t="s">
        <v>289</v>
      </c>
      <c r="F10" s="70" t="s">
        <v>289</v>
      </c>
      <c r="G10" s="70" t="s">
        <v>289</v>
      </c>
      <c r="H10" s="70" t="s">
        <v>290</v>
      </c>
      <c r="I10" s="70" t="s">
        <v>289</v>
      </c>
      <c r="J10" s="70" t="s">
        <v>289</v>
      </c>
      <c r="K10" s="70" t="s">
        <v>289</v>
      </c>
      <c r="L10" s="70" t="s">
        <v>291</v>
      </c>
      <c r="M10" s="70" t="s">
        <v>290</v>
      </c>
      <c r="N10" s="70" t="s">
        <v>289</v>
      </c>
      <c r="O10" s="70" t="s">
        <v>291</v>
      </c>
      <c r="P10" s="70" t="s">
        <v>291</v>
      </c>
      <c r="Q10" s="70" t="s">
        <v>291</v>
      </c>
    </row>
    <row r="11" ht="14.25" customHeight="1">
      <c r="A11" s="67" t="str">
        <f>CONCATENATE('1, Aspectos generales'!A10,": ",'1, Aspectos generales'!B10)</f>
        <v>AG8: Se da soporte a otro/s idioma/s </v>
      </c>
      <c r="B11" s="70" t="s">
        <v>289</v>
      </c>
      <c r="C11" s="70" t="s">
        <v>289</v>
      </c>
      <c r="D11" s="70" t="s">
        <v>290</v>
      </c>
      <c r="E11" s="70" t="s">
        <v>289</v>
      </c>
      <c r="F11" s="70" t="s">
        <v>289</v>
      </c>
      <c r="G11" s="70" t="s">
        <v>289</v>
      </c>
      <c r="H11" s="70" t="s">
        <v>290</v>
      </c>
      <c r="I11" s="70" t="s">
        <v>291</v>
      </c>
      <c r="J11" s="70" t="s">
        <v>290</v>
      </c>
      <c r="K11" s="70" t="s">
        <v>290</v>
      </c>
      <c r="L11" s="70" t="s">
        <v>290</v>
      </c>
      <c r="M11" s="70" t="s">
        <v>290</v>
      </c>
      <c r="N11" s="70" t="s">
        <v>291</v>
      </c>
      <c r="O11" s="70" t="s">
        <v>290</v>
      </c>
      <c r="P11" s="70" t="s">
        <v>291</v>
      </c>
      <c r="Q11" s="70" t="s">
        <v>291</v>
      </c>
    </row>
    <row r="12" ht="14.25" customHeight="1">
      <c r="A12" s="67" t="str">
        <f>CONCATENATE('1, Aspectos generales'!A11,": ",'1, Aspectos generales'!B11)</f>
        <v>AG9: Traducción del sitio completa y correcta </v>
      </c>
      <c r="B12" s="70" t="s">
        <v>289</v>
      </c>
      <c r="C12" s="70" t="s">
        <v>289</v>
      </c>
      <c r="D12" s="70" t="s">
        <v>291</v>
      </c>
      <c r="E12" s="70" t="s">
        <v>289</v>
      </c>
      <c r="F12" s="70" t="s">
        <v>289</v>
      </c>
      <c r="G12" s="70" t="s">
        <v>291</v>
      </c>
      <c r="H12" s="70" t="s">
        <v>290</v>
      </c>
      <c r="I12" s="70" t="s">
        <v>291</v>
      </c>
      <c r="J12" s="70" t="s">
        <v>291</v>
      </c>
      <c r="K12" s="70" t="s">
        <v>291</v>
      </c>
      <c r="L12" s="70" t="s">
        <v>290</v>
      </c>
      <c r="M12" s="70" t="s">
        <v>291</v>
      </c>
      <c r="N12" s="70" t="s">
        <v>291</v>
      </c>
      <c r="O12" s="70" t="s">
        <v>290</v>
      </c>
      <c r="P12" s="70" t="s">
        <v>291</v>
      </c>
      <c r="Q12" s="70" t="s">
        <v>291</v>
      </c>
    </row>
    <row r="13" ht="14.25" customHeight="1">
      <c r="A13" s="67" t="str">
        <f>CONCATENATE('1, Aspectos generales'!A12,": ",'1, Aspectos generales'!B12)</f>
        <v>AG10: Sitio web actualizado periódicamente</v>
      </c>
      <c r="B13" s="70" t="s">
        <v>289</v>
      </c>
      <c r="C13" s="70" t="s">
        <v>291</v>
      </c>
      <c r="D13" s="70" t="s">
        <v>292</v>
      </c>
      <c r="E13" s="70" t="s">
        <v>289</v>
      </c>
      <c r="F13" s="70" t="s">
        <v>292</v>
      </c>
      <c r="G13" s="70" t="s">
        <v>291</v>
      </c>
      <c r="H13" s="70" t="s">
        <v>289</v>
      </c>
      <c r="I13" s="70" t="s">
        <v>291</v>
      </c>
      <c r="J13" s="70" t="s">
        <v>289</v>
      </c>
      <c r="K13" s="70" t="s">
        <v>289</v>
      </c>
      <c r="L13" s="70" t="s">
        <v>289</v>
      </c>
      <c r="M13" s="70" t="s">
        <v>291</v>
      </c>
      <c r="N13" s="70" t="s">
        <v>289</v>
      </c>
      <c r="O13" s="70" t="s">
        <v>289</v>
      </c>
      <c r="P13" s="70" t="s">
        <v>289</v>
      </c>
      <c r="Q13" s="70" t="s">
        <v>292</v>
      </c>
    </row>
    <row r="14" ht="14.2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ht="14.25" customHeight="1">
      <c r="A15" s="66" t="s">
        <v>293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  <row r="16" ht="14.25" customHeight="1">
      <c r="A16" s="67"/>
      <c r="B16" s="68" t="s">
        <v>272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</row>
    <row r="17" ht="14.25" customHeight="1">
      <c r="A17" s="68" t="s">
        <v>35</v>
      </c>
      <c r="B17" s="69" t="str">
        <f t="shared" ref="B17:Q17" si="1">B$3</f>
        <v>Administración Pública / Institucional</v>
      </c>
      <c r="C17" s="69" t="str">
        <f t="shared" si="1"/>
        <v>Banca electrónica</v>
      </c>
      <c r="D17" s="69" t="str">
        <f t="shared" si="1"/>
        <v>Blog</v>
      </c>
      <c r="E17" s="69" t="str">
        <f t="shared" si="1"/>
        <v>Comercio electrónico</v>
      </c>
      <c r="F17" s="69" t="str">
        <f t="shared" si="1"/>
        <v>Comunicación / Noticias</v>
      </c>
      <c r="G17" s="69" t="str">
        <f t="shared" si="1"/>
        <v>Corporativo / Empresa</v>
      </c>
      <c r="H17" s="69" t="str">
        <f t="shared" si="1"/>
        <v>Descargas</v>
      </c>
      <c r="I17" s="69" t="str">
        <f t="shared" si="1"/>
        <v>Educativo / Formativo</v>
      </c>
      <c r="J17" s="69" t="str">
        <f t="shared" si="1"/>
        <v>Entornos colaborativos / Wikis</v>
      </c>
      <c r="K17" s="69" t="str">
        <f t="shared" si="1"/>
        <v>Foros / Chat</v>
      </c>
      <c r="L17" s="69" t="str">
        <f t="shared" si="1"/>
        <v>Ocio / Entretenimiento</v>
      </c>
      <c r="M17" s="69" t="str">
        <f t="shared" si="1"/>
        <v>Personal</v>
      </c>
      <c r="N17" s="69" t="str">
        <f t="shared" si="1"/>
        <v>Portal de Servicios</v>
      </c>
      <c r="O17" s="69" t="str">
        <f t="shared" si="1"/>
        <v>Servicios interactivos basados en imágenes</v>
      </c>
      <c r="P17" s="69" t="str">
        <f t="shared" si="1"/>
        <v>Servicios interactivos no basados en imágenes</v>
      </c>
      <c r="Q17" s="69" t="str">
        <f t="shared" si="1"/>
        <v>Webmail / Correo</v>
      </c>
    </row>
    <row r="18" ht="14.25" customHeight="1">
      <c r="A18" s="71" t="str">
        <f>CONCATENATE('2, Identidad e Información'!A3,": ",'2, Identidad e Información'!B3)</f>
        <v>II.1: Identidad o logotipo significativo, identificable y suficientemente visible</v>
      </c>
      <c r="B18" s="70" t="s">
        <v>289</v>
      </c>
      <c r="C18" s="70" t="s">
        <v>291</v>
      </c>
      <c r="D18" s="70" t="s">
        <v>290</v>
      </c>
      <c r="E18" s="70" t="s">
        <v>291</v>
      </c>
      <c r="F18" s="70" t="s">
        <v>291</v>
      </c>
      <c r="G18" s="70" t="s">
        <v>291</v>
      </c>
      <c r="H18" s="70" t="s">
        <v>291</v>
      </c>
      <c r="I18" s="70" t="s">
        <v>290</v>
      </c>
      <c r="J18" s="70" t="s">
        <v>290</v>
      </c>
      <c r="K18" s="70" t="s">
        <v>290</v>
      </c>
      <c r="L18" s="70" t="s">
        <v>290</v>
      </c>
      <c r="M18" s="70" t="s">
        <v>290</v>
      </c>
      <c r="N18" s="70" t="s">
        <v>291</v>
      </c>
      <c r="O18" s="70" t="s">
        <v>290</v>
      </c>
      <c r="P18" s="70" t="s">
        <v>290</v>
      </c>
      <c r="Q18" s="70" t="s">
        <v>291</v>
      </c>
    </row>
    <row r="19" ht="14.25" customHeight="1">
      <c r="A19" s="71" t="str">
        <f>CONCATENATE('2, Identidad e Información'!A4,": ",'2, Identidad e Información'!B4)</f>
        <v>II.2: Identidad del sitio en todas las páginas</v>
      </c>
      <c r="B19" s="70" t="s">
        <v>289</v>
      </c>
      <c r="C19" s="70" t="s">
        <v>289</v>
      </c>
      <c r="D19" s="70" t="s">
        <v>291</v>
      </c>
      <c r="E19" s="70" t="s">
        <v>289</v>
      </c>
      <c r="F19" s="70" t="s">
        <v>291</v>
      </c>
      <c r="G19" s="70" t="s">
        <v>289</v>
      </c>
      <c r="H19" s="70" t="s">
        <v>290</v>
      </c>
      <c r="I19" s="70" t="s">
        <v>291</v>
      </c>
      <c r="J19" s="70" t="s">
        <v>291</v>
      </c>
      <c r="K19" s="70" t="s">
        <v>291</v>
      </c>
      <c r="L19" s="70" t="s">
        <v>290</v>
      </c>
      <c r="M19" s="70" t="s">
        <v>290</v>
      </c>
      <c r="N19" s="70" t="s">
        <v>291</v>
      </c>
      <c r="O19" s="70" t="s">
        <v>291</v>
      </c>
      <c r="P19" s="70" t="s">
        <v>291</v>
      </c>
      <c r="Q19" s="70" t="s">
        <v>291</v>
      </c>
    </row>
    <row r="20" ht="14.25" customHeight="1">
      <c r="A20" s="71" t="str">
        <f>CONCATENATE('2, Identidad e Información'!A5,": ",'2, Identidad e Información'!B5)</f>
        <v>II.3: Eslogan o tagline adecuado al objetivo del sitio</v>
      </c>
      <c r="B20" s="70" t="s">
        <v>291</v>
      </c>
      <c r="C20" s="70" t="s">
        <v>291</v>
      </c>
      <c r="D20" s="70" t="s">
        <v>290</v>
      </c>
      <c r="E20" s="70" t="s">
        <v>291</v>
      </c>
      <c r="F20" s="70" t="s">
        <v>290</v>
      </c>
      <c r="G20" s="70" t="s">
        <v>291</v>
      </c>
      <c r="H20" s="70" t="s">
        <v>290</v>
      </c>
      <c r="I20" s="70" t="s">
        <v>291</v>
      </c>
      <c r="J20" s="70" t="s">
        <v>290</v>
      </c>
      <c r="K20" s="70" t="s">
        <v>290</v>
      </c>
      <c r="L20" s="70" t="s">
        <v>290</v>
      </c>
      <c r="M20" s="70" t="s">
        <v>291</v>
      </c>
      <c r="N20" s="70" t="s">
        <v>291</v>
      </c>
      <c r="O20" s="70" t="s">
        <v>290</v>
      </c>
      <c r="P20" s="70" t="s">
        <v>291</v>
      </c>
      <c r="Q20" s="70" t="s">
        <v>290</v>
      </c>
    </row>
    <row r="21" ht="14.25" customHeight="1">
      <c r="A21" s="71" t="str">
        <f>CONCATENATE('2, Identidad e Información'!A6,": ",'2, Identidad e Información'!B6)</f>
        <v>II.4: Se ofrece información sobre el sitio web, empresa</v>
      </c>
      <c r="B21" s="70" t="s">
        <v>289</v>
      </c>
      <c r="C21" s="70" t="s">
        <v>289</v>
      </c>
      <c r="D21" s="70" t="s">
        <v>291</v>
      </c>
      <c r="E21" s="70" t="s">
        <v>291</v>
      </c>
      <c r="F21" s="70" t="s">
        <v>291</v>
      </c>
      <c r="G21" s="70" t="s">
        <v>291</v>
      </c>
      <c r="H21" s="70" t="s">
        <v>291</v>
      </c>
      <c r="I21" s="70" t="s">
        <v>291</v>
      </c>
      <c r="J21" s="70" t="s">
        <v>291</v>
      </c>
      <c r="K21" s="70" t="s">
        <v>291</v>
      </c>
      <c r="L21" s="70" t="s">
        <v>291</v>
      </c>
      <c r="M21" s="70" t="s">
        <v>290</v>
      </c>
      <c r="N21" s="70" t="s">
        <v>291</v>
      </c>
      <c r="O21" s="70" t="s">
        <v>290</v>
      </c>
      <c r="P21" s="70" t="s">
        <v>291</v>
      </c>
      <c r="Q21" s="70" t="s">
        <v>291</v>
      </c>
    </row>
    <row r="22" ht="14.25" customHeight="1">
      <c r="A22" s="71" t="str">
        <f>CONCATENATE('2, Identidad e Información'!A7,": ",'2, Identidad e Información'!B7)</f>
        <v>II.5: Existen mecanismos de contacto</v>
      </c>
      <c r="B22" s="70" t="s">
        <v>289</v>
      </c>
      <c r="C22" s="70" t="s">
        <v>289</v>
      </c>
      <c r="D22" s="70" t="s">
        <v>291</v>
      </c>
      <c r="E22" s="70" t="s">
        <v>289</v>
      </c>
      <c r="F22" s="70" t="s">
        <v>291</v>
      </c>
      <c r="G22" s="70" t="s">
        <v>289</v>
      </c>
      <c r="H22" s="70" t="s">
        <v>290</v>
      </c>
      <c r="I22" s="70" t="s">
        <v>291</v>
      </c>
      <c r="J22" s="70" t="s">
        <v>291</v>
      </c>
      <c r="K22" s="70" t="s">
        <v>291</v>
      </c>
      <c r="L22" s="70" t="s">
        <v>290</v>
      </c>
      <c r="M22" s="70" t="s">
        <v>291</v>
      </c>
      <c r="N22" s="70" t="s">
        <v>291</v>
      </c>
      <c r="O22" s="70" t="s">
        <v>291</v>
      </c>
      <c r="P22" s="70" t="s">
        <v>291</v>
      </c>
      <c r="Q22" s="70" t="s">
        <v>290</v>
      </c>
    </row>
    <row r="23" ht="14.25" customHeight="1">
      <c r="A23" s="71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70" t="s">
        <v>289</v>
      </c>
      <c r="C23" s="70" t="s">
        <v>289</v>
      </c>
      <c r="D23" s="70" t="s">
        <v>291</v>
      </c>
      <c r="E23" s="70" t="s">
        <v>289</v>
      </c>
      <c r="F23" s="70" t="s">
        <v>291</v>
      </c>
      <c r="G23" s="70" t="s">
        <v>291</v>
      </c>
      <c r="H23" s="70" t="s">
        <v>290</v>
      </c>
      <c r="I23" s="70" t="s">
        <v>291</v>
      </c>
      <c r="J23" s="70" t="s">
        <v>291</v>
      </c>
      <c r="K23" s="70" t="s">
        <v>291</v>
      </c>
      <c r="L23" s="70" t="s">
        <v>290</v>
      </c>
      <c r="M23" s="70" t="s">
        <v>290</v>
      </c>
      <c r="N23" s="70" t="s">
        <v>290</v>
      </c>
      <c r="O23" s="70" t="s">
        <v>290</v>
      </c>
      <c r="P23" s="70" t="s">
        <v>291</v>
      </c>
      <c r="Q23" s="70" t="s">
        <v>291</v>
      </c>
    </row>
    <row r="24" ht="14.25" customHeight="1">
      <c r="A24" s="71" t="str">
        <f>CONCATENATE('2, Identidad e Información'!A9,": ",'2, Identidad e Información'!B9)</f>
        <v>II.7: Se ofrece información sobre el autor, fuentes y fechas de creación y revisión
en artículos, noticias, informes</v>
      </c>
      <c r="B24" s="70" t="s">
        <v>291</v>
      </c>
      <c r="C24" s="70" t="s">
        <v>291</v>
      </c>
      <c r="D24" s="70" t="s">
        <v>291</v>
      </c>
      <c r="E24" s="70" t="s">
        <v>291</v>
      </c>
      <c r="F24" s="70" t="s">
        <v>289</v>
      </c>
      <c r="G24" s="70" t="s">
        <v>291</v>
      </c>
      <c r="H24" s="70" t="s">
        <v>290</v>
      </c>
      <c r="I24" s="70" t="s">
        <v>289</v>
      </c>
      <c r="J24" s="70" t="s">
        <v>289</v>
      </c>
      <c r="K24" s="70" t="s">
        <v>290</v>
      </c>
      <c r="L24" s="70" t="s">
        <v>291</v>
      </c>
      <c r="M24" s="70" t="s">
        <v>291</v>
      </c>
      <c r="N24" s="70" t="s">
        <v>291</v>
      </c>
      <c r="O24" s="70" t="s">
        <v>290</v>
      </c>
      <c r="P24" s="70" t="s">
        <v>291</v>
      </c>
      <c r="Q24" s="70" t="s">
        <v>291</v>
      </c>
    </row>
    <row r="25" ht="14.2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</row>
    <row r="26" ht="14.25" customHeight="1">
      <c r="A26" s="66" t="s">
        <v>294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  <row r="27" ht="14.25" customHeight="1">
      <c r="A27" s="67"/>
      <c r="B27" s="68" t="s">
        <v>272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</row>
    <row r="28" ht="14.25" customHeight="1">
      <c r="A28" s="68" t="s">
        <v>35</v>
      </c>
      <c r="B28" s="69" t="str">
        <f t="shared" ref="B28:Q28" si="2">B$3</f>
        <v>Administración Pública / Institucional</v>
      </c>
      <c r="C28" s="69" t="str">
        <f t="shared" si="2"/>
        <v>Banca electrónica</v>
      </c>
      <c r="D28" s="69" t="str">
        <f t="shared" si="2"/>
        <v>Blog</v>
      </c>
      <c r="E28" s="69" t="str">
        <f t="shared" si="2"/>
        <v>Comercio electrónico</v>
      </c>
      <c r="F28" s="69" t="str">
        <f t="shared" si="2"/>
        <v>Comunicación / Noticias</v>
      </c>
      <c r="G28" s="69" t="str">
        <f t="shared" si="2"/>
        <v>Corporativo / Empresa</v>
      </c>
      <c r="H28" s="69" t="str">
        <f t="shared" si="2"/>
        <v>Descargas</v>
      </c>
      <c r="I28" s="69" t="str">
        <f t="shared" si="2"/>
        <v>Educativo / Formativo</v>
      </c>
      <c r="J28" s="69" t="str">
        <f t="shared" si="2"/>
        <v>Entornos colaborativos / Wikis</v>
      </c>
      <c r="K28" s="69" t="str">
        <f t="shared" si="2"/>
        <v>Foros / Chat</v>
      </c>
      <c r="L28" s="69" t="str">
        <f t="shared" si="2"/>
        <v>Ocio / Entretenimiento</v>
      </c>
      <c r="M28" s="69" t="str">
        <f t="shared" si="2"/>
        <v>Personal</v>
      </c>
      <c r="N28" s="69" t="str">
        <f t="shared" si="2"/>
        <v>Portal de Servicios</v>
      </c>
      <c r="O28" s="69" t="str">
        <f t="shared" si="2"/>
        <v>Servicios interactivos basados en imágenes</v>
      </c>
      <c r="P28" s="69" t="str">
        <f t="shared" si="2"/>
        <v>Servicios interactivos no basados en imágenes</v>
      </c>
      <c r="Q28" s="69" t="str">
        <f t="shared" si="2"/>
        <v>Webmail / Correo</v>
      </c>
    </row>
    <row r="29" ht="14.25" customHeight="1">
      <c r="A29" s="71" t="str">
        <f>CONCATENATE('3, Estructura y navegación'!A3,": ",'3, Estructura y navegación'!B3)</f>
        <v>EN.1: Se ha evitado pantalla de bienvenida</v>
      </c>
      <c r="B29" s="70" t="s">
        <v>290</v>
      </c>
      <c r="C29" s="70" t="s">
        <v>290</v>
      </c>
      <c r="D29" s="70" t="s">
        <v>290</v>
      </c>
      <c r="E29" s="70" t="s">
        <v>290</v>
      </c>
      <c r="F29" s="70" t="s">
        <v>290</v>
      </c>
      <c r="G29" s="70" t="s">
        <v>290</v>
      </c>
      <c r="H29" s="70" t="s">
        <v>290</v>
      </c>
      <c r="I29" s="70" t="s">
        <v>290</v>
      </c>
      <c r="J29" s="70" t="s">
        <v>290</v>
      </c>
      <c r="K29" s="70" t="s">
        <v>290</v>
      </c>
      <c r="L29" s="70" t="s">
        <v>290</v>
      </c>
      <c r="M29" s="70" t="s">
        <v>290</v>
      </c>
      <c r="N29" s="70" t="s">
        <v>290</v>
      </c>
      <c r="O29" s="70" t="s">
        <v>290</v>
      </c>
      <c r="P29" s="70" t="s">
        <v>290</v>
      </c>
      <c r="Q29" s="70" t="s">
        <v>290</v>
      </c>
    </row>
    <row r="30" ht="14.25" customHeight="1">
      <c r="A30" s="71" t="str">
        <f>CONCATENATE('3, Estructura y navegación'!A4,": ",'3, Estructura y navegación'!B4)</f>
        <v>EN.2: Estructura de organización y navegación adecuada</v>
      </c>
      <c r="B30" s="70" t="s">
        <v>289</v>
      </c>
      <c r="C30" s="70" t="s">
        <v>291</v>
      </c>
      <c r="D30" s="70" t="s">
        <v>289</v>
      </c>
      <c r="E30" s="70" t="s">
        <v>289</v>
      </c>
      <c r="F30" s="70" t="s">
        <v>291</v>
      </c>
      <c r="G30" s="70" t="s">
        <v>289</v>
      </c>
      <c r="H30" s="70" t="s">
        <v>291</v>
      </c>
      <c r="I30" s="70" t="s">
        <v>289</v>
      </c>
      <c r="J30" s="70" t="s">
        <v>291</v>
      </c>
      <c r="K30" s="70" t="s">
        <v>291</v>
      </c>
      <c r="L30" s="70" t="s">
        <v>290</v>
      </c>
      <c r="M30" s="70" t="s">
        <v>291</v>
      </c>
      <c r="N30" s="70" t="s">
        <v>289</v>
      </c>
      <c r="O30" s="70" t="s">
        <v>291</v>
      </c>
      <c r="P30" s="70" t="s">
        <v>289</v>
      </c>
      <c r="Q30" s="70" t="s">
        <v>289</v>
      </c>
    </row>
    <row r="31" ht="14.25" customHeight="1">
      <c r="A31" s="71" t="str">
        <f>CONCATENATE('3, Estructura y navegación'!A5,": ",'3, Estructura y navegación'!B5)</f>
        <v>EN.3: Organización de elementos consistente con las convenciones</v>
      </c>
      <c r="B31" s="70" t="s">
        <v>289</v>
      </c>
      <c r="C31" s="70" t="s">
        <v>290</v>
      </c>
      <c r="D31" s="70" t="s">
        <v>289</v>
      </c>
      <c r="E31" s="70" t="s">
        <v>289</v>
      </c>
      <c r="F31" s="70" t="s">
        <v>291</v>
      </c>
      <c r="G31" s="70" t="s">
        <v>291</v>
      </c>
      <c r="H31" s="70" t="s">
        <v>290</v>
      </c>
      <c r="I31" s="70" t="s">
        <v>291</v>
      </c>
      <c r="J31" s="70" t="s">
        <v>291</v>
      </c>
      <c r="K31" s="70" t="s">
        <v>291</v>
      </c>
      <c r="L31" s="70" t="s">
        <v>291</v>
      </c>
      <c r="M31" s="70" t="s">
        <v>290</v>
      </c>
      <c r="N31" s="70" t="s">
        <v>291</v>
      </c>
      <c r="O31" s="70" t="s">
        <v>289</v>
      </c>
      <c r="P31" s="70" t="s">
        <v>289</v>
      </c>
      <c r="Q31" s="70" t="s">
        <v>291</v>
      </c>
    </row>
    <row r="32" ht="14.25" customHeight="1">
      <c r="A32" s="71" t="str">
        <f>CONCATENATE('3, Estructura y navegación'!A6,": ",'3, Estructura y navegación'!B6)</f>
        <v>EN.4: Control del número de elementos y de términos por elemento en los menús de navegación</v>
      </c>
      <c r="B32" s="70" t="s">
        <v>289</v>
      </c>
      <c r="C32" s="70" t="s">
        <v>290</v>
      </c>
      <c r="D32" s="70" t="s">
        <v>289</v>
      </c>
      <c r="E32" s="70" t="s">
        <v>289</v>
      </c>
      <c r="F32" s="70" t="s">
        <v>291</v>
      </c>
      <c r="G32" s="70" t="s">
        <v>291</v>
      </c>
      <c r="H32" s="70" t="s">
        <v>291</v>
      </c>
      <c r="I32" s="70" t="s">
        <v>289</v>
      </c>
      <c r="J32" s="70" t="s">
        <v>289</v>
      </c>
      <c r="K32" s="70" t="s">
        <v>291</v>
      </c>
      <c r="L32" s="70" t="s">
        <v>291</v>
      </c>
      <c r="M32" s="70" t="s">
        <v>291</v>
      </c>
      <c r="N32" s="70" t="s">
        <v>289</v>
      </c>
      <c r="O32" s="70" t="s">
        <v>291</v>
      </c>
      <c r="P32" s="70" t="s">
        <v>291</v>
      </c>
      <c r="Q32" s="70" t="s">
        <v>291</v>
      </c>
    </row>
    <row r="33" ht="14.25" customHeight="1">
      <c r="A33" s="71" t="str">
        <f>CONCATENATE('3, Estructura y navegación'!A7,": ",'3, Estructura y navegación'!B7)</f>
        <v>EN.5: Equilibrio entre profundidad y anchura en el caso de estructura jerárquica</v>
      </c>
      <c r="B33" s="70" t="s">
        <v>289</v>
      </c>
      <c r="C33" s="70" t="s">
        <v>290</v>
      </c>
      <c r="D33" s="70" t="s">
        <v>289</v>
      </c>
      <c r="E33" s="70" t="s">
        <v>289</v>
      </c>
      <c r="F33" s="70" t="s">
        <v>291</v>
      </c>
      <c r="G33" s="70" t="s">
        <v>291</v>
      </c>
      <c r="H33" s="70" t="s">
        <v>291</v>
      </c>
      <c r="I33" s="70" t="s">
        <v>289</v>
      </c>
      <c r="J33" s="70" t="s">
        <v>291</v>
      </c>
      <c r="K33" s="70" t="s">
        <v>291</v>
      </c>
      <c r="L33" s="70" t="s">
        <v>290</v>
      </c>
      <c r="M33" s="70" t="s">
        <v>290</v>
      </c>
      <c r="N33" s="70" t="s">
        <v>289</v>
      </c>
      <c r="O33" s="70" t="s">
        <v>290</v>
      </c>
      <c r="P33" s="70" t="s">
        <v>291</v>
      </c>
      <c r="Q33" s="70" t="s">
        <v>291</v>
      </c>
    </row>
    <row r="34" ht="14.25" customHeight="1">
      <c r="A34" s="71" t="str">
        <f>CONCATENATE('3, Estructura y navegación'!A8,": ",'3, Estructura y navegación'!B8)</f>
        <v>EN.6: Enlaces fácilmente reconocibles como tales</v>
      </c>
      <c r="B34" s="70" t="s">
        <v>289</v>
      </c>
      <c r="C34" s="70" t="s">
        <v>289</v>
      </c>
      <c r="D34" s="70" t="s">
        <v>289</v>
      </c>
      <c r="E34" s="70" t="s">
        <v>289</v>
      </c>
      <c r="F34" s="70" t="s">
        <v>289</v>
      </c>
      <c r="G34" s="70" t="s">
        <v>289</v>
      </c>
      <c r="H34" s="70" t="s">
        <v>289</v>
      </c>
      <c r="I34" s="70" t="s">
        <v>289</v>
      </c>
      <c r="J34" s="70" t="s">
        <v>289</v>
      </c>
      <c r="K34" s="70" t="s">
        <v>291</v>
      </c>
      <c r="L34" s="70" t="s">
        <v>291</v>
      </c>
      <c r="M34" s="70" t="s">
        <v>291</v>
      </c>
      <c r="N34" s="70" t="s">
        <v>289</v>
      </c>
      <c r="O34" s="70" t="s">
        <v>289</v>
      </c>
      <c r="P34" s="70" t="s">
        <v>289</v>
      </c>
      <c r="Q34" s="70" t="s">
        <v>289</v>
      </c>
    </row>
    <row r="35" ht="14.25" customHeight="1">
      <c r="A35" s="71" t="str">
        <f>CONCATENATE('3, Estructura y navegación'!A9,": ",'3, Estructura y navegación'!B9)</f>
        <v>EN.7: La caracterización de los enlaces indica su estado (visitados, activos)</v>
      </c>
      <c r="B35" s="70" t="s">
        <v>289</v>
      </c>
      <c r="C35" s="70" t="s">
        <v>291</v>
      </c>
      <c r="D35" s="70" t="s">
        <v>289</v>
      </c>
      <c r="E35" s="70" t="s">
        <v>289</v>
      </c>
      <c r="F35" s="70" t="s">
        <v>289</v>
      </c>
      <c r="G35" s="70" t="s">
        <v>291</v>
      </c>
      <c r="H35" s="70" t="s">
        <v>291</v>
      </c>
      <c r="I35" s="70" t="s">
        <v>289</v>
      </c>
      <c r="J35" s="70" t="s">
        <v>291</v>
      </c>
      <c r="K35" s="70" t="s">
        <v>291</v>
      </c>
      <c r="L35" s="70" t="s">
        <v>291</v>
      </c>
      <c r="M35" s="70" t="s">
        <v>291</v>
      </c>
      <c r="N35" s="70" t="s">
        <v>289</v>
      </c>
      <c r="O35" s="70" t="s">
        <v>289</v>
      </c>
      <c r="P35" s="70" t="s">
        <v>289</v>
      </c>
      <c r="Q35" s="70" t="s">
        <v>291</v>
      </c>
    </row>
    <row r="36" ht="14.25" customHeight="1">
      <c r="A36" s="71" t="str">
        <f>CONCATENATE('3, Estructura y navegación'!A10,": ",'3, Estructura y navegación'!B10)</f>
        <v>EN.8: No hay redundancia de enlaces</v>
      </c>
      <c r="B36" s="70" t="s">
        <v>289</v>
      </c>
      <c r="C36" s="70" t="s">
        <v>291</v>
      </c>
      <c r="D36" s="70" t="s">
        <v>289</v>
      </c>
      <c r="E36" s="70" t="s">
        <v>289</v>
      </c>
      <c r="F36" s="70" t="s">
        <v>291</v>
      </c>
      <c r="G36" s="70" t="s">
        <v>289</v>
      </c>
      <c r="H36" s="70" t="s">
        <v>291</v>
      </c>
      <c r="I36" s="70" t="s">
        <v>289</v>
      </c>
      <c r="J36" s="70" t="s">
        <v>291</v>
      </c>
      <c r="K36" s="70" t="s">
        <v>291</v>
      </c>
      <c r="L36" s="70" t="s">
        <v>290</v>
      </c>
      <c r="M36" s="70" t="s">
        <v>291</v>
      </c>
      <c r="N36" s="70" t="s">
        <v>289</v>
      </c>
      <c r="O36" s="70" t="s">
        <v>290</v>
      </c>
      <c r="P36" s="70" t="s">
        <v>291</v>
      </c>
      <c r="Q36" s="70" t="s">
        <v>291</v>
      </c>
    </row>
    <row r="37" ht="14.25" customHeight="1">
      <c r="A37" s="71" t="str">
        <f>CONCATENATE('3, Estructura y navegación'!A11,": ",'3, Estructura y navegación'!B11)</f>
        <v>EN.9: No hay enlaces rotos</v>
      </c>
      <c r="B37" s="70" t="s">
        <v>292</v>
      </c>
      <c r="C37" s="70" t="s">
        <v>291</v>
      </c>
      <c r="D37" s="70" t="s">
        <v>289</v>
      </c>
      <c r="E37" s="70" t="s">
        <v>292</v>
      </c>
      <c r="F37" s="70" t="s">
        <v>291</v>
      </c>
      <c r="G37" s="70" t="s">
        <v>289</v>
      </c>
      <c r="H37" s="70" t="s">
        <v>289</v>
      </c>
      <c r="I37" s="70" t="s">
        <v>289</v>
      </c>
      <c r="J37" s="70" t="s">
        <v>289</v>
      </c>
      <c r="K37" s="70" t="s">
        <v>291</v>
      </c>
      <c r="L37" s="70" t="s">
        <v>291</v>
      </c>
      <c r="M37" s="70" t="s">
        <v>291</v>
      </c>
      <c r="N37" s="70" t="s">
        <v>289</v>
      </c>
      <c r="O37" s="70" t="s">
        <v>290</v>
      </c>
      <c r="P37" s="70" t="s">
        <v>289</v>
      </c>
      <c r="Q37" s="70" t="s">
        <v>289</v>
      </c>
    </row>
    <row r="38" ht="14.25" customHeight="1">
      <c r="A38" s="71" t="str">
        <f>CONCATENATE('3, Estructura y navegación'!A12,": ",'3, Estructura y navegación'!B12)</f>
        <v>EN.10: No hay enlaces que lleven a la misma página que se está visualizando</v>
      </c>
      <c r="B38" s="70" t="s">
        <v>290</v>
      </c>
      <c r="C38" s="70" t="s">
        <v>291</v>
      </c>
      <c r="D38" s="70" t="s">
        <v>290</v>
      </c>
      <c r="E38" s="70" t="s">
        <v>291</v>
      </c>
      <c r="F38" s="70" t="s">
        <v>290</v>
      </c>
      <c r="G38" s="70" t="s">
        <v>290</v>
      </c>
      <c r="H38" s="70" t="s">
        <v>291</v>
      </c>
      <c r="I38" s="70" t="s">
        <v>290</v>
      </c>
      <c r="J38" s="70" t="s">
        <v>290</v>
      </c>
      <c r="K38" s="70" t="s">
        <v>290</v>
      </c>
      <c r="L38" s="70" t="s">
        <v>290</v>
      </c>
      <c r="M38" s="70" t="s">
        <v>290</v>
      </c>
      <c r="N38" s="70" t="s">
        <v>290</v>
      </c>
      <c r="O38" s="70" t="s">
        <v>291</v>
      </c>
      <c r="P38" s="70" t="s">
        <v>290</v>
      </c>
      <c r="Q38" s="70" t="s">
        <v>291</v>
      </c>
    </row>
    <row r="39" ht="14.25" customHeight="1">
      <c r="A39" s="71" t="str">
        <f>CONCATENATE('3, Estructura y navegación'!A13,": ",'3, Estructura y navegación'!B13)</f>
        <v>EN.11: En las imágenes de enlace se indica el contenido al que se va a acceder</v>
      </c>
      <c r="B39" s="70" t="s">
        <v>291</v>
      </c>
      <c r="C39" s="70" t="s">
        <v>289</v>
      </c>
      <c r="D39" s="70" t="s">
        <v>291</v>
      </c>
      <c r="E39" s="70" t="s">
        <v>289</v>
      </c>
      <c r="F39" s="70" t="s">
        <v>291</v>
      </c>
      <c r="G39" s="70" t="s">
        <v>291</v>
      </c>
      <c r="H39" s="70" t="s">
        <v>289</v>
      </c>
      <c r="I39" s="70" t="s">
        <v>291</v>
      </c>
      <c r="J39" s="70" t="s">
        <v>291</v>
      </c>
      <c r="K39" s="70" t="s">
        <v>291</v>
      </c>
      <c r="L39" s="70" t="s">
        <v>289</v>
      </c>
      <c r="M39" s="70" t="s">
        <v>291</v>
      </c>
      <c r="N39" s="70" t="s">
        <v>289</v>
      </c>
      <c r="O39" s="70" t="s">
        <v>289</v>
      </c>
      <c r="P39" s="70" t="s">
        <v>291</v>
      </c>
      <c r="Q39" s="70" t="s">
        <v>289</v>
      </c>
    </row>
    <row r="40" ht="14.25" customHeight="1">
      <c r="A40" s="71" t="str">
        <f>CONCATENATE('3, Estructura y navegación'!A14,": ",'3, Estructura y navegación'!B14)</f>
        <v>EN.12: Existe un enlace para volver al inicio en cada página</v>
      </c>
      <c r="B40" s="70" t="s">
        <v>291</v>
      </c>
      <c r="C40" s="70" t="s">
        <v>291</v>
      </c>
      <c r="D40" s="70" t="s">
        <v>291</v>
      </c>
      <c r="E40" s="70" t="s">
        <v>291</v>
      </c>
      <c r="F40" s="70" t="s">
        <v>291</v>
      </c>
      <c r="G40" s="70" t="s">
        <v>291</v>
      </c>
      <c r="H40" s="70" t="s">
        <v>290</v>
      </c>
      <c r="I40" s="70" t="s">
        <v>291</v>
      </c>
      <c r="J40" s="70" t="s">
        <v>291</v>
      </c>
      <c r="K40" s="70" t="s">
        <v>291</v>
      </c>
      <c r="L40" s="70" t="s">
        <v>291</v>
      </c>
      <c r="M40" s="70" t="s">
        <v>291</v>
      </c>
      <c r="N40" s="70" t="s">
        <v>291</v>
      </c>
      <c r="O40" s="70" t="s">
        <v>289</v>
      </c>
      <c r="P40" s="70" t="s">
        <v>291</v>
      </c>
      <c r="Q40" s="70" t="s">
        <v>291</v>
      </c>
    </row>
    <row r="41" ht="14.25" customHeight="1">
      <c r="A41" s="71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70" t="s">
        <v>292</v>
      </c>
      <c r="C41" s="70" t="s">
        <v>290</v>
      </c>
      <c r="D41" s="70" t="s">
        <v>289</v>
      </c>
      <c r="E41" s="70" t="s">
        <v>292</v>
      </c>
      <c r="F41" s="70" t="s">
        <v>289</v>
      </c>
      <c r="G41" s="70" t="s">
        <v>289</v>
      </c>
      <c r="H41" s="70" t="s">
        <v>289</v>
      </c>
      <c r="I41" s="70" t="s">
        <v>289</v>
      </c>
      <c r="J41" s="70" t="s">
        <v>291</v>
      </c>
      <c r="K41" s="70" t="s">
        <v>291</v>
      </c>
      <c r="L41" s="70" t="s">
        <v>291</v>
      </c>
      <c r="M41" s="70" t="s">
        <v>291</v>
      </c>
      <c r="N41" s="70" t="s">
        <v>291</v>
      </c>
      <c r="O41" s="70" t="s">
        <v>291</v>
      </c>
      <c r="P41" s="70" t="s">
        <v>289</v>
      </c>
      <c r="Q41" s="70" t="s">
        <v>289</v>
      </c>
    </row>
    <row r="42" ht="14.25" customHeight="1">
      <c r="A42" s="71" t="str">
        <f>CONCATENATE('3, Estructura y navegación'!A16,": ",'3, Estructura y navegación'!B16)</f>
        <v>EN.14: Existe mapa del sitio para acceder directamente a los contenidos sin navegar</v>
      </c>
      <c r="B42" s="70" t="s">
        <v>289</v>
      </c>
      <c r="C42" s="70" t="s">
        <v>291</v>
      </c>
      <c r="D42" s="70" t="s">
        <v>289</v>
      </c>
      <c r="E42" s="70" t="s">
        <v>291</v>
      </c>
      <c r="F42" s="70" t="s">
        <v>291</v>
      </c>
      <c r="G42" s="70" t="s">
        <v>290</v>
      </c>
      <c r="H42" s="70" t="s">
        <v>290</v>
      </c>
      <c r="I42" s="70" t="s">
        <v>291</v>
      </c>
      <c r="J42" s="70" t="s">
        <v>291</v>
      </c>
      <c r="K42" s="70" t="s">
        <v>290</v>
      </c>
      <c r="L42" s="70" t="s">
        <v>290</v>
      </c>
      <c r="M42" s="70" t="s">
        <v>290</v>
      </c>
      <c r="N42" s="70" t="s">
        <v>291</v>
      </c>
      <c r="O42" s="70" t="s">
        <v>291</v>
      </c>
      <c r="P42" s="70" t="s">
        <v>291</v>
      </c>
      <c r="Q42" s="70" t="s">
        <v>291</v>
      </c>
    </row>
    <row r="43" ht="14.2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 ht="14.25" customHeight="1">
      <c r="A44" s="66" t="s">
        <v>295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</row>
    <row r="45" ht="14.25" customHeight="1">
      <c r="A45" s="67"/>
      <c r="B45" s="68" t="s">
        <v>272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</row>
    <row r="46" ht="14.25" customHeight="1">
      <c r="A46" s="68" t="s">
        <v>35</v>
      </c>
      <c r="B46" s="69" t="str">
        <f t="shared" ref="B46:Q46" si="3">B$3</f>
        <v>Administración Pública / Institucional</v>
      </c>
      <c r="C46" s="69" t="str">
        <f t="shared" si="3"/>
        <v>Banca electrónica</v>
      </c>
      <c r="D46" s="69" t="str">
        <f t="shared" si="3"/>
        <v>Blog</v>
      </c>
      <c r="E46" s="69" t="str">
        <f t="shared" si="3"/>
        <v>Comercio electrónico</v>
      </c>
      <c r="F46" s="69" t="str">
        <f t="shared" si="3"/>
        <v>Comunicación / Noticias</v>
      </c>
      <c r="G46" s="69" t="str">
        <f t="shared" si="3"/>
        <v>Corporativo / Empresa</v>
      </c>
      <c r="H46" s="69" t="str">
        <f t="shared" si="3"/>
        <v>Descargas</v>
      </c>
      <c r="I46" s="69" t="str">
        <f t="shared" si="3"/>
        <v>Educativo / Formativo</v>
      </c>
      <c r="J46" s="69" t="str">
        <f t="shared" si="3"/>
        <v>Entornos colaborativos / Wikis</v>
      </c>
      <c r="K46" s="69" t="str">
        <f t="shared" si="3"/>
        <v>Foros / Chat</v>
      </c>
      <c r="L46" s="69" t="str">
        <f t="shared" si="3"/>
        <v>Ocio / Entretenimiento</v>
      </c>
      <c r="M46" s="69" t="str">
        <f t="shared" si="3"/>
        <v>Personal</v>
      </c>
      <c r="N46" s="69" t="str">
        <f t="shared" si="3"/>
        <v>Portal de Servicios</v>
      </c>
      <c r="O46" s="69" t="str">
        <f t="shared" si="3"/>
        <v>Servicios interactivos basados en imágenes</v>
      </c>
      <c r="P46" s="69" t="str">
        <f t="shared" si="3"/>
        <v>Servicios interactivos no basados en imágenes</v>
      </c>
      <c r="Q46" s="69" t="str">
        <f t="shared" si="3"/>
        <v>Webmail / Correo</v>
      </c>
    </row>
    <row r="47" ht="14.25" customHeight="1">
      <c r="A47" s="71" t="str">
        <f>CONCATENATE('4, Rotulado'!A3,": ",'4, Rotulado'!B3)</f>
        <v>RO.1: Rótulos significativos</v>
      </c>
      <c r="B47" s="70" t="s">
        <v>289</v>
      </c>
      <c r="C47" s="70" t="s">
        <v>291</v>
      </c>
      <c r="D47" s="70" t="s">
        <v>289</v>
      </c>
      <c r="E47" s="70" t="s">
        <v>289</v>
      </c>
      <c r="F47" s="70" t="s">
        <v>291</v>
      </c>
      <c r="G47" s="70" t="s">
        <v>291</v>
      </c>
      <c r="H47" s="70" t="s">
        <v>291</v>
      </c>
      <c r="I47" s="70" t="s">
        <v>291</v>
      </c>
      <c r="J47" s="70" t="s">
        <v>291</v>
      </c>
      <c r="K47" s="70" t="s">
        <v>291</v>
      </c>
      <c r="L47" s="70" t="s">
        <v>290</v>
      </c>
      <c r="M47" s="70" t="s">
        <v>291</v>
      </c>
      <c r="N47" s="70" t="s">
        <v>291</v>
      </c>
      <c r="O47" s="70" t="s">
        <v>289</v>
      </c>
      <c r="P47" s="70" t="s">
        <v>291</v>
      </c>
      <c r="Q47" s="70" t="s">
        <v>291</v>
      </c>
    </row>
    <row r="48" ht="14.25" customHeight="1">
      <c r="A48" s="71" t="str">
        <f>CONCATENATE('4, Rotulado'!A4,": ",'4, Rotulado'!B4)</f>
        <v>RO.2: Sistema de rotulado controlado y preciso</v>
      </c>
      <c r="B48" s="70" t="s">
        <v>291</v>
      </c>
      <c r="C48" s="70" t="s">
        <v>290</v>
      </c>
      <c r="D48" s="70" t="s">
        <v>289</v>
      </c>
      <c r="E48" s="70" t="s">
        <v>289</v>
      </c>
      <c r="F48" s="70" t="s">
        <v>291</v>
      </c>
      <c r="G48" s="70" t="s">
        <v>291</v>
      </c>
      <c r="H48" s="70" t="s">
        <v>291</v>
      </c>
      <c r="I48" s="70" t="s">
        <v>291</v>
      </c>
      <c r="J48" s="70" t="s">
        <v>291</v>
      </c>
      <c r="K48" s="70" t="s">
        <v>290</v>
      </c>
      <c r="L48" s="70" t="s">
        <v>290</v>
      </c>
      <c r="M48" s="70" t="s">
        <v>290</v>
      </c>
      <c r="N48" s="70" t="s">
        <v>289</v>
      </c>
      <c r="O48" s="70" t="s">
        <v>291</v>
      </c>
      <c r="P48" s="70" t="s">
        <v>289</v>
      </c>
      <c r="Q48" s="70" t="s">
        <v>291</v>
      </c>
    </row>
    <row r="49" ht="14.25" customHeight="1">
      <c r="A49" s="71" t="str">
        <f>CONCATENATE('4, Rotulado'!A5,": ",'4, Rotulado'!B5)</f>
        <v>RO.3: Título de las páginas, correcto y planificado</v>
      </c>
      <c r="B49" s="70" t="s">
        <v>289</v>
      </c>
      <c r="C49" s="70" t="s">
        <v>291</v>
      </c>
      <c r="D49" s="70" t="s">
        <v>289</v>
      </c>
      <c r="E49" s="70" t="s">
        <v>289</v>
      </c>
      <c r="F49" s="70" t="s">
        <v>291</v>
      </c>
      <c r="G49" s="70" t="s">
        <v>291</v>
      </c>
      <c r="H49" s="70" t="s">
        <v>291</v>
      </c>
      <c r="I49" s="70" t="s">
        <v>291</v>
      </c>
      <c r="J49" s="70" t="s">
        <v>291</v>
      </c>
      <c r="K49" s="70" t="s">
        <v>290</v>
      </c>
      <c r="L49" s="70" t="s">
        <v>290</v>
      </c>
      <c r="M49" s="70" t="s">
        <v>291</v>
      </c>
      <c r="N49" s="70" t="s">
        <v>289</v>
      </c>
      <c r="O49" s="70" t="s">
        <v>290</v>
      </c>
      <c r="P49" s="70" t="s">
        <v>291</v>
      </c>
      <c r="Q49" s="70" t="s">
        <v>290</v>
      </c>
    </row>
    <row r="50" ht="14.25" customHeight="1">
      <c r="A50" s="71" t="str">
        <f>CONCATENATE('4, Rotulado'!A6,": ",'4, Rotulado'!B6)</f>
        <v>RO.4: URL página principal correcta, clara y fácil de recordar</v>
      </c>
      <c r="B50" s="70" t="s">
        <v>291</v>
      </c>
      <c r="C50" s="70" t="s">
        <v>291</v>
      </c>
      <c r="D50" s="70" t="s">
        <v>291</v>
      </c>
      <c r="E50" s="70" t="s">
        <v>291</v>
      </c>
      <c r="F50" s="70" t="s">
        <v>290</v>
      </c>
      <c r="G50" s="70" t="s">
        <v>291</v>
      </c>
      <c r="H50" s="70" t="s">
        <v>290</v>
      </c>
      <c r="I50" s="70" t="s">
        <v>290</v>
      </c>
      <c r="J50" s="70" t="s">
        <v>290</v>
      </c>
      <c r="K50" s="70" t="s">
        <v>290</v>
      </c>
      <c r="L50" s="70" t="s">
        <v>290</v>
      </c>
      <c r="M50" s="70" t="s">
        <v>291</v>
      </c>
      <c r="N50" s="70" t="s">
        <v>291</v>
      </c>
      <c r="O50" s="70" t="s">
        <v>291</v>
      </c>
      <c r="P50" s="70" t="s">
        <v>291</v>
      </c>
      <c r="Q50" s="70" t="s">
        <v>291</v>
      </c>
    </row>
    <row r="51" ht="14.25" customHeight="1">
      <c r="A51" s="71" t="str">
        <f>CONCATENATE('4, Rotulado'!A7,": ",'4, Rotulado'!B7)</f>
        <v>RO.5: URLs de páginas internas claras</v>
      </c>
      <c r="B51" s="70" t="s">
        <v>291</v>
      </c>
      <c r="C51" s="70" t="s">
        <v>290</v>
      </c>
      <c r="D51" s="70" t="s">
        <v>291</v>
      </c>
      <c r="E51" s="70" t="s">
        <v>291</v>
      </c>
      <c r="F51" s="70" t="s">
        <v>291</v>
      </c>
      <c r="G51" s="70" t="s">
        <v>291</v>
      </c>
      <c r="H51" s="70" t="s">
        <v>291</v>
      </c>
      <c r="I51" s="70" t="s">
        <v>291</v>
      </c>
      <c r="J51" s="70" t="s">
        <v>291</v>
      </c>
      <c r="K51" s="70" t="s">
        <v>291</v>
      </c>
      <c r="L51" s="70" t="s">
        <v>291</v>
      </c>
      <c r="M51" s="70" t="s">
        <v>291</v>
      </c>
      <c r="N51" s="70" t="s">
        <v>291</v>
      </c>
      <c r="O51" s="70" t="s">
        <v>291</v>
      </c>
      <c r="P51" s="70" t="s">
        <v>291</v>
      </c>
      <c r="Q51" s="70" t="s">
        <v>291</v>
      </c>
    </row>
    <row r="52" ht="14.25" customHeight="1">
      <c r="A52" s="71" t="str">
        <f>CONCATENATE('4, Rotulado'!A8,": ",'4, Rotulado'!B8)</f>
        <v>RO.6: URLs de páginas internas permanentes</v>
      </c>
      <c r="B52" s="70" t="s">
        <v>291</v>
      </c>
      <c r="C52" s="70" t="s">
        <v>290</v>
      </c>
      <c r="D52" s="70" t="s">
        <v>289</v>
      </c>
      <c r="E52" s="70" t="s">
        <v>289</v>
      </c>
      <c r="F52" s="70" t="s">
        <v>290</v>
      </c>
      <c r="G52" s="70" t="s">
        <v>291</v>
      </c>
      <c r="H52" s="70" t="s">
        <v>290</v>
      </c>
      <c r="I52" s="70" t="s">
        <v>291</v>
      </c>
      <c r="J52" s="70" t="s">
        <v>291</v>
      </c>
      <c r="K52" s="70" t="s">
        <v>291</v>
      </c>
      <c r="L52" s="70" t="s">
        <v>291</v>
      </c>
      <c r="M52" s="70" t="s">
        <v>290</v>
      </c>
      <c r="N52" s="70" t="s">
        <v>291</v>
      </c>
      <c r="O52" s="70" t="s">
        <v>291</v>
      </c>
      <c r="P52" s="70" t="s">
        <v>290</v>
      </c>
      <c r="Q52" s="70" t="s">
        <v>291</v>
      </c>
    </row>
    <row r="53" ht="14.2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</row>
    <row r="54" ht="14.25" customHeight="1">
      <c r="A54" s="66" t="s">
        <v>296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</row>
    <row r="55" ht="14.25" customHeight="1">
      <c r="A55" s="67"/>
      <c r="B55" s="68" t="s">
        <v>272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</row>
    <row r="56" ht="14.25" customHeight="1">
      <c r="A56" s="68" t="s">
        <v>35</v>
      </c>
      <c r="B56" s="69" t="str">
        <f t="shared" ref="B56:Q56" si="4">B$3</f>
        <v>Administración Pública / Institucional</v>
      </c>
      <c r="C56" s="69" t="str">
        <f t="shared" si="4"/>
        <v>Banca electrónica</v>
      </c>
      <c r="D56" s="69" t="str">
        <f t="shared" si="4"/>
        <v>Blog</v>
      </c>
      <c r="E56" s="69" t="str">
        <f t="shared" si="4"/>
        <v>Comercio electrónico</v>
      </c>
      <c r="F56" s="69" t="str">
        <f t="shared" si="4"/>
        <v>Comunicación / Noticias</v>
      </c>
      <c r="G56" s="69" t="str">
        <f t="shared" si="4"/>
        <v>Corporativo / Empresa</v>
      </c>
      <c r="H56" s="69" t="str">
        <f t="shared" si="4"/>
        <v>Descargas</v>
      </c>
      <c r="I56" s="69" t="str">
        <f t="shared" si="4"/>
        <v>Educativo / Formativo</v>
      </c>
      <c r="J56" s="69" t="str">
        <f t="shared" si="4"/>
        <v>Entornos colaborativos / Wikis</v>
      </c>
      <c r="K56" s="69" t="str">
        <f t="shared" si="4"/>
        <v>Foros / Chat</v>
      </c>
      <c r="L56" s="69" t="str">
        <f t="shared" si="4"/>
        <v>Ocio / Entretenimiento</v>
      </c>
      <c r="M56" s="69" t="str">
        <f t="shared" si="4"/>
        <v>Personal</v>
      </c>
      <c r="N56" s="69" t="str">
        <f t="shared" si="4"/>
        <v>Portal de Servicios</v>
      </c>
      <c r="O56" s="69" t="str">
        <f t="shared" si="4"/>
        <v>Servicios interactivos basados en imágenes</v>
      </c>
      <c r="P56" s="69" t="str">
        <f t="shared" si="4"/>
        <v>Servicios interactivos no basados en imágenes</v>
      </c>
      <c r="Q56" s="69" t="str">
        <f t="shared" si="4"/>
        <v>Webmail / Correo</v>
      </c>
    </row>
    <row r="57" ht="24.75" customHeight="1">
      <c r="A57" s="71" t="str">
        <f>CONCATENATE('5, Layout de la página'!A3,": ",'5, Layout de la página'!B3)</f>
        <v>LA.1: Se aprovechan las zonas de alta jerarquía informativa de la página para contenidos de mayor relevancia</v>
      </c>
      <c r="B57" s="70" t="s">
        <v>289</v>
      </c>
      <c r="C57" s="70" t="s">
        <v>290</v>
      </c>
      <c r="D57" s="70" t="s">
        <v>289</v>
      </c>
      <c r="E57" s="70" t="s">
        <v>289</v>
      </c>
      <c r="F57" s="70" t="s">
        <v>289</v>
      </c>
      <c r="G57" s="70" t="s">
        <v>291</v>
      </c>
      <c r="H57" s="70" t="s">
        <v>290</v>
      </c>
      <c r="I57" s="70" t="s">
        <v>291</v>
      </c>
      <c r="J57" s="70" t="s">
        <v>291</v>
      </c>
      <c r="K57" s="70" t="s">
        <v>290</v>
      </c>
      <c r="L57" s="70" t="s">
        <v>290</v>
      </c>
      <c r="M57" s="70" t="s">
        <v>291</v>
      </c>
      <c r="N57" s="70" t="s">
        <v>291</v>
      </c>
      <c r="O57" s="70" t="s">
        <v>290</v>
      </c>
      <c r="P57" s="70" t="s">
        <v>291</v>
      </c>
      <c r="Q57" s="70" t="s">
        <v>291</v>
      </c>
    </row>
    <row r="58" ht="14.25" customHeight="1">
      <c r="A58" s="71" t="str">
        <f>CONCATENATE('5, Layout de la página'!A4,": ",'5, Layout de la página'!B4)</f>
        <v>LA.2: Se ha evitado la sobrecarga informativa</v>
      </c>
      <c r="B58" s="70" t="s">
        <v>291</v>
      </c>
      <c r="C58" s="70" t="s">
        <v>291</v>
      </c>
      <c r="D58" s="70" t="s">
        <v>291</v>
      </c>
      <c r="E58" s="70" t="s">
        <v>291</v>
      </c>
      <c r="F58" s="70" t="s">
        <v>291</v>
      </c>
      <c r="G58" s="70" t="s">
        <v>291</v>
      </c>
      <c r="H58" s="70" t="s">
        <v>290</v>
      </c>
      <c r="I58" s="70" t="s">
        <v>291</v>
      </c>
      <c r="J58" s="70" t="s">
        <v>291</v>
      </c>
      <c r="K58" s="70" t="s">
        <v>290</v>
      </c>
      <c r="L58" s="70" t="s">
        <v>290</v>
      </c>
      <c r="M58" s="70" t="s">
        <v>291</v>
      </c>
      <c r="N58" s="70" t="s">
        <v>291</v>
      </c>
      <c r="O58" s="70" t="s">
        <v>289</v>
      </c>
      <c r="P58" s="70" t="s">
        <v>291</v>
      </c>
      <c r="Q58" s="70" t="s">
        <v>291</v>
      </c>
    </row>
    <row r="59" ht="14.25" customHeight="1">
      <c r="A59" s="71" t="str">
        <f>CONCATENATE('5, Layout de la página'!A5,": ",'5, Layout de la página'!B5)</f>
        <v>LA.3: Es una interfaz limpia, sin ruido visual</v>
      </c>
      <c r="B59" s="70" t="s">
        <v>289</v>
      </c>
      <c r="C59" s="70" t="s">
        <v>291</v>
      </c>
      <c r="D59" s="70" t="s">
        <v>289</v>
      </c>
      <c r="E59" s="70" t="s">
        <v>289</v>
      </c>
      <c r="F59" s="70" t="s">
        <v>289</v>
      </c>
      <c r="G59" s="70" t="s">
        <v>289</v>
      </c>
      <c r="H59" s="70" t="s">
        <v>290</v>
      </c>
      <c r="I59" s="70" t="s">
        <v>291</v>
      </c>
      <c r="J59" s="70" t="s">
        <v>291</v>
      </c>
      <c r="K59" s="70" t="s">
        <v>291</v>
      </c>
      <c r="L59" s="70" t="s">
        <v>290</v>
      </c>
      <c r="M59" s="70" t="s">
        <v>291</v>
      </c>
      <c r="N59" s="70" t="s">
        <v>289</v>
      </c>
      <c r="O59" s="70" t="s">
        <v>289</v>
      </c>
      <c r="P59" s="70" t="s">
        <v>291</v>
      </c>
      <c r="Q59" s="70" t="s">
        <v>291</v>
      </c>
    </row>
    <row r="60" ht="14.25" customHeight="1">
      <c r="A60" s="71" t="str">
        <f>CONCATENATE('5, Layout de la página'!A6,": ",'5, Layout de la página'!B6)</f>
        <v>LA.4: Existen zonas en blanco entre los objetos informativos de la página para poder descansar la vista</v>
      </c>
      <c r="B60" s="70" t="s">
        <v>289</v>
      </c>
      <c r="C60" s="70" t="s">
        <v>291</v>
      </c>
      <c r="D60" s="70" t="s">
        <v>291</v>
      </c>
      <c r="E60" s="70" t="s">
        <v>291</v>
      </c>
      <c r="F60" s="70" t="s">
        <v>289</v>
      </c>
      <c r="G60" s="70" t="s">
        <v>291</v>
      </c>
      <c r="H60" s="70" t="s">
        <v>290</v>
      </c>
      <c r="I60" s="70" t="s">
        <v>291</v>
      </c>
      <c r="J60" s="70" t="s">
        <v>291</v>
      </c>
      <c r="K60" s="70" t="s">
        <v>291</v>
      </c>
      <c r="L60" s="70" t="s">
        <v>290</v>
      </c>
      <c r="M60" s="70" t="s">
        <v>291</v>
      </c>
      <c r="N60" s="70" t="s">
        <v>291</v>
      </c>
      <c r="O60" s="70" t="s">
        <v>291</v>
      </c>
      <c r="P60" s="70" t="s">
        <v>291</v>
      </c>
      <c r="Q60" s="70" t="s">
        <v>291</v>
      </c>
    </row>
    <row r="61" ht="14.25" customHeight="1">
      <c r="A61" s="71" t="str">
        <f>CONCATENATE('5, Layout de la página'!A7,": ",'5, Layout de la página'!B7)</f>
        <v>LA.5: Uso correcto del espacio visual de la página</v>
      </c>
      <c r="B61" s="70" t="s">
        <v>291</v>
      </c>
      <c r="C61" s="70" t="s">
        <v>291</v>
      </c>
      <c r="D61" s="70" t="s">
        <v>289</v>
      </c>
      <c r="E61" s="70" t="s">
        <v>289</v>
      </c>
      <c r="F61" s="70" t="s">
        <v>289</v>
      </c>
      <c r="G61" s="70" t="s">
        <v>289</v>
      </c>
      <c r="H61" s="70" t="s">
        <v>290</v>
      </c>
      <c r="I61" s="70" t="s">
        <v>291</v>
      </c>
      <c r="J61" s="70" t="s">
        <v>291</v>
      </c>
      <c r="K61" s="70" t="s">
        <v>291</v>
      </c>
      <c r="L61" s="70" t="s">
        <v>291</v>
      </c>
      <c r="M61" s="70" t="s">
        <v>291</v>
      </c>
      <c r="N61" s="70" t="s">
        <v>289</v>
      </c>
      <c r="O61" s="70" t="s">
        <v>291</v>
      </c>
      <c r="P61" s="70" t="s">
        <v>289</v>
      </c>
      <c r="Q61" s="70" t="s">
        <v>291</v>
      </c>
    </row>
    <row r="62" ht="14.25" customHeight="1">
      <c r="A62" s="71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70" t="s">
        <v>289</v>
      </c>
      <c r="C62" s="70" t="s">
        <v>291</v>
      </c>
      <c r="D62" s="70" t="s">
        <v>289</v>
      </c>
      <c r="E62" s="70" t="s">
        <v>289</v>
      </c>
      <c r="F62" s="70" t="s">
        <v>289</v>
      </c>
      <c r="G62" s="70" t="s">
        <v>291</v>
      </c>
      <c r="H62" s="70" t="s">
        <v>290</v>
      </c>
      <c r="I62" s="70" t="s">
        <v>291</v>
      </c>
      <c r="J62" s="70" t="s">
        <v>289</v>
      </c>
      <c r="K62" s="70" t="s">
        <v>289</v>
      </c>
      <c r="L62" s="70" t="s">
        <v>290</v>
      </c>
      <c r="M62" s="70" t="s">
        <v>291</v>
      </c>
      <c r="N62" s="70" t="s">
        <v>289</v>
      </c>
      <c r="O62" s="70" t="s">
        <v>291</v>
      </c>
      <c r="P62" s="70" t="s">
        <v>291</v>
      </c>
      <c r="Q62" s="70" t="s">
        <v>291</v>
      </c>
    </row>
    <row r="63" ht="14.25" customHeight="1">
      <c r="A63" s="71" t="str">
        <f>CONCATENATE('5, Layout de la página'!A9,": ",'5, Layout de la página'!B9)</f>
        <v>LA.7: Se ha controlado la longitud de página</v>
      </c>
      <c r="B63" s="70" t="s">
        <v>291</v>
      </c>
      <c r="C63" s="70" t="s">
        <v>290</v>
      </c>
      <c r="D63" s="70" t="s">
        <v>291</v>
      </c>
      <c r="E63" s="70" t="s">
        <v>291</v>
      </c>
      <c r="F63" s="70" t="s">
        <v>291</v>
      </c>
      <c r="G63" s="70" t="s">
        <v>291</v>
      </c>
      <c r="H63" s="70" t="s">
        <v>290</v>
      </c>
      <c r="I63" s="70" t="s">
        <v>291</v>
      </c>
      <c r="J63" s="70" t="s">
        <v>291</v>
      </c>
      <c r="K63" s="70" t="s">
        <v>290</v>
      </c>
      <c r="L63" s="70" t="s">
        <v>290</v>
      </c>
      <c r="M63" s="70" t="s">
        <v>291</v>
      </c>
      <c r="N63" s="70" t="s">
        <v>291</v>
      </c>
      <c r="O63" s="70" t="s">
        <v>291</v>
      </c>
      <c r="P63" s="70" t="s">
        <v>291</v>
      </c>
      <c r="Q63" s="70" t="s">
        <v>290</v>
      </c>
    </row>
    <row r="64" ht="14.25" customHeight="1">
      <c r="A64" s="71" t="str">
        <f>CONCATENATE('5, Layout de la página'!A10,": ",'5, Layout de la página'!B10)</f>
        <v>LA.8: La versión impresa de la página es correcta</v>
      </c>
      <c r="B64" s="70" t="s">
        <v>289</v>
      </c>
      <c r="C64" s="70" t="s">
        <v>291</v>
      </c>
      <c r="D64" s="70" t="s">
        <v>289</v>
      </c>
      <c r="E64" s="70" t="s">
        <v>289</v>
      </c>
      <c r="F64" s="70" t="s">
        <v>291</v>
      </c>
      <c r="G64" s="70" t="s">
        <v>291</v>
      </c>
      <c r="H64" s="70" t="s">
        <v>290</v>
      </c>
      <c r="I64" s="70" t="s">
        <v>289</v>
      </c>
      <c r="J64" s="70" t="s">
        <v>291</v>
      </c>
      <c r="K64" s="70" t="s">
        <v>290</v>
      </c>
      <c r="L64" s="70" t="s">
        <v>290</v>
      </c>
      <c r="M64" s="70" t="s">
        <v>291</v>
      </c>
      <c r="N64" s="70" t="s">
        <v>290</v>
      </c>
      <c r="O64" s="70" t="s">
        <v>289</v>
      </c>
      <c r="P64" s="70" t="s">
        <v>290</v>
      </c>
      <c r="Q64" s="70" t="s">
        <v>289</v>
      </c>
    </row>
    <row r="65" ht="14.25" customHeight="1">
      <c r="A65" s="71" t="str">
        <f>CONCATENATE('5, Layout de la página'!A11,": ",'5, Layout de la página'!B11)</f>
        <v>LA.9: El texto de la página se lee sin dificultad</v>
      </c>
      <c r="B65" s="70" t="s">
        <v>292</v>
      </c>
      <c r="C65" s="70" t="s">
        <v>291</v>
      </c>
      <c r="D65" s="70" t="s">
        <v>289</v>
      </c>
      <c r="E65" s="70" t="s">
        <v>292</v>
      </c>
      <c r="F65" s="70" t="s">
        <v>292</v>
      </c>
      <c r="G65" s="70" t="s">
        <v>289</v>
      </c>
      <c r="H65" s="70" t="s">
        <v>291</v>
      </c>
      <c r="I65" s="70" t="s">
        <v>289</v>
      </c>
      <c r="J65" s="70" t="s">
        <v>289</v>
      </c>
      <c r="K65" s="70" t="s">
        <v>289</v>
      </c>
      <c r="L65" s="70" t="s">
        <v>291</v>
      </c>
      <c r="M65" s="70" t="s">
        <v>289</v>
      </c>
      <c r="N65" s="70" t="s">
        <v>289</v>
      </c>
      <c r="O65" s="70" t="s">
        <v>289</v>
      </c>
      <c r="P65" s="70" t="s">
        <v>289</v>
      </c>
      <c r="Q65" s="70" t="s">
        <v>289</v>
      </c>
    </row>
    <row r="66" ht="14.25" customHeight="1">
      <c r="A66" s="71" t="str">
        <f>CONCATENATE('5, Layout de la página'!A12,": ",'5, Layout de la página'!B12)</f>
        <v>LA.10: Se ha evitado el texto parpadeante / deslizante</v>
      </c>
      <c r="B66" s="70" t="s">
        <v>289</v>
      </c>
      <c r="C66" s="70" t="s">
        <v>289</v>
      </c>
      <c r="D66" s="70" t="s">
        <v>290</v>
      </c>
      <c r="E66" s="70" t="s">
        <v>291</v>
      </c>
      <c r="F66" s="70" t="s">
        <v>289</v>
      </c>
      <c r="G66" s="70" t="s">
        <v>290</v>
      </c>
      <c r="H66" s="70" t="s">
        <v>291</v>
      </c>
      <c r="I66" s="70" t="s">
        <v>291</v>
      </c>
      <c r="J66" s="70" t="s">
        <v>291</v>
      </c>
      <c r="K66" s="70" t="s">
        <v>290</v>
      </c>
      <c r="L66" s="70" t="s">
        <v>290</v>
      </c>
      <c r="M66" s="70" t="s">
        <v>290</v>
      </c>
      <c r="N66" s="70" t="s">
        <v>290</v>
      </c>
      <c r="O66" s="70" t="s">
        <v>291</v>
      </c>
      <c r="P66" s="70" t="s">
        <v>291</v>
      </c>
      <c r="Q66" s="70" t="s">
        <v>291</v>
      </c>
    </row>
    <row r="67" ht="14.2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</row>
    <row r="68" ht="14.25" customHeight="1">
      <c r="A68" s="66" t="s">
        <v>297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</row>
    <row r="69" ht="14.25" customHeight="1">
      <c r="A69" s="66"/>
      <c r="B69" s="68" t="s">
        <v>272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</row>
    <row r="70" ht="14.25" customHeight="1">
      <c r="A70" s="68" t="s">
        <v>35</v>
      </c>
      <c r="B70" s="69" t="str">
        <f t="shared" ref="B70:Q70" si="5">B$3</f>
        <v>Administración Pública / Institucional</v>
      </c>
      <c r="C70" s="69" t="str">
        <f t="shared" si="5"/>
        <v>Banca electrónica</v>
      </c>
      <c r="D70" s="69" t="str">
        <f t="shared" si="5"/>
        <v>Blog</v>
      </c>
      <c r="E70" s="69" t="str">
        <f t="shared" si="5"/>
        <v>Comercio electrónico</v>
      </c>
      <c r="F70" s="69" t="str">
        <f t="shared" si="5"/>
        <v>Comunicación / Noticias</v>
      </c>
      <c r="G70" s="69" t="str">
        <f t="shared" si="5"/>
        <v>Corporativo / Empresa</v>
      </c>
      <c r="H70" s="69" t="str">
        <f t="shared" si="5"/>
        <v>Descargas</v>
      </c>
      <c r="I70" s="69" t="str">
        <f t="shared" si="5"/>
        <v>Educativo / Formativo</v>
      </c>
      <c r="J70" s="69" t="str">
        <f t="shared" si="5"/>
        <v>Entornos colaborativos / Wikis</v>
      </c>
      <c r="K70" s="69" t="str">
        <f t="shared" si="5"/>
        <v>Foros / Chat</v>
      </c>
      <c r="L70" s="69" t="str">
        <f t="shared" si="5"/>
        <v>Ocio / Entretenimiento</v>
      </c>
      <c r="M70" s="69" t="str">
        <f t="shared" si="5"/>
        <v>Personal</v>
      </c>
      <c r="N70" s="69" t="str">
        <f t="shared" si="5"/>
        <v>Portal de Servicios</v>
      </c>
      <c r="O70" s="69" t="str">
        <f t="shared" si="5"/>
        <v>Servicios interactivos basados en imágenes</v>
      </c>
      <c r="P70" s="69" t="str">
        <f t="shared" si="5"/>
        <v>Servicios interactivos no basados en imágenes</v>
      </c>
      <c r="Q70" s="69" t="str">
        <f t="shared" si="5"/>
        <v>Webmail / Correo</v>
      </c>
    </row>
    <row r="71" ht="14.25" customHeight="1">
      <c r="A71" s="71" t="str">
        <f>CONCATENATE('6, Entendibilidad y Facilidad'!A3,": ",'6, Entendibilidad y Facilidad'!B3)</f>
        <v>EF.1: Se emplea un lenguaje claro y conciso</v>
      </c>
      <c r="B71" s="70" t="s">
        <v>292</v>
      </c>
      <c r="C71" s="70" t="s">
        <v>292</v>
      </c>
      <c r="D71" s="70" t="s">
        <v>289</v>
      </c>
      <c r="E71" s="70" t="s">
        <v>289</v>
      </c>
      <c r="F71" s="70" t="s">
        <v>289</v>
      </c>
      <c r="G71" s="70" t="s">
        <v>291</v>
      </c>
      <c r="H71" s="70" t="s">
        <v>290</v>
      </c>
      <c r="I71" s="70" t="s">
        <v>289</v>
      </c>
      <c r="J71" s="70" t="s">
        <v>289</v>
      </c>
      <c r="K71" s="70" t="s">
        <v>290</v>
      </c>
      <c r="L71" s="70" t="s">
        <v>290</v>
      </c>
      <c r="M71" s="70" t="s">
        <v>291</v>
      </c>
      <c r="N71" s="70" t="s">
        <v>291</v>
      </c>
      <c r="O71" s="70" t="s">
        <v>289</v>
      </c>
      <c r="P71" s="70" t="s">
        <v>291</v>
      </c>
      <c r="Q71" s="70" t="s">
        <v>291</v>
      </c>
    </row>
    <row r="72" ht="14.25" customHeight="1">
      <c r="A72" s="71" t="str">
        <f>CONCATENATE('6, Entendibilidad y Facilidad'!A4,": ",'6, Entendibilidad y Facilidad'!B4)</f>
        <v>EF.2: Lenguaje  amigable, familiar y cercano</v>
      </c>
      <c r="B72" s="70" t="s">
        <v>291</v>
      </c>
      <c r="C72" s="70" t="s">
        <v>291</v>
      </c>
      <c r="D72" s="70" t="s">
        <v>291</v>
      </c>
      <c r="E72" s="70" t="s">
        <v>291</v>
      </c>
      <c r="F72" s="70" t="s">
        <v>291</v>
      </c>
      <c r="G72" s="70" t="s">
        <v>291</v>
      </c>
      <c r="H72" s="70" t="s">
        <v>290</v>
      </c>
      <c r="I72" s="70" t="s">
        <v>291</v>
      </c>
      <c r="J72" s="70" t="s">
        <v>291</v>
      </c>
      <c r="K72" s="70" t="s">
        <v>291</v>
      </c>
      <c r="L72" s="70" t="s">
        <v>291</v>
      </c>
      <c r="M72" s="70" t="s">
        <v>291</v>
      </c>
      <c r="N72" s="70" t="s">
        <v>291</v>
      </c>
      <c r="O72" s="70" t="s">
        <v>290</v>
      </c>
      <c r="P72" s="70" t="s">
        <v>291</v>
      </c>
      <c r="Q72" s="70" t="s">
        <v>290</v>
      </c>
    </row>
    <row r="73" ht="14.25" customHeight="1">
      <c r="A73" s="71" t="str">
        <f>CONCATENATE('6, Entendibilidad y Facilidad'!A5,": ",'6, Entendibilidad y Facilidad'!B5)</f>
        <v>EF.3: Cada párrafo expresa una idea</v>
      </c>
      <c r="B73" s="70" t="s">
        <v>291</v>
      </c>
      <c r="C73" s="70" t="s">
        <v>290</v>
      </c>
      <c r="D73" s="70" t="s">
        <v>289</v>
      </c>
      <c r="E73" s="70" t="s">
        <v>291</v>
      </c>
      <c r="F73" s="70" t="s">
        <v>289</v>
      </c>
      <c r="G73" s="70" t="s">
        <v>291</v>
      </c>
      <c r="H73" s="70" t="s">
        <v>290</v>
      </c>
      <c r="I73" s="70" t="s">
        <v>291</v>
      </c>
      <c r="J73" s="70" t="s">
        <v>289</v>
      </c>
      <c r="K73" s="70" t="s">
        <v>291</v>
      </c>
      <c r="L73" s="70" t="s">
        <v>290</v>
      </c>
      <c r="M73" s="70" t="s">
        <v>291</v>
      </c>
      <c r="N73" s="70" t="s">
        <v>291</v>
      </c>
      <c r="O73" s="70" t="s">
        <v>290</v>
      </c>
      <c r="P73" s="70" t="s">
        <v>291</v>
      </c>
      <c r="Q73" s="70" t="s">
        <v>290</v>
      </c>
    </row>
    <row r="74" ht="14.25" customHeight="1">
      <c r="A74" s="71" t="str">
        <f>CONCATENATE('6, Entendibilidad y Facilidad'!A6,": ",'6, Entendibilidad y Facilidad'!B6)</f>
        <v>EF.4: Uso consistente de los controles de la interfaz</v>
      </c>
      <c r="B74" s="70" t="s">
        <v>289</v>
      </c>
      <c r="C74" s="70" t="s">
        <v>289</v>
      </c>
      <c r="D74" s="70" t="s">
        <v>291</v>
      </c>
      <c r="E74" s="70" t="s">
        <v>289</v>
      </c>
      <c r="F74" s="70" t="s">
        <v>291</v>
      </c>
      <c r="G74" s="70" t="s">
        <v>291</v>
      </c>
      <c r="H74" s="70" t="s">
        <v>290</v>
      </c>
      <c r="I74" s="70" t="s">
        <v>291</v>
      </c>
      <c r="J74" s="70" t="s">
        <v>291</v>
      </c>
      <c r="K74" s="70" t="s">
        <v>291</v>
      </c>
      <c r="L74" s="70" t="s">
        <v>290</v>
      </c>
      <c r="M74" s="70" t="s">
        <v>291</v>
      </c>
      <c r="N74" s="70" t="s">
        <v>291</v>
      </c>
      <c r="O74" s="70" t="s">
        <v>289</v>
      </c>
      <c r="P74" s="70" t="s">
        <v>289</v>
      </c>
      <c r="Q74" s="70" t="s">
        <v>289</v>
      </c>
    </row>
    <row r="75" ht="14.25" customHeight="1">
      <c r="A75" s="71" t="str">
        <f>CONCATENATE('6, Entendibilidad y Facilidad'!A7,": ",'6, Entendibilidad y Facilidad'!B7)</f>
        <v>EF.5: Metáforas visuales reconocibles y comprensibles por cualquier usuario (ej.: iconos)</v>
      </c>
      <c r="B75" s="70" t="s">
        <v>289</v>
      </c>
      <c r="C75" s="70" t="s">
        <v>289</v>
      </c>
      <c r="D75" s="70" t="s">
        <v>289</v>
      </c>
      <c r="E75" s="70" t="s">
        <v>289</v>
      </c>
      <c r="F75" s="70" t="s">
        <v>291</v>
      </c>
      <c r="G75" s="70" t="s">
        <v>291</v>
      </c>
      <c r="H75" s="70" t="s">
        <v>290</v>
      </c>
      <c r="I75" s="70" t="s">
        <v>291</v>
      </c>
      <c r="J75" s="70" t="s">
        <v>291</v>
      </c>
      <c r="K75" s="70" t="s">
        <v>291</v>
      </c>
      <c r="L75" s="70" t="s">
        <v>291</v>
      </c>
      <c r="M75" s="70" t="s">
        <v>291</v>
      </c>
      <c r="N75" s="70" t="s">
        <v>289</v>
      </c>
      <c r="O75" s="70" t="s">
        <v>289</v>
      </c>
      <c r="P75" s="70" t="s">
        <v>289</v>
      </c>
      <c r="Q75" s="70" t="s">
        <v>289</v>
      </c>
    </row>
    <row r="76" ht="14.25" customHeight="1">
      <c r="A76" s="71" t="str">
        <f>CONCATENATE('6, Entendibilidad y Facilidad'!A8,": ",'6, Entendibilidad y Facilidad'!B8)</f>
        <v>EF.6: Si se usan menús desplegables, orden coherente o alfabético</v>
      </c>
      <c r="B76" s="70" t="s">
        <v>289</v>
      </c>
      <c r="C76" s="70" t="s">
        <v>291</v>
      </c>
      <c r="D76" s="70" t="s">
        <v>289</v>
      </c>
      <c r="E76" s="70" t="s">
        <v>289</v>
      </c>
      <c r="F76" s="70" t="s">
        <v>289</v>
      </c>
      <c r="G76" s="70" t="s">
        <v>291</v>
      </c>
      <c r="H76" s="70" t="s">
        <v>291</v>
      </c>
      <c r="I76" s="70" t="s">
        <v>291</v>
      </c>
      <c r="J76" s="70" t="s">
        <v>291</v>
      </c>
      <c r="K76" s="70" t="s">
        <v>290</v>
      </c>
      <c r="L76" s="70" t="s">
        <v>290</v>
      </c>
      <c r="M76" s="70" t="s">
        <v>290</v>
      </c>
      <c r="N76" s="70" t="s">
        <v>289</v>
      </c>
      <c r="O76" s="70" t="s">
        <v>290</v>
      </c>
      <c r="P76" s="70" t="s">
        <v>289</v>
      </c>
      <c r="Q76" s="70" t="s">
        <v>291</v>
      </c>
    </row>
    <row r="77" ht="14.25" customHeight="1">
      <c r="A77" s="71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70" t="s">
        <v>289</v>
      </c>
      <c r="C77" s="70" t="s">
        <v>291</v>
      </c>
      <c r="D77" s="70" t="s">
        <v>289</v>
      </c>
      <c r="E77" s="70" t="s">
        <v>289</v>
      </c>
      <c r="F77" s="70" t="s">
        <v>291</v>
      </c>
      <c r="G77" s="70" t="s">
        <v>291</v>
      </c>
      <c r="H77" s="70" t="s">
        <v>290</v>
      </c>
      <c r="I77" s="70" t="s">
        <v>291</v>
      </c>
      <c r="J77" s="70" t="s">
        <v>291</v>
      </c>
      <c r="K77" s="70" t="s">
        <v>290</v>
      </c>
      <c r="L77" s="70" t="s">
        <v>291</v>
      </c>
      <c r="M77" s="70" t="s">
        <v>291</v>
      </c>
      <c r="N77" s="70" t="s">
        <v>291</v>
      </c>
      <c r="O77" s="70" t="s">
        <v>291</v>
      </c>
      <c r="P77" s="70" t="s">
        <v>289</v>
      </c>
      <c r="Q77" s="70" t="s">
        <v>289</v>
      </c>
    </row>
    <row r="78" ht="14.2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</row>
    <row r="79" ht="14.25" customHeight="1">
      <c r="A79" s="66" t="s">
        <v>298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</row>
    <row r="80" ht="14.25" customHeight="1">
      <c r="A80" s="67"/>
      <c r="B80" s="68" t="s">
        <v>272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</row>
    <row r="81" ht="14.25" customHeight="1">
      <c r="A81" s="68" t="s">
        <v>35</v>
      </c>
      <c r="B81" s="69" t="str">
        <f t="shared" ref="B81:Q81" si="6">B$3</f>
        <v>Administración Pública / Institucional</v>
      </c>
      <c r="C81" s="69" t="str">
        <f t="shared" si="6"/>
        <v>Banca electrónica</v>
      </c>
      <c r="D81" s="69" t="str">
        <f t="shared" si="6"/>
        <v>Blog</v>
      </c>
      <c r="E81" s="69" t="str">
        <f t="shared" si="6"/>
        <v>Comercio electrónico</v>
      </c>
      <c r="F81" s="69" t="str">
        <f t="shared" si="6"/>
        <v>Comunicación / Noticias</v>
      </c>
      <c r="G81" s="69" t="str">
        <f t="shared" si="6"/>
        <v>Corporativo / Empresa</v>
      </c>
      <c r="H81" s="69" t="str">
        <f t="shared" si="6"/>
        <v>Descargas</v>
      </c>
      <c r="I81" s="69" t="str">
        <f t="shared" si="6"/>
        <v>Educativo / Formativo</v>
      </c>
      <c r="J81" s="69" t="str">
        <f t="shared" si="6"/>
        <v>Entornos colaborativos / Wikis</v>
      </c>
      <c r="K81" s="69" t="str">
        <f t="shared" si="6"/>
        <v>Foros / Chat</v>
      </c>
      <c r="L81" s="69" t="str">
        <f t="shared" si="6"/>
        <v>Ocio / Entretenimiento</v>
      </c>
      <c r="M81" s="69" t="str">
        <f t="shared" si="6"/>
        <v>Personal</v>
      </c>
      <c r="N81" s="69" t="str">
        <f t="shared" si="6"/>
        <v>Portal de Servicios</v>
      </c>
      <c r="O81" s="69" t="str">
        <f t="shared" si="6"/>
        <v>Servicios interactivos basados en imágenes</v>
      </c>
      <c r="P81" s="69" t="str">
        <f t="shared" si="6"/>
        <v>Servicios interactivos no basados en imágenes</v>
      </c>
      <c r="Q81" s="69" t="str">
        <f t="shared" si="6"/>
        <v>Webmail / Correo</v>
      </c>
    </row>
    <row r="82" ht="14.25" customHeight="1">
      <c r="A82" s="71" t="str">
        <f>CONCATENATE('7, Control y Retoalimentación'!A3,": ",'7, Control y Retoalimentación'!B3)</f>
        <v>CR.1: El usuario tiene todo el control sobre la interfaz</v>
      </c>
      <c r="B82" s="70" t="s">
        <v>291</v>
      </c>
      <c r="C82" s="70" t="s">
        <v>290</v>
      </c>
      <c r="D82" s="70" t="s">
        <v>289</v>
      </c>
      <c r="E82" s="70" t="s">
        <v>289</v>
      </c>
      <c r="F82" s="70" t="s">
        <v>290</v>
      </c>
      <c r="G82" s="70" t="s">
        <v>290</v>
      </c>
      <c r="H82" s="70" t="s">
        <v>290</v>
      </c>
      <c r="I82" s="70" t="s">
        <v>291</v>
      </c>
      <c r="J82" s="70" t="s">
        <v>291</v>
      </c>
      <c r="K82" s="70" t="s">
        <v>291</v>
      </c>
      <c r="L82" s="70" t="s">
        <v>291</v>
      </c>
      <c r="M82" s="70" t="s">
        <v>291</v>
      </c>
      <c r="N82" s="70" t="s">
        <v>291</v>
      </c>
      <c r="O82" s="70" t="s">
        <v>289</v>
      </c>
      <c r="P82" s="70" t="s">
        <v>289</v>
      </c>
      <c r="Q82" s="70" t="s">
        <v>289</v>
      </c>
    </row>
    <row r="83" ht="14.25" customHeight="1">
      <c r="A83" s="71" t="str">
        <f>CONCATENATE('7, Control y Retoalimentación'!A4,": ",'7, Control y Retoalimentación'!B4)</f>
        <v>CR.2: Se informa al usuario acerca de lo que está pasando</v>
      </c>
      <c r="B83" s="70" t="s">
        <v>291</v>
      </c>
      <c r="C83" s="70" t="s">
        <v>290</v>
      </c>
      <c r="D83" s="70" t="s">
        <v>289</v>
      </c>
      <c r="E83" s="70" t="s">
        <v>289</v>
      </c>
      <c r="F83" s="70" t="s">
        <v>291</v>
      </c>
      <c r="G83" s="70" t="s">
        <v>290</v>
      </c>
      <c r="H83" s="70" t="s">
        <v>290</v>
      </c>
      <c r="I83" s="70" t="s">
        <v>290</v>
      </c>
      <c r="J83" s="70" t="s">
        <v>290</v>
      </c>
      <c r="K83" s="70" t="s">
        <v>291</v>
      </c>
      <c r="L83" s="70" t="s">
        <v>290</v>
      </c>
      <c r="M83" s="70" t="s">
        <v>290</v>
      </c>
      <c r="N83" s="70" t="s">
        <v>291</v>
      </c>
      <c r="O83" s="70" t="s">
        <v>289</v>
      </c>
      <c r="P83" s="70" t="s">
        <v>289</v>
      </c>
      <c r="Q83" s="70" t="s">
        <v>291</v>
      </c>
    </row>
    <row r="84" ht="14.25" customHeight="1">
      <c r="A84" s="71" t="str">
        <f>CONCATENATE('7, Control y Retoalimentación'!A5,": ",'7, Control y Retoalimentación'!B5)</f>
        <v>CR.3: Se informa al usuario de lo que ha pasado</v>
      </c>
      <c r="B84" s="70" t="s">
        <v>289</v>
      </c>
      <c r="C84" s="70" t="s">
        <v>291</v>
      </c>
      <c r="D84" s="70" t="s">
        <v>289</v>
      </c>
      <c r="E84" s="70" t="s">
        <v>292</v>
      </c>
      <c r="F84" s="70" t="s">
        <v>291</v>
      </c>
      <c r="G84" s="70" t="s">
        <v>290</v>
      </c>
      <c r="H84" s="70" t="s">
        <v>291</v>
      </c>
      <c r="I84" s="70" t="s">
        <v>291</v>
      </c>
      <c r="J84" s="70" t="s">
        <v>291</v>
      </c>
      <c r="K84" s="70" t="s">
        <v>290</v>
      </c>
      <c r="L84" s="70" t="s">
        <v>290</v>
      </c>
      <c r="M84" s="70" t="s">
        <v>290</v>
      </c>
      <c r="N84" s="70" t="s">
        <v>291</v>
      </c>
      <c r="O84" s="70" t="s">
        <v>289</v>
      </c>
      <c r="P84" s="70" t="s">
        <v>291</v>
      </c>
      <c r="Q84" s="70" t="s">
        <v>291</v>
      </c>
    </row>
    <row r="85" ht="14.25" customHeight="1">
      <c r="A85" s="71" t="str">
        <f>CONCATENATE('7, Control y Retoalimentación'!A6,": ",'7, Control y Retoalimentación'!B6)</f>
        <v>CR.4: Existen sistemas de validación antes de que el usuario envíe información para tratar de evitar errores</v>
      </c>
      <c r="B85" s="70" t="s">
        <v>292</v>
      </c>
      <c r="C85" s="70" t="s">
        <v>291</v>
      </c>
      <c r="D85" s="70" t="s">
        <v>289</v>
      </c>
      <c r="E85" s="70" t="s">
        <v>292</v>
      </c>
      <c r="F85" s="70" t="s">
        <v>290</v>
      </c>
      <c r="G85" s="70" t="s">
        <v>289</v>
      </c>
      <c r="H85" s="70" t="s">
        <v>291</v>
      </c>
      <c r="I85" s="70" t="s">
        <v>291</v>
      </c>
      <c r="J85" s="70" t="s">
        <v>291</v>
      </c>
      <c r="K85" s="70" t="s">
        <v>290</v>
      </c>
      <c r="L85" s="70" t="s">
        <v>290</v>
      </c>
      <c r="M85" s="70" t="s">
        <v>291</v>
      </c>
      <c r="N85" s="70" t="s">
        <v>289</v>
      </c>
      <c r="O85" s="70" t="s">
        <v>291</v>
      </c>
      <c r="P85" s="70" t="s">
        <v>289</v>
      </c>
      <c r="Q85" s="70" t="s">
        <v>289</v>
      </c>
    </row>
    <row r="86" ht="14.25" customHeight="1">
      <c r="A86" s="71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70" t="s">
        <v>289</v>
      </c>
      <c r="C86" s="70" t="s">
        <v>290</v>
      </c>
      <c r="D86" s="70" t="s">
        <v>290</v>
      </c>
      <c r="E86" s="70" t="s">
        <v>289</v>
      </c>
      <c r="F86" s="70" t="s">
        <v>290</v>
      </c>
      <c r="G86" s="70" t="s">
        <v>289</v>
      </c>
      <c r="H86" s="70" t="s">
        <v>290</v>
      </c>
      <c r="I86" s="70" t="s">
        <v>290</v>
      </c>
      <c r="J86" s="70" t="s">
        <v>291</v>
      </c>
      <c r="K86" s="70" t="s">
        <v>290</v>
      </c>
      <c r="L86" s="70" t="s">
        <v>290</v>
      </c>
      <c r="M86" s="70" t="s">
        <v>291</v>
      </c>
      <c r="N86" s="70" t="s">
        <v>291</v>
      </c>
      <c r="O86" s="70" t="s">
        <v>291</v>
      </c>
      <c r="P86" s="70" t="s">
        <v>291</v>
      </c>
      <c r="Q86" s="70" t="s">
        <v>289</v>
      </c>
    </row>
    <row r="87" ht="14.25" customHeight="1">
      <c r="A87" s="71" t="str">
        <f>CONCATENATE('7, Control y Retoalimentación'!A8,": ",'7, Control y Retoalimentación'!B8)</f>
        <v>CR.6: Se ha controlado el tiempo de respuesta</v>
      </c>
      <c r="B87" s="70" t="s">
        <v>289</v>
      </c>
      <c r="C87" s="70" t="s">
        <v>292</v>
      </c>
      <c r="D87" s="70" t="s">
        <v>290</v>
      </c>
      <c r="E87" s="70" t="s">
        <v>292</v>
      </c>
      <c r="F87" s="70" t="s">
        <v>291</v>
      </c>
      <c r="G87" s="70" t="s">
        <v>289</v>
      </c>
      <c r="H87" s="70" t="s">
        <v>292</v>
      </c>
      <c r="I87" s="70" t="s">
        <v>290</v>
      </c>
      <c r="J87" s="70" t="s">
        <v>291</v>
      </c>
      <c r="K87" s="70" t="s">
        <v>289</v>
      </c>
      <c r="L87" s="70" t="s">
        <v>289</v>
      </c>
      <c r="M87" s="70" t="s">
        <v>290</v>
      </c>
      <c r="N87" s="70" t="s">
        <v>289</v>
      </c>
      <c r="O87" s="70" t="s">
        <v>292</v>
      </c>
      <c r="P87" s="70" t="s">
        <v>292</v>
      </c>
      <c r="Q87" s="70" t="s">
        <v>289</v>
      </c>
    </row>
    <row r="88" ht="14.25" customHeight="1">
      <c r="A88" s="71" t="str">
        <f>CONCATENATE('7, Control y Retoalimentación'!A9,": ",'7, Control y Retoalimentación'!B9)</f>
        <v>CR.7: Se ha evitado que las ventanas del sitio anulen o se superpongan a la del navegador</v>
      </c>
      <c r="B88" s="70" t="s">
        <v>289</v>
      </c>
      <c r="C88" s="70" t="s">
        <v>291</v>
      </c>
      <c r="D88" s="70" t="s">
        <v>289</v>
      </c>
      <c r="E88" s="70" t="s">
        <v>292</v>
      </c>
      <c r="F88" s="70" t="s">
        <v>291</v>
      </c>
      <c r="G88" s="70" t="s">
        <v>290</v>
      </c>
      <c r="H88" s="70" t="s">
        <v>291</v>
      </c>
      <c r="I88" s="70" t="s">
        <v>291</v>
      </c>
      <c r="J88" s="70" t="s">
        <v>289</v>
      </c>
      <c r="K88" s="70" t="s">
        <v>291</v>
      </c>
      <c r="L88" s="70" t="s">
        <v>291</v>
      </c>
      <c r="M88" s="70" t="s">
        <v>291</v>
      </c>
      <c r="N88" s="70" t="s">
        <v>291</v>
      </c>
      <c r="O88" s="70" t="s">
        <v>289</v>
      </c>
      <c r="P88" s="70" t="s">
        <v>289</v>
      </c>
      <c r="Q88" s="70" t="s">
        <v>289</v>
      </c>
    </row>
    <row r="89" ht="14.25" customHeight="1">
      <c r="A89" s="71" t="str">
        <f>CONCATENATE('7, Control y Retoalimentación'!A10,": ",'7, Control y Retoalimentación'!B10)</f>
        <v>CR.8: Se ha evitado la proliferación de ventanas en la pantalla del usuario</v>
      </c>
      <c r="B89" s="70" t="s">
        <v>289</v>
      </c>
      <c r="C89" s="70" t="s">
        <v>291</v>
      </c>
      <c r="D89" s="70" t="s">
        <v>289</v>
      </c>
      <c r="E89" s="70" t="s">
        <v>289</v>
      </c>
      <c r="F89" s="70" t="s">
        <v>291</v>
      </c>
      <c r="G89" s="70" t="s">
        <v>291</v>
      </c>
      <c r="H89" s="70" t="s">
        <v>290</v>
      </c>
      <c r="I89" s="70" t="s">
        <v>291</v>
      </c>
      <c r="J89" s="70" t="s">
        <v>289</v>
      </c>
      <c r="K89" s="70" t="s">
        <v>291</v>
      </c>
      <c r="L89" s="70" t="s">
        <v>291</v>
      </c>
      <c r="M89" s="70" t="s">
        <v>290</v>
      </c>
      <c r="N89" s="70" t="s">
        <v>291</v>
      </c>
      <c r="O89" s="70" t="s">
        <v>289</v>
      </c>
      <c r="P89" s="70" t="s">
        <v>291</v>
      </c>
      <c r="Q89" s="70" t="s">
        <v>289</v>
      </c>
    </row>
    <row r="90" ht="14.25" customHeight="1">
      <c r="A90" s="71" t="str">
        <f>CONCATENATE('7, Control y Retoalimentación'!A11,": ",'7, Control y Retoalimentación'!B11)</f>
        <v>CR.9: Se ha evitado la descarga por parte del usuario de plugins adicionales</v>
      </c>
      <c r="B90" s="70" t="s">
        <v>289</v>
      </c>
      <c r="C90" s="70" t="s">
        <v>290</v>
      </c>
      <c r="D90" s="70" t="s">
        <v>291</v>
      </c>
      <c r="E90" s="70" t="s">
        <v>292</v>
      </c>
      <c r="F90" s="70" t="s">
        <v>291</v>
      </c>
      <c r="G90" s="70" t="s">
        <v>291</v>
      </c>
      <c r="H90" s="70" t="s">
        <v>290</v>
      </c>
      <c r="I90" s="70" t="s">
        <v>291</v>
      </c>
      <c r="J90" s="70" t="s">
        <v>291</v>
      </c>
      <c r="K90" s="70" t="s">
        <v>290</v>
      </c>
      <c r="L90" s="70" t="s">
        <v>290</v>
      </c>
      <c r="M90" s="70" t="s">
        <v>291</v>
      </c>
      <c r="N90" s="70" t="s">
        <v>291</v>
      </c>
      <c r="O90" s="70" t="s">
        <v>289</v>
      </c>
      <c r="P90" s="70" t="s">
        <v>290</v>
      </c>
      <c r="Q90" s="70" t="s">
        <v>291</v>
      </c>
    </row>
    <row r="91" ht="14.25" customHeight="1">
      <c r="A91" s="71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70" t="s">
        <v>289</v>
      </c>
      <c r="C91" s="70" t="s">
        <v>291</v>
      </c>
      <c r="D91" s="70" t="s">
        <v>290</v>
      </c>
      <c r="E91" s="70" t="s">
        <v>289</v>
      </c>
      <c r="F91" s="70" t="s">
        <v>290</v>
      </c>
      <c r="G91" s="70" t="s">
        <v>291</v>
      </c>
      <c r="H91" s="70" t="s">
        <v>290</v>
      </c>
      <c r="I91" s="70" t="s">
        <v>290</v>
      </c>
      <c r="J91" s="70" t="s">
        <v>291</v>
      </c>
      <c r="K91" s="70" t="s">
        <v>290</v>
      </c>
      <c r="L91" s="70" t="s">
        <v>290</v>
      </c>
      <c r="M91" s="70" t="s">
        <v>290</v>
      </c>
      <c r="N91" s="70" t="s">
        <v>291</v>
      </c>
      <c r="O91" s="70" t="s">
        <v>290</v>
      </c>
      <c r="P91" s="70" t="s">
        <v>291</v>
      </c>
      <c r="Q91" s="70" t="s">
        <v>291</v>
      </c>
    </row>
    <row r="92" ht="14.2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</row>
    <row r="93" ht="14.25" customHeight="1">
      <c r="A93" s="66" t="s">
        <v>299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</row>
    <row r="94" ht="14.25" customHeight="1">
      <c r="A94" s="67"/>
      <c r="B94" s="68" t="s">
        <v>272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</row>
    <row r="95" ht="14.25" customHeight="1">
      <c r="A95" s="68" t="s">
        <v>35</v>
      </c>
      <c r="B95" s="69" t="str">
        <f t="shared" ref="B95:Q95" si="7">B$3</f>
        <v>Administración Pública / Institucional</v>
      </c>
      <c r="C95" s="69" t="str">
        <f t="shared" si="7"/>
        <v>Banca electrónica</v>
      </c>
      <c r="D95" s="69" t="str">
        <f t="shared" si="7"/>
        <v>Blog</v>
      </c>
      <c r="E95" s="69" t="str">
        <f t="shared" si="7"/>
        <v>Comercio electrónico</v>
      </c>
      <c r="F95" s="69" t="str">
        <f t="shared" si="7"/>
        <v>Comunicación / Noticias</v>
      </c>
      <c r="G95" s="69" t="str">
        <f t="shared" si="7"/>
        <v>Corporativo / Empresa</v>
      </c>
      <c r="H95" s="69" t="str">
        <f t="shared" si="7"/>
        <v>Descargas</v>
      </c>
      <c r="I95" s="69" t="str">
        <f t="shared" si="7"/>
        <v>Educativo / Formativo</v>
      </c>
      <c r="J95" s="69" t="str">
        <f t="shared" si="7"/>
        <v>Entornos colaborativos / Wikis</v>
      </c>
      <c r="K95" s="69" t="str">
        <f t="shared" si="7"/>
        <v>Foros / Chat</v>
      </c>
      <c r="L95" s="69" t="str">
        <f t="shared" si="7"/>
        <v>Ocio / Entretenimiento</v>
      </c>
      <c r="M95" s="69" t="str">
        <f t="shared" si="7"/>
        <v>Personal</v>
      </c>
      <c r="N95" s="69" t="str">
        <f t="shared" si="7"/>
        <v>Portal de Servicios</v>
      </c>
      <c r="O95" s="69" t="str">
        <f t="shared" si="7"/>
        <v>Servicios interactivos basados en imágenes</v>
      </c>
      <c r="P95" s="69" t="str">
        <f t="shared" si="7"/>
        <v>Servicios interactivos no basados en imágenes</v>
      </c>
      <c r="Q95" s="69" t="str">
        <f t="shared" si="7"/>
        <v>Webmail / Correo</v>
      </c>
    </row>
    <row r="96" ht="14.25" customHeight="1">
      <c r="A96" s="71" t="str">
        <f>CONCATENATE('8, Elementos multimedia'!A3,": ",'8, Elementos multimedia'!B3)</f>
        <v>EM.1: Fotografías bien recortadas</v>
      </c>
      <c r="B96" s="70" t="s">
        <v>291</v>
      </c>
      <c r="C96" s="70" t="s">
        <v>290</v>
      </c>
      <c r="D96" s="70" t="s">
        <v>290</v>
      </c>
      <c r="E96" s="70" t="s">
        <v>290</v>
      </c>
      <c r="F96" s="70" t="s">
        <v>289</v>
      </c>
      <c r="G96" s="70" t="s">
        <v>289</v>
      </c>
      <c r="H96" s="70" t="s">
        <v>290</v>
      </c>
      <c r="I96" s="70" t="s">
        <v>291</v>
      </c>
      <c r="J96" s="70" t="s">
        <v>290</v>
      </c>
      <c r="K96" s="70" t="s">
        <v>290</v>
      </c>
      <c r="L96" s="70" t="s">
        <v>289</v>
      </c>
      <c r="M96" s="70" t="s">
        <v>290</v>
      </c>
      <c r="N96" s="70" t="s">
        <v>289</v>
      </c>
      <c r="O96" s="70" t="s">
        <v>289</v>
      </c>
      <c r="P96" s="70" t="s">
        <v>291</v>
      </c>
      <c r="Q96" s="70" t="s">
        <v>290</v>
      </c>
    </row>
    <row r="97" ht="14.25" customHeight="1">
      <c r="A97" s="71" t="str">
        <f>CONCATENATE('8, Elementos multimedia'!A4,": ",'8, Elementos multimedia'!B4)</f>
        <v>EM.2: Fotografías comprensibles</v>
      </c>
      <c r="B97" s="70" t="s">
        <v>291</v>
      </c>
      <c r="C97" s="70" t="s">
        <v>290</v>
      </c>
      <c r="D97" s="70" t="s">
        <v>290</v>
      </c>
      <c r="E97" s="70" t="s">
        <v>292</v>
      </c>
      <c r="F97" s="70" t="s">
        <v>289</v>
      </c>
      <c r="G97" s="70" t="s">
        <v>291</v>
      </c>
      <c r="H97" s="70" t="s">
        <v>289</v>
      </c>
      <c r="I97" s="70" t="s">
        <v>289</v>
      </c>
      <c r="J97" s="70" t="s">
        <v>289</v>
      </c>
      <c r="K97" s="70" t="s">
        <v>290</v>
      </c>
      <c r="L97" s="70" t="s">
        <v>289</v>
      </c>
      <c r="M97" s="70" t="s">
        <v>290</v>
      </c>
      <c r="N97" s="70" t="s">
        <v>289</v>
      </c>
      <c r="O97" s="70" t="s">
        <v>292</v>
      </c>
      <c r="P97" s="70" t="s">
        <v>289</v>
      </c>
      <c r="Q97" s="70" t="s">
        <v>291</v>
      </c>
    </row>
    <row r="98" ht="14.25" customHeight="1">
      <c r="A98" s="71" t="str">
        <f>CONCATENATE('8, Elementos multimedia'!A5,": ",'8, Elementos multimedia'!B5)</f>
        <v>EM.3: Fotografías con correcta resolución</v>
      </c>
      <c r="B98" s="70" t="s">
        <v>290</v>
      </c>
      <c r="C98" s="70" t="s">
        <v>290</v>
      </c>
      <c r="D98" s="70" t="s">
        <v>289</v>
      </c>
      <c r="E98" s="70" t="s">
        <v>289</v>
      </c>
      <c r="F98" s="70" t="s">
        <v>289</v>
      </c>
      <c r="G98" s="70" t="s">
        <v>291</v>
      </c>
      <c r="H98" s="70" t="s">
        <v>290</v>
      </c>
      <c r="I98" s="70" t="s">
        <v>291</v>
      </c>
      <c r="J98" s="70" t="s">
        <v>291</v>
      </c>
      <c r="K98" s="70" t="s">
        <v>290</v>
      </c>
      <c r="L98" s="70" t="s">
        <v>289</v>
      </c>
      <c r="M98" s="70" t="s">
        <v>290</v>
      </c>
      <c r="N98" s="70" t="s">
        <v>289</v>
      </c>
      <c r="O98" s="70" t="s">
        <v>289</v>
      </c>
      <c r="P98" s="70" t="s">
        <v>289</v>
      </c>
      <c r="Q98" s="70" t="s">
        <v>291</v>
      </c>
    </row>
    <row r="99" ht="14.25" customHeight="1">
      <c r="A99" s="71" t="str">
        <f>CONCATENATE('8, Elementos multimedia'!A6,": ",'8, Elementos multimedia'!B6)</f>
        <v>EM.4: El uso de imágenes o animaciones proporciona algún tipo de valor añadido</v>
      </c>
      <c r="B99" s="70" t="s">
        <v>291</v>
      </c>
      <c r="C99" s="70" t="s">
        <v>291</v>
      </c>
      <c r="D99" s="70" t="s">
        <v>290</v>
      </c>
      <c r="E99" s="70" t="s">
        <v>291</v>
      </c>
      <c r="F99" s="70" t="s">
        <v>291</v>
      </c>
      <c r="G99" s="70" t="s">
        <v>291</v>
      </c>
      <c r="H99" s="70" t="s">
        <v>291</v>
      </c>
      <c r="I99" s="70" t="s">
        <v>291</v>
      </c>
      <c r="J99" s="70" t="s">
        <v>291</v>
      </c>
      <c r="K99" s="70" t="s">
        <v>290</v>
      </c>
      <c r="L99" s="70" t="s">
        <v>291</v>
      </c>
      <c r="M99" s="70" t="s">
        <v>291</v>
      </c>
      <c r="N99" s="70" t="s">
        <v>291</v>
      </c>
      <c r="O99" s="70" t="s">
        <v>289</v>
      </c>
      <c r="P99" s="70" t="s">
        <v>291</v>
      </c>
      <c r="Q99" s="70" t="s">
        <v>291</v>
      </c>
    </row>
    <row r="100" ht="14.25" customHeight="1">
      <c r="A100" s="71" t="str">
        <f>CONCATENATE('8, Elementos multimedia'!A7,": ",'8, Elementos multimedia'!B7)</f>
        <v>EM.5: Se ha evitado el uso de animaciones cíclicas</v>
      </c>
      <c r="B100" s="70" t="s">
        <v>289</v>
      </c>
      <c r="C100" s="70" t="s">
        <v>290</v>
      </c>
      <c r="D100" s="70" t="s">
        <v>289</v>
      </c>
      <c r="E100" s="70" t="s">
        <v>289</v>
      </c>
      <c r="F100" s="70" t="s">
        <v>291</v>
      </c>
      <c r="G100" s="70" t="s">
        <v>289</v>
      </c>
      <c r="H100" s="70" t="s">
        <v>291</v>
      </c>
      <c r="I100" s="70" t="s">
        <v>291</v>
      </c>
      <c r="J100" s="70" t="s">
        <v>289</v>
      </c>
      <c r="K100" s="70" t="s">
        <v>290</v>
      </c>
      <c r="L100" s="70" t="s">
        <v>290</v>
      </c>
      <c r="M100" s="70" t="s">
        <v>291</v>
      </c>
      <c r="N100" s="70" t="s">
        <v>291</v>
      </c>
      <c r="O100" s="70" t="s">
        <v>289</v>
      </c>
      <c r="P100" s="70" t="s">
        <v>289</v>
      </c>
      <c r="Q100" s="70" t="s">
        <v>289</v>
      </c>
    </row>
    <row r="101" ht="14.25" customHeight="1">
      <c r="A101" s="71" t="str">
        <f>CONCATENATE('8, Elementos multimedia'!A8,": ",'8, Elementos multimedia'!B8)</f>
        <v>EM.6: El uso de sonido proporciona algún tipo de valor añadido</v>
      </c>
      <c r="B101" s="70" t="s">
        <v>290</v>
      </c>
      <c r="C101" s="70" t="s">
        <v>290</v>
      </c>
      <c r="D101" s="70" t="s">
        <v>290</v>
      </c>
      <c r="E101" s="70" t="s">
        <v>290</v>
      </c>
      <c r="F101" s="70" t="s">
        <v>289</v>
      </c>
      <c r="G101" s="70" t="s">
        <v>290</v>
      </c>
      <c r="H101" s="70" t="s">
        <v>290</v>
      </c>
      <c r="I101" s="70" t="s">
        <v>290</v>
      </c>
      <c r="J101" s="70" t="s">
        <v>290</v>
      </c>
      <c r="K101" s="70" t="s">
        <v>290</v>
      </c>
      <c r="L101" s="70" t="s">
        <v>290</v>
      </c>
      <c r="M101" s="70" t="s">
        <v>290</v>
      </c>
      <c r="N101" s="70" t="s">
        <v>290</v>
      </c>
      <c r="O101" s="70" t="s">
        <v>290</v>
      </c>
      <c r="P101" s="70" t="s">
        <v>290</v>
      </c>
      <c r="Q101" s="70" t="s">
        <v>290</v>
      </c>
    </row>
    <row r="102" ht="14.2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</row>
    <row r="103" ht="14.25" customHeight="1">
      <c r="A103" s="66" t="s">
        <v>300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</row>
    <row r="104" ht="14.25" customHeight="1">
      <c r="A104" s="67"/>
      <c r="B104" s="68" t="s">
        <v>272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ht="14.25" customHeight="1">
      <c r="A105" s="68" t="s">
        <v>35</v>
      </c>
      <c r="B105" s="69" t="str">
        <f t="shared" ref="B105:Q105" si="8">B$3</f>
        <v>Administración Pública / Institucional</v>
      </c>
      <c r="C105" s="69" t="str">
        <f t="shared" si="8"/>
        <v>Banca electrónica</v>
      </c>
      <c r="D105" s="69" t="str">
        <f t="shared" si="8"/>
        <v>Blog</v>
      </c>
      <c r="E105" s="69" t="str">
        <f t="shared" si="8"/>
        <v>Comercio electrónico</v>
      </c>
      <c r="F105" s="69" t="str">
        <f t="shared" si="8"/>
        <v>Comunicación / Noticias</v>
      </c>
      <c r="G105" s="69" t="str">
        <f t="shared" si="8"/>
        <v>Corporativo / Empresa</v>
      </c>
      <c r="H105" s="69" t="str">
        <f t="shared" si="8"/>
        <v>Descargas</v>
      </c>
      <c r="I105" s="69" t="str">
        <f t="shared" si="8"/>
        <v>Educativo / Formativo</v>
      </c>
      <c r="J105" s="69" t="str">
        <f t="shared" si="8"/>
        <v>Entornos colaborativos / Wikis</v>
      </c>
      <c r="K105" s="69" t="str">
        <f t="shared" si="8"/>
        <v>Foros / Chat</v>
      </c>
      <c r="L105" s="69" t="str">
        <f t="shared" si="8"/>
        <v>Ocio / Entretenimiento</v>
      </c>
      <c r="M105" s="69" t="str">
        <f t="shared" si="8"/>
        <v>Personal</v>
      </c>
      <c r="N105" s="69" t="str">
        <f t="shared" si="8"/>
        <v>Portal de Servicios</v>
      </c>
      <c r="O105" s="69" t="str">
        <f t="shared" si="8"/>
        <v>Servicios interactivos basados en imágenes</v>
      </c>
      <c r="P105" s="69" t="str">
        <f t="shared" si="8"/>
        <v>Servicios interactivos no basados en imágenes</v>
      </c>
      <c r="Q105" s="69" t="str">
        <f t="shared" si="8"/>
        <v>Webmail / Correo</v>
      </c>
    </row>
    <row r="106" ht="14.25" customHeight="1">
      <c r="A106" s="71" t="str">
        <f>CONCATENATE('9, Búsqueda'!A3,": ",'9, Búsqueda'!B3)</f>
        <v>BU.1: La búsqueda, si  es necesaria, se encuentra accesible desde todas las páginas del sitio</v>
      </c>
      <c r="B106" s="70" t="s">
        <v>292</v>
      </c>
      <c r="C106" s="70" t="s">
        <v>289</v>
      </c>
      <c r="D106" s="70" t="s">
        <v>290</v>
      </c>
      <c r="E106" s="70" t="s">
        <v>292</v>
      </c>
      <c r="F106" s="70" t="s">
        <v>289</v>
      </c>
      <c r="G106" s="70" t="s">
        <v>290</v>
      </c>
      <c r="H106" s="70" t="s">
        <v>291</v>
      </c>
      <c r="I106" s="70" t="s">
        <v>289</v>
      </c>
      <c r="J106" s="70" t="s">
        <v>289</v>
      </c>
      <c r="K106" s="70" t="s">
        <v>290</v>
      </c>
      <c r="L106" s="70" t="s">
        <v>291</v>
      </c>
      <c r="M106" s="70" t="s">
        <v>290</v>
      </c>
      <c r="N106" s="70" t="s">
        <v>290</v>
      </c>
      <c r="O106" s="70" t="s">
        <v>289</v>
      </c>
      <c r="P106" s="70" t="s">
        <v>289</v>
      </c>
      <c r="Q106" s="70" t="s">
        <v>289</v>
      </c>
    </row>
    <row r="107" ht="14.25" customHeight="1">
      <c r="A107" s="71" t="str">
        <f>CONCATENATE('9, Búsqueda'!A4,": ",'9, Búsqueda'!B4)</f>
        <v>BU.2: Es fácilmente reconocible como tal</v>
      </c>
      <c r="B107" s="70" t="s">
        <v>289</v>
      </c>
      <c r="C107" s="70" t="s">
        <v>290</v>
      </c>
      <c r="D107" s="70" t="s">
        <v>289</v>
      </c>
      <c r="E107" s="70" t="s">
        <v>289</v>
      </c>
      <c r="F107" s="70" t="s">
        <v>291</v>
      </c>
      <c r="G107" s="70" t="s">
        <v>289</v>
      </c>
      <c r="H107" s="70" t="s">
        <v>291</v>
      </c>
      <c r="I107" s="70" t="s">
        <v>291</v>
      </c>
      <c r="J107" s="70" t="s">
        <v>291</v>
      </c>
      <c r="K107" s="70" t="s">
        <v>291</v>
      </c>
      <c r="L107" s="70" t="s">
        <v>291</v>
      </c>
      <c r="M107" s="70" t="s">
        <v>291</v>
      </c>
      <c r="N107" s="70" t="s">
        <v>289</v>
      </c>
      <c r="O107" s="70" t="s">
        <v>289</v>
      </c>
      <c r="P107" s="70" t="s">
        <v>289</v>
      </c>
      <c r="Q107" s="70" t="s">
        <v>289</v>
      </c>
    </row>
    <row r="108" ht="14.25" customHeight="1">
      <c r="A108" s="71" t="str">
        <f>CONCATENATE('9, Búsqueda'!A5,": ",'9, Búsqueda'!B5)</f>
        <v>BU.3: Se encuentra fácilmente accesible</v>
      </c>
      <c r="B108" s="70" t="s">
        <v>289</v>
      </c>
      <c r="C108" s="70" t="s">
        <v>291</v>
      </c>
      <c r="D108" s="70" t="s">
        <v>289</v>
      </c>
      <c r="E108" s="70" t="s">
        <v>289</v>
      </c>
      <c r="F108" s="70" t="s">
        <v>289</v>
      </c>
      <c r="G108" s="70" t="s">
        <v>291</v>
      </c>
      <c r="H108" s="70" t="s">
        <v>289</v>
      </c>
      <c r="I108" s="70" t="s">
        <v>291</v>
      </c>
      <c r="J108" s="70" t="s">
        <v>291</v>
      </c>
      <c r="K108" s="70" t="s">
        <v>290</v>
      </c>
      <c r="L108" s="70" t="s">
        <v>291</v>
      </c>
      <c r="M108" s="70" t="s">
        <v>290</v>
      </c>
      <c r="N108" s="70" t="s">
        <v>289</v>
      </c>
      <c r="O108" s="70" t="s">
        <v>291</v>
      </c>
      <c r="P108" s="70" t="s">
        <v>291</v>
      </c>
      <c r="Q108" s="70" t="s">
        <v>291</v>
      </c>
    </row>
    <row r="109" ht="14.25" customHeight="1">
      <c r="A109" s="71" t="str">
        <f>CONCATENATE('9, Búsqueda'!A6,": ",'9, Búsqueda'!B6)</f>
        <v>BU.4: La caja de texto es lo suficientemente ancha</v>
      </c>
      <c r="B109" s="70" t="s">
        <v>289</v>
      </c>
      <c r="C109" s="70" t="s">
        <v>290</v>
      </c>
      <c r="D109" s="70" t="s">
        <v>291</v>
      </c>
      <c r="E109" s="70" t="s">
        <v>289</v>
      </c>
      <c r="F109" s="70" t="s">
        <v>291</v>
      </c>
      <c r="G109" s="70" t="s">
        <v>291</v>
      </c>
      <c r="H109" s="70" t="s">
        <v>291</v>
      </c>
      <c r="I109" s="70" t="s">
        <v>289</v>
      </c>
      <c r="J109" s="70" t="s">
        <v>291</v>
      </c>
      <c r="K109" s="70" t="s">
        <v>289</v>
      </c>
      <c r="L109" s="70" t="s">
        <v>290</v>
      </c>
      <c r="M109" s="70" t="s">
        <v>290</v>
      </c>
      <c r="N109" s="70" t="s">
        <v>289</v>
      </c>
      <c r="O109" s="70" t="s">
        <v>289</v>
      </c>
      <c r="P109" s="70" t="s">
        <v>289</v>
      </c>
      <c r="Q109" s="70" t="s">
        <v>289</v>
      </c>
    </row>
    <row r="110" ht="14.25" customHeight="1">
      <c r="A110" s="71" t="str">
        <f>CONCATENATE('9, Búsqueda'!A7,": ",'9, Búsqueda'!B7)</f>
        <v>BU.5: Sistema de búsqueda simple y claro</v>
      </c>
      <c r="B110" s="70" t="s">
        <v>292</v>
      </c>
      <c r="C110" s="70" t="s">
        <v>292</v>
      </c>
      <c r="D110" s="70" t="s">
        <v>290</v>
      </c>
      <c r="E110" s="70" t="s">
        <v>292</v>
      </c>
      <c r="F110" s="70" t="s">
        <v>292</v>
      </c>
      <c r="G110" s="70" t="s">
        <v>290</v>
      </c>
      <c r="H110" s="70" t="s">
        <v>289</v>
      </c>
      <c r="I110" s="70" t="s">
        <v>292</v>
      </c>
      <c r="J110" s="70" t="s">
        <v>289</v>
      </c>
      <c r="K110" s="70" t="s">
        <v>290</v>
      </c>
      <c r="L110" s="70" t="s">
        <v>289</v>
      </c>
      <c r="M110" s="70" t="s">
        <v>291</v>
      </c>
      <c r="N110" s="70" t="s">
        <v>290</v>
      </c>
      <c r="O110" s="70" t="s">
        <v>289</v>
      </c>
      <c r="P110" s="70" t="s">
        <v>289</v>
      </c>
      <c r="Q110" s="70" t="s">
        <v>289</v>
      </c>
    </row>
    <row r="111" ht="14.25" customHeight="1">
      <c r="A111" s="71" t="str">
        <f>CONCATENATE('9, Búsqueda'!A8,": ",'9, Búsqueda'!B8)</f>
        <v>BU.6: Permite la búsqueda avanzada</v>
      </c>
      <c r="B111" s="70" t="s">
        <v>289</v>
      </c>
      <c r="C111" s="70" t="s">
        <v>290</v>
      </c>
      <c r="D111" s="70" t="s">
        <v>291</v>
      </c>
      <c r="E111" s="70" t="s">
        <v>289</v>
      </c>
      <c r="F111" s="70" t="s">
        <v>289</v>
      </c>
      <c r="G111" s="70" t="s">
        <v>291</v>
      </c>
      <c r="H111" s="70" t="s">
        <v>289</v>
      </c>
      <c r="I111" s="70" t="s">
        <v>291</v>
      </c>
      <c r="J111" s="70" t="s">
        <v>291</v>
      </c>
      <c r="K111" s="70" t="s">
        <v>289</v>
      </c>
      <c r="L111" s="70" t="s">
        <v>291</v>
      </c>
      <c r="M111" s="70" t="s">
        <v>290</v>
      </c>
      <c r="N111" s="70" t="s">
        <v>289</v>
      </c>
      <c r="O111" s="70" t="s">
        <v>291</v>
      </c>
      <c r="P111" s="70" t="s">
        <v>291</v>
      </c>
      <c r="Q111" s="70" t="s">
        <v>291</v>
      </c>
    </row>
    <row r="112" ht="14.25" customHeight="1">
      <c r="A112" s="71" t="str">
        <f>CONCATENATE('9, Búsqueda'!A9,": ",'9, Búsqueda'!B9)</f>
        <v>BU.7: Muestra los resultados de la búsqueda de forma comprensible para el usuario</v>
      </c>
      <c r="B112" s="70" t="s">
        <v>289</v>
      </c>
      <c r="C112" s="70" t="s">
        <v>291</v>
      </c>
      <c r="D112" s="70" t="s">
        <v>289</v>
      </c>
      <c r="E112" s="70" t="s">
        <v>289</v>
      </c>
      <c r="F112" s="70" t="s">
        <v>289</v>
      </c>
      <c r="G112" s="70" t="s">
        <v>291</v>
      </c>
      <c r="H112" s="70" t="s">
        <v>289</v>
      </c>
      <c r="I112" s="70" t="s">
        <v>289</v>
      </c>
      <c r="J112" s="70" t="s">
        <v>289</v>
      </c>
      <c r="K112" s="70" t="s">
        <v>291</v>
      </c>
      <c r="L112" s="70" t="s">
        <v>291</v>
      </c>
      <c r="M112" s="70" t="s">
        <v>291</v>
      </c>
      <c r="N112" s="70" t="s">
        <v>289</v>
      </c>
      <c r="O112" s="70" t="s">
        <v>289</v>
      </c>
      <c r="P112" s="70" t="s">
        <v>289</v>
      </c>
      <c r="Q112" s="70" t="s">
        <v>289</v>
      </c>
    </row>
    <row r="113" ht="14.25" customHeight="1">
      <c r="A113" s="71" t="str">
        <f>CONCATENATE('9, Búsqueda'!A10,": ",'9, Búsqueda'!B10)</f>
        <v>BU.8: Asiste al usuario en caso de no poder ofrecer resultados para una consulta dada</v>
      </c>
      <c r="B113" s="70" t="s">
        <v>291</v>
      </c>
      <c r="C113" s="70" t="s">
        <v>290</v>
      </c>
      <c r="D113" s="70" t="s">
        <v>289</v>
      </c>
      <c r="E113" s="70" t="s">
        <v>289</v>
      </c>
      <c r="F113" s="70" t="s">
        <v>291</v>
      </c>
      <c r="G113" s="70" t="s">
        <v>291</v>
      </c>
      <c r="H113" s="70" t="s">
        <v>291</v>
      </c>
      <c r="I113" s="70" t="s">
        <v>289</v>
      </c>
      <c r="J113" s="70" t="s">
        <v>291</v>
      </c>
      <c r="K113" s="70" t="s">
        <v>291</v>
      </c>
      <c r="L113" s="70" t="s">
        <v>290</v>
      </c>
      <c r="M113" s="70" t="s">
        <v>290</v>
      </c>
      <c r="N113" s="70" t="s">
        <v>291</v>
      </c>
      <c r="O113" s="70" t="s">
        <v>291</v>
      </c>
      <c r="P113" s="70" t="s">
        <v>291</v>
      </c>
      <c r="Q113" s="70" t="s">
        <v>291</v>
      </c>
    </row>
    <row r="114" ht="14.2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</row>
    <row r="115" ht="14.25" customHeight="1">
      <c r="A115" s="66" t="s">
        <v>301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</row>
    <row r="116" ht="14.25" customHeight="1">
      <c r="A116" s="67"/>
      <c r="B116" s="68" t="s">
        <v>272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</row>
    <row r="117" ht="14.25" customHeight="1">
      <c r="A117" s="68" t="s">
        <v>35</v>
      </c>
      <c r="B117" s="69" t="str">
        <f t="shared" ref="B117:Q117" si="9">B$3</f>
        <v>Administración Pública / Institucional</v>
      </c>
      <c r="C117" s="69" t="str">
        <f t="shared" si="9"/>
        <v>Banca electrónica</v>
      </c>
      <c r="D117" s="69" t="str">
        <f t="shared" si="9"/>
        <v>Blog</v>
      </c>
      <c r="E117" s="69" t="str">
        <f t="shared" si="9"/>
        <v>Comercio electrónico</v>
      </c>
      <c r="F117" s="69" t="str">
        <f t="shared" si="9"/>
        <v>Comunicación / Noticias</v>
      </c>
      <c r="G117" s="69" t="str">
        <f t="shared" si="9"/>
        <v>Corporativo / Empresa</v>
      </c>
      <c r="H117" s="69" t="str">
        <f t="shared" si="9"/>
        <v>Descargas</v>
      </c>
      <c r="I117" s="69" t="str">
        <f t="shared" si="9"/>
        <v>Educativo / Formativo</v>
      </c>
      <c r="J117" s="69" t="str">
        <f t="shared" si="9"/>
        <v>Entornos colaborativos / Wikis</v>
      </c>
      <c r="K117" s="69" t="str">
        <f t="shared" si="9"/>
        <v>Foros / Chat</v>
      </c>
      <c r="L117" s="69" t="str">
        <f t="shared" si="9"/>
        <v>Ocio / Entretenimiento</v>
      </c>
      <c r="M117" s="69" t="str">
        <f t="shared" si="9"/>
        <v>Personal</v>
      </c>
      <c r="N117" s="69" t="str">
        <f t="shared" si="9"/>
        <v>Portal de Servicios</v>
      </c>
      <c r="O117" s="69" t="str">
        <f t="shared" si="9"/>
        <v>Servicios interactivos basados en imágenes</v>
      </c>
      <c r="P117" s="69" t="str">
        <f t="shared" si="9"/>
        <v>Servicios interactivos no basados en imágenes</v>
      </c>
      <c r="Q117" s="69" t="str">
        <f t="shared" si="9"/>
        <v>Webmail / Correo</v>
      </c>
    </row>
    <row r="118" ht="14.25" customHeight="1">
      <c r="A118" s="71" t="str">
        <f>CONCATENATE('10, Ayuda'!A3,": ",'10, Ayuda'!B3)</f>
        <v>AY.1: El enlace a la sección de Ayuda está colocado en una zona visible y estándar</v>
      </c>
      <c r="B118" s="70" t="s">
        <v>289</v>
      </c>
      <c r="C118" s="70" t="s">
        <v>290</v>
      </c>
      <c r="D118" s="70" t="s">
        <v>289</v>
      </c>
      <c r="E118" s="70" t="s">
        <v>289</v>
      </c>
      <c r="F118" s="70" t="s">
        <v>290</v>
      </c>
      <c r="G118" s="70" t="s">
        <v>290</v>
      </c>
      <c r="H118" s="70" t="s">
        <v>290</v>
      </c>
      <c r="I118" s="70" t="s">
        <v>291</v>
      </c>
      <c r="J118" s="70" t="s">
        <v>291</v>
      </c>
      <c r="K118" s="70" t="s">
        <v>291</v>
      </c>
      <c r="L118" s="70" t="s">
        <v>290</v>
      </c>
      <c r="M118" s="70" t="s">
        <v>290</v>
      </c>
      <c r="N118" s="70" t="s">
        <v>290</v>
      </c>
      <c r="O118" s="70" t="s">
        <v>289</v>
      </c>
      <c r="P118" s="70" t="s">
        <v>289</v>
      </c>
      <c r="Q118" s="70" t="s">
        <v>291</v>
      </c>
    </row>
    <row r="119" ht="14.25" customHeight="1">
      <c r="A119" s="71" t="str">
        <f>CONCATENATE('10, Ayuda'!A4,": ",'10, Ayuda'!B4)</f>
        <v>AY.2: Fácil acceso y retorno al/del sistema de ayuda</v>
      </c>
      <c r="B119" s="70" t="s">
        <v>291</v>
      </c>
      <c r="C119" s="70" t="s">
        <v>290</v>
      </c>
      <c r="D119" s="70" t="s">
        <v>289</v>
      </c>
      <c r="E119" s="70" t="s">
        <v>291</v>
      </c>
      <c r="F119" s="70" t="s">
        <v>290</v>
      </c>
      <c r="G119" s="70" t="s">
        <v>290</v>
      </c>
      <c r="H119" s="70" t="s">
        <v>290</v>
      </c>
      <c r="I119" s="70" t="s">
        <v>291</v>
      </c>
      <c r="J119" s="70" t="s">
        <v>291</v>
      </c>
      <c r="K119" s="70" t="s">
        <v>290</v>
      </c>
      <c r="L119" s="70" t="s">
        <v>290</v>
      </c>
      <c r="M119" s="70" t="s">
        <v>290</v>
      </c>
      <c r="N119" s="70" t="s">
        <v>290</v>
      </c>
      <c r="O119" s="70" t="s">
        <v>291</v>
      </c>
      <c r="P119" s="70" t="s">
        <v>291</v>
      </c>
      <c r="Q119" s="70" t="s">
        <v>291</v>
      </c>
    </row>
    <row r="120" ht="14.25" customHeight="1">
      <c r="A120" s="71" t="str">
        <f>CONCATENATE('10, Ayuda'!A5,": ",'10, Ayuda'!B5)</f>
        <v>AY.3: Se ofrece ayuda contextual en tareas complejas</v>
      </c>
      <c r="B120" s="70" t="s">
        <v>289</v>
      </c>
      <c r="C120" s="70" t="s">
        <v>290</v>
      </c>
      <c r="D120" s="70" t="s">
        <v>292</v>
      </c>
      <c r="E120" s="70" t="s">
        <v>289</v>
      </c>
      <c r="F120" s="70" t="s">
        <v>290</v>
      </c>
      <c r="G120" s="70" t="s">
        <v>291</v>
      </c>
      <c r="H120" s="70" t="s">
        <v>291</v>
      </c>
      <c r="I120" s="70" t="s">
        <v>291</v>
      </c>
      <c r="J120" s="70" t="s">
        <v>291</v>
      </c>
      <c r="K120" s="70" t="s">
        <v>290</v>
      </c>
      <c r="L120" s="70" t="s">
        <v>290</v>
      </c>
      <c r="M120" s="70" t="s">
        <v>290</v>
      </c>
      <c r="N120" s="70" t="s">
        <v>291</v>
      </c>
      <c r="O120" s="70" t="s">
        <v>291</v>
      </c>
      <c r="P120" s="70" t="s">
        <v>291</v>
      </c>
      <c r="Q120" s="70" t="s">
        <v>291</v>
      </c>
    </row>
    <row r="121" ht="14.25" customHeight="1">
      <c r="A121" s="71" t="str">
        <f>CONCATENATE('10, Ayuda'!A6,": ",'10, Ayuda'!B6)</f>
        <v>AY.4: FAQs (si las hay) correcta la elección como la redacción de las preguntas</v>
      </c>
      <c r="B121" s="70" t="s">
        <v>289</v>
      </c>
      <c r="C121" s="70" t="s">
        <v>290</v>
      </c>
      <c r="D121" s="70" t="s">
        <v>289</v>
      </c>
      <c r="E121" s="70" t="s">
        <v>289</v>
      </c>
      <c r="F121" s="70" t="s">
        <v>290</v>
      </c>
      <c r="G121" s="70" t="s">
        <v>291</v>
      </c>
      <c r="H121" s="70" t="s">
        <v>291</v>
      </c>
      <c r="I121" s="70" t="s">
        <v>291</v>
      </c>
      <c r="J121" s="70" t="s">
        <v>291</v>
      </c>
      <c r="K121" s="70" t="s">
        <v>291</v>
      </c>
      <c r="L121" s="70" t="s">
        <v>290</v>
      </c>
      <c r="M121" s="70" t="s">
        <v>290</v>
      </c>
      <c r="N121" s="70" t="s">
        <v>291</v>
      </c>
      <c r="O121" s="70" t="s">
        <v>289</v>
      </c>
      <c r="P121" s="70" t="s">
        <v>291</v>
      </c>
      <c r="Q121" s="70" t="s">
        <v>291</v>
      </c>
    </row>
    <row r="122" ht="14.25" customHeight="1">
      <c r="A122" s="71" t="str">
        <f>CONCATENATE('10, Ayuda'!A7,": ",'10, Ayuda'!B7)</f>
        <v>AY.5: FAQs (si las hay) correcta la redacción de las respuestas</v>
      </c>
      <c r="B122" s="70" t="s">
        <v>289</v>
      </c>
      <c r="C122" s="70" t="s">
        <v>290</v>
      </c>
      <c r="D122" s="70" t="s">
        <v>289</v>
      </c>
      <c r="E122" s="70" t="s">
        <v>289</v>
      </c>
      <c r="F122" s="70" t="s">
        <v>290</v>
      </c>
      <c r="G122" s="70" t="s">
        <v>291</v>
      </c>
      <c r="H122" s="70" t="s">
        <v>291</v>
      </c>
      <c r="I122" s="70" t="s">
        <v>291</v>
      </c>
      <c r="J122" s="70" t="s">
        <v>291</v>
      </c>
      <c r="K122" s="70" t="s">
        <v>291</v>
      </c>
      <c r="L122" s="70" t="s">
        <v>290</v>
      </c>
      <c r="M122" s="70" t="s">
        <v>290</v>
      </c>
      <c r="N122" s="70" t="s">
        <v>291</v>
      </c>
      <c r="O122" s="70" t="s">
        <v>289</v>
      </c>
      <c r="P122" s="70" t="s">
        <v>291</v>
      </c>
      <c r="Q122" s="70" t="s">
        <v>291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0.71"/>
    <col customWidth="1" min="3" max="3" width="10.86"/>
    <col customWidth="1" min="4" max="26" width="10.71"/>
  </cols>
  <sheetData>
    <row r="1" ht="14.25" customHeight="1"/>
    <row r="2" ht="14.25" customHeight="1"/>
    <row r="3" ht="14.25" customHeight="1">
      <c r="A3" s="29" t="s">
        <v>302</v>
      </c>
      <c r="C3" s="26" t="s">
        <v>303</v>
      </c>
    </row>
    <row r="4" ht="14.25" customHeight="1"/>
    <row r="5" ht="14.25" customHeight="1">
      <c r="A5" s="65">
        <v>0.0</v>
      </c>
      <c r="C5" s="26" t="s">
        <v>95</v>
      </c>
      <c r="E5" s="26" t="s">
        <v>273</v>
      </c>
      <c r="J5" s="26" t="s">
        <v>292</v>
      </c>
      <c r="K5" s="26">
        <v>8.0</v>
      </c>
      <c r="M5" s="65" t="s">
        <v>95</v>
      </c>
      <c r="N5" s="65">
        <v>0.0</v>
      </c>
    </row>
    <row r="6" ht="14.25" customHeight="1">
      <c r="A6" s="65">
        <v>1.0</v>
      </c>
      <c r="C6" s="26" t="s">
        <v>72</v>
      </c>
      <c r="E6" s="26" t="s">
        <v>274</v>
      </c>
      <c r="J6" s="26" t="s">
        <v>289</v>
      </c>
      <c r="K6" s="26">
        <v>4.0</v>
      </c>
      <c r="M6" s="65" t="s">
        <v>72</v>
      </c>
      <c r="N6" s="65">
        <v>2.5</v>
      </c>
    </row>
    <row r="7" ht="14.25" customHeight="1">
      <c r="A7" s="65">
        <v>2.0</v>
      </c>
      <c r="C7" s="26" t="s">
        <v>304</v>
      </c>
      <c r="E7" s="26" t="s">
        <v>275</v>
      </c>
      <c r="J7" s="26" t="s">
        <v>291</v>
      </c>
      <c r="K7" s="26">
        <v>2.0</v>
      </c>
      <c r="M7" s="65" t="s">
        <v>304</v>
      </c>
      <c r="N7" s="65">
        <v>5.0</v>
      </c>
    </row>
    <row r="8" ht="14.25" customHeight="1">
      <c r="A8" s="65">
        <v>3.0</v>
      </c>
      <c r="C8" s="26" t="s">
        <v>79</v>
      </c>
      <c r="E8" s="26" t="s">
        <v>276</v>
      </c>
      <c r="J8" s="26" t="s">
        <v>290</v>
      </c>
      <c r="K8" s="26">
        <v>1.0</v>
      </c>
      <c r="M8" s="65" t="s">
        <v>79</v>
      </c>
      <c r="N8" s="65">
        <v>7.5</v>
      </c>
    </row>
    <row r="9" ht="14.25" customHeight="1">
      <c r="A9" s="65">
        <v>4.0</v>
      </c>
      <c r="C9" s="26" t="s">
        <v>58</v>
      </c>
      <c r="E9" s="26" t="s">
        <v>277</v>
      </c>
      <c r="M9" s="65" t="s">
        <v>58</v>
      </c>
      <c r="N9" s="65">
        <v>10.0</v>
      </c>
    </row>
    <row r="10" ht="14.25" customHeight="1">
      <c r="A10" s="65">
        <v>5.0</v>
      </c>
      <c r="C10" s="26" t="s">
        <v>63</v>
      </c>
      <c r="E10" s="26" t="s">
        <v>17</v>
      </c>
      <c r="M10" s="65">
        <v>0.0</v>
      </c>
      <c r="N10" s="65">
        <v>0.0</v>
      </c>
    </row>
    <row r="11" ht="14.25" customHeight="1">
      <c r="A11" s="65">
        <v>6.0</v>
      </c>
      <c r="E11" s="26" t="s">
        <v>279</v>
      </c>
      <c r="M11" s="65">
        <v>1.0</v>
      </c>
      <c r="N11" s="65">
        <v>1.0</v>
      </c>
    </row>
    <row r="12" ht="14.25" customHeight="1">
      <c r="A12" s="65">
        <v>7.0</v>
      </c>
      <c r="E12" s="26" t="s">
        <v>280</v>
      </c>
      <c r="M12" s="65">
        <v>2.0</v>
      </c>
      <c r="N12" s="65">
        <v>2.0</v>
      </c>
    </row>
    <row r="13" ht="14.25" customHeight="1">
      <c r="A13" s="65">
        <v>8.0</v>
      </c>
      <c r="E13" s="26" t="s">
        <v>281</v>
      </c>
      <c r="M13" s="65">
        <v>3.0</v>
      </c>
      <c r="N13" s="65">
        <v>3.0</v>
      </c>
    </row>
    <row r="14" ht="14.25" customHeight="1">
      <c r="A14" s="65">
        <v>9.0</v>
      </c>
      <c r="E14" s="26" t="s">
        <v>282</v>
      </c>
      <c r="M14" s="65">
        <v>4.0</v>
      </c>
      <c r="N14" s="65">
        <v>4.0</v>
      </c>
    </row>
    <row r="15" ht="14.25" customHeight="1">
      <c r="A15" s="65">
        <v>10.0</v>
      </c>
      <c r="E15" s="26" t="s">
        <v>283</v>
      </c>
      <c r="M15" s="65">
        <v>5.0</v>
      </c>
      <c r="N15" s="65">
        <v>5.0</v>
      </c>
    </row>
    <row r="16" ht="14.25" customHeight="1">
      <c r="A16" s="65" t="s">
        <v>63</v>
      </c>
      <c r="E16" s="26" t="s">
        <v>284</v>
      </c>
      <c r="M16" s="65">
        <v>6.0</v>
      </c>
      <c r="N16" s="65">
        <v>6.0</v>
      </c>
    </row>
    <row r="17" ht="14.25" customHeight="1">
      <c r="E17" s="26" t="s">
        <v>285</v>
      </c>
      <c r="M17" s="65">
        <v>7.0</v>
      </c>
      <c r="N17" s="65">
        <v>7.0</v>
      </c>
    </row>
    <row r="18" ht="14.25" customHeight="1">
      <c r="E18" s="26" t="s">
        <v>286</v>
      </c>
      <c r="M18" s="65">
        <v>8.0</v>
      </c>
      <c r="N18" s="65">
        <v>8.0</v>
      </c>
    </row>
    <row r="19" ht="14.25" customHeight="1">
      <c r="E19" s="26" t="s">
        <v>287</v>
      </c>
      <c r="M19" s="65">
        <v>9.0</v>
      </c>
      <c r="N19" s="65">
        <v>9.0</v>
      </c>
    </row>
    <row r="20" ht="14.25" customHeight="1">
      <c r="E20" s="26" t="s">
        <v>288</v>
      </c>
      <c r="M20" s="65">
        <v>10.0</v>
      </c>
      <c r="N20" s="65">
        <v>10.0</v>
      </c>
    </row>
    <row r="21" ht="14.25" customHeight="1">
      <c r="M21" s="65" t="s">
        <v>63</v>
      </c>
      <c r="N21" s="65">
        <v>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43"/>
    <col customWidth="1" min="3" max="3" width="12.0"/>
    <col customWidth="1" min="4" max="4" width="13.43"/>
    <col customWidth="1" min="5" max="5" width="34.14"/>
    <col customWidth="1" min="6" max="6" width="18.14"/>
    <col customWidth="1" min="7" max="7" width="29.0"/>
    <col customWidth="1" min="8" max="10" width="23.57"/>
    <col customWidth="1" min="11" max="11" width="25.0"/>
    <col customWidth="1" min="12" max="12" width="5.57"/>
    <col customWidth="1" min="13" max="26" width="10.71"/>
  </cols>
  <sheetData>
    <row r="1" ht="36.75" customHeight="1">
      <c r="A1" s="15" t="s">
        <v>33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M2" s="18"/>
    </row>
    <row r="3" ht="14.25" customHeight="1">
      <c r="A3" s="19" t="s">
        <v>44</v>
      </c>
      <c r="B3" s="19" t="s">
        <v>45</v>
      </c>
      <c r="C3" s="20">
        <v>10.0</v>
      </c>
      <c r="D3" s="21" t="str">
        <f>IF(OR(TipoDeSitio="",C3="NA"),"",VLOOKUP(CONCATENATE(A3,": ",B3),Tabla621,MATCH(TipoDeSitio,Tipos,0)+1,0))</f>
        <v>MA</v>
      </c>
      <c r="E3" s="19"/>
      <c r="F3" s="22">
        <f>IF(C3="","",VLOOKUP(C3,ValoresVC,2,0))</f>
        <v>10</v>
      </c>
      <c r="G3" s="22">
        <f>IF(D3="","",VLOOKUP($D3,ValoresRC,2,0))</f>
        <v>4</v>
      </c>
      <c r="H3" s="23">
        <f>IF(OR(G3="",G3=0,'Cálculo de % usabilidad'!$F$5=0),"",G3/'Cálculo de % usabilidad'!$F$5)</f>
        <v>0.0243902439</v>
      </c>
      <c r="I3" s="23">
        <f t="shared" ref="I3:I12" si="1">IF(OR(H3="",F3=""),"",H3*F3)</f>
        <v>0.243902439</v>
      </c>
      <c r="J3" s="24">
        <f t="shared" ref="J3:J12" si="2">IF(H3="","",H3*10)</f>
        <v>0.243902439</v>
      </c>
      <c r="M3" s="18"/>
    </row>
    <row r="4" ht="14.25" customHeight="1">
      <c r="A4" s="19" t="s">
        <v>46</v>
      </c>
      <c r="B4" s="19" t="s">
        <v>47</v>
      </c>
      <c r="C4" s="25">
        <v>10.0</v>
      </c>
      <c r="D4" s="21" t="str">
        <f>IF(OR(TipoDeSitio="",C4="NA"),"",VLOOKUP(CONCATENATE(A4,": ",B4),Tabla621,MATCH(TipoDeSitio,Tipos,0)+1,0))</f>
        <v>MA</v>
      </c>
      <c r="E4" s="19"/>
      <c r="F4" s="22">
        <f>IF(C4="","",VLOOKUP(C4,ValoresVC,2,0))</f>
        <v>10</v>
      </c>
      <c r="G4" s="22">
        <f>IF(D4="","",VLOOKUP($D4,ValoresRC,2,0))</f>
        <v>4</v>
      </c>
      <c r="H4" s="23">
        <f>IF(OR(G4="",G4=0,'Cálculo de % usabilidad'!$F$5=0),"",G4/'Cálculo de % usabilidad'!$F$5)</f>
        <v>0.0243902439</v>
      </c>
      <c r="I4" s="23">
        <f t="shared" si="1"/>
        <v>0.243902439</v>
      </c>
      <c r="J4" s="24">
        <f t="shared" si="2"/>
        <v>0.243902439</v>
      </c>
      <c r="M4" s="18"/>
    </row>
    <row r="5" ht="14.25" customHeight="1">
      <c r="A5" s="19" t="s">
        <v>48</v>
      </c>
      <c r="B5" s="19" t="s">
        <v>49</v>
      </c>
      <c r="C5" s="25">
        <v>9.0</v>
      </c>
      <c r="D5" s="21" t="str">
        <f>IF(OR(TipoDeSitio="",C5="NA"),"",VLOOKUP(CONCATENATE(A5,": ",B5),Tabla621,MATCH(TipoDeSitio,Tipos,0)+1,0))</f>
        <v>MA</v>
      </c>
      <c r="E5" s="19"/>
      <c r="F5" s="22">
        <f>IF(C5="","",VLOOKUP(C5,ValoresVC,2,0))</f>
        <v>9</v>
      </c>
      <c r="G5" s="22">
        <f>IF(D5="","",VLOOKUP($D5,ValoresRC,2,0))</f>
        <v>4</v>
      </c>
      <c r="H5" s="23">
        <f>IF(OR(G5="",G5=0,'Cálculo de % usabilidad'!$F$5=0),"",G5/'Cálculo de % usabilidad'!$F$5)</f>
        <v>0.0243902439</v>
      </c>
      <c r="I5" s="23">
        <f t="shared" si="1"/>
        <v>0.2195121951</v>
      </c>
      <c r="J5" s="24">
        <f t="shared" si="2"/>
        <v>0.243902439</v>
      </c>
      <c r="M5" s="18"/>
    </row>
    <row r="6" ht="14.25" customHeight="1">
      <c r="A6" s="19" t="s">
        <v>50</v>
      </c>
      <c r="B6" s="19" t="s">
        <v>51</v>
      </c>
      <c r="C6" s="20">
        <v>9.0</v>
      </c>
      <c r="D6" s="21" t="str">
        <f>IF(OR(TipoDeSitio="",C6="NA"),"",VLOOKUP(CONCATENATE(A6,": ",B6),Tabla621,MATCH(TipoDeSitio,Tipos,0)+1,0))</f>
        <v>ME</v>
      </c>
      <c r="E6" s="19"/>
      <c r="F6" s="22">
        <f>IF(C6="","",VLOOKUP(C6,ValoresVC,2,0))</f>
        <v>9</v>
      </c>
      <c r="G6" s="22">
        <f>IF(D6="","",VLOOKUP($D6,ValoresRC,2,0))</f>
        <v>2</v>
      </c>
      <c r="H6" s="23">
        <f>IF(OR(G6="",G6=0,'Cálculo de % usabilidad'!$F$5=0),"",G6/'Cálculo de % usabilidad'!$F$5)</f>
        <v>0.01219512195</v>
      </c>
      <c r="I6" s="23">
        <f t="shared" si="1"/>
        <v>0.1097560976</v>
      </c>
      <c r="J6" s="24">
        <f t="shared" si="2"/>
        <v>0.1219512195</v>
      </c>
      <c r="M6" s="18"/>
    </row>
    <row r="7" ht="14.25" customHeight="1">
      <c r="A7" s="19" t="s">
        <v>52</v>
      </c>
      <c r="B7" s="19" t="s">
        <v>53</v>
      </c>
      <c r="C7" s="20">
        <v>8.0</v>
      </c>
      <c r="D7" s="21" t="str">
        <f>IF(OR(TipoDeSitio="",C7="NA"),"",VLOOKUP(CONCATENATE(A7,": ",B7),Tabla621,MATCH(TipoDeSitio,Tipos,0)+1,0))</f>
        <v>ME</v>
      </c>
      <c r="E7" s="19"/>
      <c r="F7" s="22">
        <f>IF(C7="","",VLOOKUP(C7,ValoresVC,2,0))</f>
        <v>8</v>
      </c>
      <c r="G7" s="22">
        <f>IF(D7="","",VLOOKUP($D7,ValoresRC,2,0))</f>
        <v>2</v>
      </c>
      <c r="H7" s="23">
        <f>IF(OR(G7="",G7=0,'Cálculo de % usabilidad'!$F$5=0),"",G7/'Cálculo de % usabilidad'!$F$5)</f>
        <v>0.01219512195</v>
      </c>
      <c r="I7" s="23">
        <f t="shared" si="1"/>
        <v>0.09756097561</v>
      </c>
      <c r="J7" s="24">
        <f t="shared" si="2"/>
        <v>0.1219512195</v>
      </c>
      <c r="M7" s="18"/>
    </row>
    <row r="8" ht="14.25" customHeight="1">
      <c r="A8" s="19" t="s">
        <v>54</v>
      </c>
      <c r="B8" s="19" t="s">
        <v>55</v>
      </c>
      <c r="C8" s="20">
        <v>9.0</v>
      </c>
      <c r="D8" s="21" t="str">
        <f>IF(OR(TipoDeSitio="",C8="NA"),"",VLOOKUP(CONCATENATE(A8,": ",B8),Tabla621,MATCH(TipoDeSitio,Tipos,0)+1,0))</f>
        <v>ME</v>
      </c>
      <c r="E8" s="19"/>
      <c r="F8" s="22">
        <f>IF(C8="","",VLOOKUP(C8,ValoresVC,2,0))</f>
        <v>9</v>
      </c>
      <c r="G8" s="22">
        <f>IF(D8="","",VLOOKUP($D8,ValoresRC,2,0))</f>
        <v>2</v>
      </c>
      <c r="H8" s="23">
        <f>IF(OR(G8="",G8=0,'Cálculo de % usabilidad'!$F$5=0),"",G8/'Cálculo de % usabilidad'!$F$5)</f>
        <v>0.01219512195</v>
      </c>
      <c r="I8" s="23">
        <f t="shared" si="1"/>
        <v>0.1097560976</v>
      </c>
      <c r="J8" s="24">
        <f t="shared" si="2"/>
        <v>0.1219512195</v>
      </c>
      <c r="M8" s="18"/>
    </row>
    <row r="9" ht="14.25" customHeight="1">
      <c r="A9" s="19" t="s">
        <v>56</v>
      </c>
      <c r="B9" s="19" t="s">
        <v>57</v>
      </c>
      <c r="C9" s="25" t="s">
        <v>58</v>
      </c>
      <c r="D9" s="21" t="str">
        <f>IF(OR(TipoDeSitio="",C9="NA"),"",VLOOKUP(CONCATENATE(A9,": ",B9),Tabla621,MATCH(TipoDeSitio,Tipos,0)+1,0))</f>
        <v>MA</v>
      </c>
      <c r="E9" s="19"/>
      <c r="F9" s="22">
        <f>IF(C9="","",VLOOKUP(C9,ValoresVC,2,0))</f>
        <v>10</v>
      </c>
      <c r="G9" s="22">
        <f>IF(D9="","",VLOOKUP($D9,ValoresRC,2,0))</f>
        <v>4</v>
      </c>
      <c r="H9" s="23">
        <f>IF(OR(G9="",G9=0,'Cálculo de % usabilidad'!$F$5=0),"",G9/'Cálculo de % usabilidad'!$F$5)</f>
        <v>0.0243902439</v>
      </c>
      <c r="I9" s="23">
        <f t="shared" si="1"/>
        <v>0.243902439</v>
      </c>
      <c r="J9" s="24">
        <f t="shared" si="2"/>
        <v>0.243902439</v>
      </c>
      <c r="M9" s="18"/>
    </row>
    <row r="10" ht="14.25" customHeight="1">
      <c r="A10" s="19" t="s">
        <v>59</v>
      </c>
      <c r="B10" s="19" t="s">
        <v>60</v>
      </c>
      <c r="C10" s="20" t="s">
        <v>58</v>
      </c>
      <c r="D10" s="21" t="str">
        <f>IF(OR(TipoDeSitio="",C10="NA"),"",VLOOKUP(CONCATENATE(A10,": ",B10),Tabla621,MATCH(TipoDeSitio,Tipos,0)+1,0))</f>
        <v>MA</v>
      </c>
      <c r="E10" s="19"/>
      <c r="F10" s="22">
        <f>IF(C10="","",VLOOKUP(C10,ValoresVC,2,0))</f>
        <v>10</v>
      </c>
      <c r="G10" s="22">
        <f>IF(D10="","",VLOOKUP($D10,ValoresRC,2,0))</f>
        <v>4</v>
      </c>
      <c r="H10" s="23">
        <f>IF(OR(G10="",G10=0,'Cálculo de % usabilidad'!$F$5=0),"",G10/'Cálculo de % usabilidad'!$F$5)</f>
        <v>0.0243902439</v>
      </c>
      <c r="I10" s="23">
        <f t="shared" si="1"/>
        <v>0.243902439</v>
      </c>
      <c r="J10" s="24">
        <f t="shared" si="2"/>
        <v>0.243902439</v>
      </c>
      <c r="M10" s="18"/>
    </row>
    <row r="11" ht="14.25" customHeight="1">
      <c r="A11" s="19" t="s">
        <v>61</v>
      </c>
      <c r="B11" s="19" t="s">
        <v>62</v>
      </c>
      <c r="C11" s="25" t="s">
        <v>63</v>
      </c>
      <c r="D11" s="21" t="str">
        <f>IF(OR(TipoDeSitio="",C11="NA"),"",VLOOKUP(CONCATENATE(A11,": ",B11),Tabla621,MATCH(TipoDeSitio,Tipos,0)+1,0))</f>
        <v/>
      </c>
      <c r="E11" s="19"/>
      <c r="F11" s="22">
        <f>IF(C11="","",VLOOKUP(C11,ValoresVC,2,0))</f>
        <v>0</v>
      </c>
      <c r="G11" s="22" t="str">
        <f>IF(D11="","",VLOOKUP($D11,ValoresRC,2,0))</f>
        <v/>
      </c>
      <c r="H11" s="23" t="str">
        <f>IF(OR(G11="",G11=0,'Cálculo de % usabilidad'!$F$5=0),"",G11/'Cálculo de % usabilidad'!$F$5)</f>
        <v/>
      </c>
      <c r="I11" s="23" t="str">
        <f t="shared" si="1"/>
        <v/>
      </c>
      <c r="J11" s="24" t="str">
        <f t="shared" si="2"/>
        <v/>
      </c>
      <c r="M11" s="18"/>
    </row>
    <row r="12" ht="14.25" customHeight="1">
      <c r="A12" s="19" t="s">
        <v>64</v>
      </c>
      <c r="B12" s="19" t="s">
        <v>65</v>
      </c>
      <c r="C12" s="25" t="s">
        <v>58</v>
      </c>
      <c r="D12" s="21" t="str">
        <f>IF(OR(TipoDeSitio="",C12="NA"),"",VLOOKUP(CONCATENATE(A12,": ",B12),Tabla621,MATCH(TipoDeSitio,Tipos,0)+1,0))</f>
        <v>ME</v>
      </c>
      <c r="E12" s="19"/>
      <c r="F12" s="22">
        <f>IF(C12="","",VLOOKUP(C12,ValoresVC,2,0))</f>
        <v>10</v>
      </c>
      <c r="G12" s="22">
        <f>IF(D12="","",VLOOKUP($D12,ValoresRC,2,0))</f>
        <v>2</v>
      </c>
      <c r="H12" s="23">
        <f>IF(OR(G12="",G12=0,'Cálculo de % usabilidad'!$F$5=0),"",G12/'Cálculo de % usabilidad'!$F$5)</f>
        <v>0.01219512195</v>
      </c>
      <c r="I12" s="23">
        <f t="shared" si="1"/>
        <v>0.1219512195</v>
      </c>
      <c r="J12" s="24">
        <f t="shared" si="2"/>
        <v>0.1219512195</v>
      </c>
      <c r="K12" s="26" t="s">
        <v>66</v>
      </c>
      <c r="L12" s="27">
        <f>10-(COUNTIF(C3:C12,"NA")+COUNTBLANK(C3:C12))</f>
        <v>9</v>
      </c>
      <c r="M12" s="26" t="s">
        <v>67</v>
      </c>
    </row>
    <row r="13" ht="14.25" customHeight="1">
      <c r="G13" s="28">
        <f>IF(SUM(G3:G12)=0,"",SUM(G3:G12))</f>
        <v>28</v>
      </c>
    </row>
    <row r="14" ht="14.25" customHeight="1">
      <c r="A14" s="29" t="s">
        <v>68</v>
      </c>
      <c r="C14" s="30" t="s">
        <v>69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70</v>
      </c>
      <c r="C15" s="32">
        <v>0.0</v>
      </c>
      <c r="D15" s="31" t="s">
        <v>71</v>
      </c>
      <c r="E15" s="31"/>
      <c r="F15" s="32" t="s">
        <v>72</v>
      </c>
      <c r="G15" s="31" t="s">
        <v>73</v>
      </c>
      <c r="H15" s="31"/>
      <c r="I15" s="31"/>
      <c r="J15" s="31"/>
    </row>
    <row r="16" ht="14.25" customHeight="1">
      <c r="A16" s="26" t="s">
        <v>74</v>
      </c>
      <c r="C16" s="32">
        <v>10.0</v>
      </c>
      <c r="D16" s="31" t="s">
        <v>75</v>
      </c>
      <c r="E16" s="31"/>
      <c r="F16" s="32" t="s">
        <v>76</v>
      </c>
      <c r="G16" s="31" t="s">
        <v>77</v>
      </c>
      <c r="H16" s="31"/>
      <c r="I16" s="31"/>
      <c r="J16" s="31"/>
    </row>
    <row r="17" ht="14.25" customHeight="1">
      <c r="C17" s="32" t="s">
        <v>63</v>
      </c>
      <c r="D17" s="31" t="s">
        <v>78</v>
      </c>
      <c r="E17" s="31"/>
      <c r="F17" s="32" t="s">
        <v>79</v>
      </c>
      <c r="G17" s="31" t="s">
        <v>80</v>
      </c>
      <c r="H17" s="31"/>
      <c r="I17" s="31"/>
      <c r="J17" s="31"/>
    </row>
    <row r="18" ht="14.25" customHeight="1">
      <c r="C18" s="32" t="s">
        <v>81</v>
      </c>
      <c r="D18" s="31" t="s">
        <v>82</v>
      </c>
      <c r="E18" s="31"/>
      <c r="F18" s="32" t="s">
        <v>83</v>
      </c>
      <c r="G18" s="31" t="s">
        <v>84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dataValidations>
    <dataValidation type="list" allowBlank="1" showErrorMessage="1" sqref="C3:C8">
      <formula1>Valores1</formula1>
    </dataValidation>
    <dataValidation type="list" allowBlank="1" showErrorMessage="1" sqref="C9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43"/>
    <col customWidth="1" min="3" max="3" width="11.57"/>
    <col customWidth="1" min="4" max="4" width="13.43"/>
    <col customWidth="1" min="5" max="5" width="34.14"/>
    <col customWidth="1" min="6" max="6" width="16.43"/>
    <col customWidth="1" min="7" max="7" width="29.43"/>
    <col customWidth="1" min="8" max="10" width="26.57"/>
    <col customWidth="1" min="11" max="11" width="25.14"/>
    <col customWidth="1" min="12" max="12" width="3.57"/>
    <col customWidth="1" min="13" max="26" width="10.71"/>
  </cols>
  <sheetData>
    <row r="1" ht="36.75" customHeight="1">
      <c r="A1" s="8" t="s">
        <v>85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9" t="s">
        <v>86</v>
      </c>
      <c r="B3" s="19" t="s">
        <v>87</v>
      </c>
      <c r="C3" s="33">
        <v>8.0</v>
      </c>
      <c r="D3" s="21" t="str">
        <f>IF(OR(TipoDeSitio="",C3="NA"),"",VLOOKUP(CONCATENATE(A3,": ",B3),Tabla622,MATCH(TipoDeSitio,Tipos,0)+1,0))</f>
        <v>ME</v>
      </c>
      <c r="E3" s="19"/>
      <c r="F3" s="34">
        <f>IF(C3="","",VLOOKUP(C3,ValoresVC,2,0))</f>
        <v>8</v>
      </c>
      <c r="G3" s="22">
        <f>IF(D3="","",VLOOKUP($D3,ValoresRC,2,0))</f>
        <v>2</v>
      </c>
      <c r="H3" s="23">
        <f>IF(OR(G3="",G3=0,'Cálculo de % usabilidad'!$F$5=0),"",G3/'Cálculo de % usabilidad'!$F$5)</f>
        <v>0.01219512195</v>
      </c>
      <c r="I3" s="23">
        <f t="shared" ref="I3:I9" si="1">IF(OR(H3="",F3=""),"",H3*F3)</f>
        <v>0.09756097561</v>
      </c>
      <c r="J3" s="24">
        <f t="shared" ref="J3:J9" si="2">IF(H3="","",H3*10)</f>
        <v>0.1219512195</v>
      </c>
      <c r="K3" s="18"/>
    </row>
    <row r="4" ht="14.25" customHeight="1">
      <c r="A4" s="19" t="s">
        <v>88</v>
      </c>
      <c r="B4" s="19" t="s">
        <v>89</v>
      </c>
      <c r="C4" s="35" t="s">
        <v>58</v>
      </c>
      <c r="D4" s="21" t="str">
        <f>IF(OR(TipoDeSitio="",C4="NA"),"",VLOOKUP(CONCATENATE(A4,": ",B4),Tabla622,MATCH(TipoDeSitio,Tipos,0)+1,0))</f>
        <v>MA</v>
      </c>
      <c r="E4" s="19"/>
      <c r="F4" s="34">
        <f>IF(C4="","",VLOOKUP(C4,ValoresVC,2,0))</f>
        <v>10</v>
      </c>
      <c r="G4" s="22">
        <f>IF(D4="","",VLOOKUP($D4,ValoresRC,2,0))</f>
        <v>4</v>
      </c>
      <c r="H4" s="23">
        <f>IF(OR(G4="",G4=0,'Cálculo de % usabilidad'!$F$5=0),"",G4/'Cálculo de % usabilidad'!$F$5)</f>
        <v>0.0243902439</v>
      </c>
      <c r="I4" s="23">
        <f t="shared" si="1"/>
        <v>0.243902439</v>
      </c>
      <c r="J4" s="24">
        <f t="shared" si="2"/>
        <v>0.243902439</v>
      </c>
      <c r="K4" s="18"/>
    </row>
    <row r="5" ht="14.25" customHeight="1">
      <c r="A5" s="19" t="s">
        <v>90</v>
      </c>
      <c r="B5" s="19" t="s">
        <v>91</v>
      </c>
      <c r="C5" s="35" t="s">
        <v>63</v>
      </c>
      <c r="D5" s="21" t="str">
        <f>IF(OR(TipoDeSitio="",C5="NA"),"",VLOOKUP(CONCATENATE(A5,": ",B5),Tabla622,MATCH(TipoDeSitio,Tipos,0)+1,0))</f>
        <v/>
      </c>
      <c r="E5" s="19" t="s">
        <v>92</v>
      </c>
      <c r="F5" s="34">
        <f>IF(C5="","",VLOOKUP(C5,ValoresVC,2,0))</f>
        <v>0</v>
      </c>
      <c r="G5" s="22" t="str">
        <f>IF(D5="","",VLOOKUP($D5,ValoresRC,2,0))</f>
        <v/>
      </c>
      <c r="H5" s="23" t="str">
        <f>IF(OR(G5="",G5=0,'Cálculo de % usabilidad'!$F$5=0),"",G5/'Cálculo de % usabilidad'!$F$5)</f>
        <v/>
      </c>
      <c r="I5" s="23" t="str">
        <f t="shared" si="1"/>
        <v/>
      </c>
      <c r="J5" s="24" t="str">
        <f t="shared" si="2"/>
        <v/>
      </c>
      <c r="K5" s="18"/>
    </row>
    <row r="6" ht="14.25" customHeight="1">
      <c r="A6" s="19" t="s">
        <v>93</v>
      </c>
      <c r="B6" s="19" t="s">
        <v>94</v>
      </c>
      <c r="C6" s="35" t="s">
        <v>95</v>
      </c>
      <c r="D6" s="21" t="str">
        <f>IF(OR(TipoDeSitio="",C6="NA"),"",VLOOKUP(CONCATENATE(A6,": ",B6),Tabla622,MATCH(TipoDeSitio,Tipos,0)+1,0))</f>
        <v>ME</v>
      </c>
      <c r="E6" s="19" t="s">
        <v>96</v>
      </c>
      <c r="F6" s="34">
        <f>IF(C6="","",VLOOKUP(C6,ValoresVC,2,0))</f>
        <v>0</v>
      </c>
      <c r="G6" s="22">
        <f>IF(D6="","",VLOOKUP($D6,ValoresRC,2,0))</f>
        <v>2</v>
      </c>
      <c r="H6" s="23">
        <f>IF(OR(G6="",G6=0,'Cálculo de % usabilidad'!$F$5=0),"",G6/'Cálculo de % usabilidad'!$F$5)</f>
        <v>0.01219512195</v>
      </c>
      <c r="I6" s="23">
        <f t="shared" si="1"/>
        <v>0</v>
      </c>
      <c r="J6" s="24">
        <f t="shared" si="2"/>
        <v>0.1219512195</v>
      </c>
      <c r="K6" s="18"/>
    </row>
    <row r="7" ht="14.25" customHeight="1">
      <c r="A7" s="19" t="s">
        <v>97</v>
      </c>
      <c r="B7" s="19" t="s">
        <v>98</v>
      </c>
      <c r="C7" s="35" t="s">
        <v>95</v>
      </c>
      <c r="D7" s="21" t="str">
        <f>IF(OR(TipoDeSitio="",C7="NA"),"",VLOOKUP(CONCATENATE(A7,": ",B7),Tabla622,MATCH(TipoDeSitio,Tipos,0)+1,0))</f>
        <v>MA</v>
      </c>
      <c r="E7" s="19" t="s">
        <v>96</v>
      </c>
      <c r="F7" s="34">
        <f>IF(C7="","",VLOOKUP(C7,ValoresVC,2,0))</f>
        <v>0</v>
      </c>
      <c r="G7" s="22">
        <f>IF(D7="","",VLOOKUP($D7,ValoresRC,2,0))</f>
        <v>4</v>
      </c>
      <c r="H7" s="23">
        <f>IF(OR(G7="",G7=0,'Cálculo de % usabilidad'!$F$5=0),"",G7/'Cálculo de % usabilidad'!$F$5)</f>
        <v>0.0243902439</v>
      </c>
      <c r="I7" s="23">
        <f t="shared" si="1"/>
        <v>0</v>
      </c>
      <c r="J7" s="24">
        <f t="shared" si="2"/>
        <v>0.243902439</v>
      </c>
      <c r="K7" s="18"/>
    </row>
    <row r="8" ht="14.25" customHeight="1">
      <c r="A8" s="19" t="s">
        <v>99</v>
      </c>
      <c r="B8" s="36" t="s">
        <v>100</v>
      </c>
      <c r="C8" s="35" t="s">
        <v>79</v>
      </c>
      <c r="D8" s="21" t="str">
        <f>IF(OR(TipoDeSitio="",C8="NA"),"",VLOOKUP(CONCATENATE(A8,": ",B8),Tabla622,MATCH(TipoDeSitio,Tipos,0)+1,0))</f>
        <v>ME</v>
      </c>
      <c r="E8" s="19" t="s">
        <v>101</v>
      </c>
      <c r="F8" s="34">
        <f>IF(C8="","",VLOOKUP(C8,ValoresVC,2,0))</f>
        <v>7.5</v>
      </c>
      <c r="G8" s="22">
        <f>IF(D8="","",VLOOKUP($D8,ValoresRC,2,0))</f>
        <v>2</v>
      </c>
      <c r="H8" s="23">
        <f>IF(OR(G8="",G8=0,'Cálculo de % usabilidad'!$F$5=0),"",G8/'Cálculo de % usabilidad'!$F$5)</f>
        <v>0.01219512195</v>
      </c>
      <c r="I8" s="23">
        <f t="shared" si="1"/>
        <v>0.09146341463</v>
      </c>
      <c r="J8" s="24">
        <f t="shared" si="2"/>
        <v>0.1219512195</v>
      </c>
      <c r="K8" s="18"/>
    </row>
    <row r="9" ht="14.25" customHeight="1">
      <c r="A9" s="19" t="s">
        <v>102</v>
      </c>
      <c r="B9" s="36" t="s">
        <v>103</v>
      </c>
      <c r="C9" s="35" t="s">
        <v>79</v>
      </c>
      <c r="D9" s="21" t="str">
        <f>IF(OR(TipoDeSitio="",C9="NA"),"",VLOOKUP(CONCATENATE(A9,": ",B9),Tabla622,MATCH(TipoDeSitio,Tipos,0)+1,0))</f>
        <v>ME</v>
      </c>
      <c r="E9" s="19" t="s">
        <v>104</v>
      </c>
      <c r="F9" s="34">
        <f>IF(C9="","",VLOOKUP(C9,ValoresVC,2,0))</f>
        <v>7.5</v>
      </c>
      <c r="G9" s="22">
        <f>IF(D9="","",VLOOKUP($D9,ValoresRC,2,0))</f>
        <v>2</v>
      </c>
      <c r="H9" s="23">
        <f>IF(OR(G9="",G9=0,'Cálculo de % usabilidad'!$F$5=0),"",G9/'Cálculo de % usabilidad'!$F$5)</f>
        <v>0.01219512195</v>
      </c>
      <c r="I9" s="23">
        <f t="shared" si="1"/>
        <v>0.09146341463</v>
      </c>
      <c r="J9" s="24">
        <f t="shared" si="2"/>
        <v>0.1219512195</v>
      </c>
      <c r="K9" s="26" t="s">
        <v>66</v>
      </c>
      <c r="L9" s="27">
        <f>7-(COUNTIF(C3:C9,"NA")+COUNTBLANK(C3:C9))</f>
        <v>6</v>
      </c>
      <c r="M9" s="26" t="s">
        <v>67</v>
      </c>
    </row>
    <row r="10" ht="14.25" customHeight="1">
      <c r="G10" s="28">
        <f>IF(SUM(G3:G9)=0,"",SUM(G3:G9))</f>
        <v>16</v>
      </c>
    </row>
    <row r="11" ht="14.25" customHeight="1">
      <c r="A11" s="29" t="s">
        <v>68</v>
      </c>
      <c r="C11" s="30" t="s">
        <v>69</v>
      </c>
      <c r="D11" s="31"/>
      <c r="E11" s="31"/>
      <c r="F11" s="31"/>
      <c r="G11" s="31"/>
      <c r="H11" s="31"/>
      <c r="I11" s="31"/>
      <c r="J11" s="31"/>
    </row>
    <row r="12" ht="14.25" customHeight="1">
      <c r="A12" s="26" t="s">
        <v>70</v>
      </c>
      <c r="C12" s="32">
        <v>0.0</v>
      </c>
      <c r="D12" s="31" t="s">
        <v>71</v>
      </c>
      <c r="E12" s="31"/>
      <c r="F12" s="32" t="s">
        <v>72</v>
      </c>
      <c r="G12" s="31" t="s">
        <v>73</v>
      </c>
      <c r="H12" s="31"/>
      <c r="I12" s="31"/>
      <c r="J12" s="31"/>
    </row>
    <row r="13" ht="14.25" customHeight="1">
      <c r="A13" s="26" t="s">
        <v>74</v>
      </c>
      <c r="C13" s="32">
        <v>10.0</v>
      </c>
      <c r="D13" s="31" t="s">
        <v>75</v>
      </c>
      <c r="E13" s="31"/>
      <c r="F13" s="32" t="s">
        <v>76</v>
      </c>
      <c r="G13" s="31" t="s">
        <v>77</v>
      </c>
      <c r="H13" s="31"/>
      <c r="I13" s="31"/>
      <c r="J13" s="31"/>
    </row>
    <row r="14" ht="14.25" customHeight="1">
      <c r="C14" s="32" t="s">
        <v>63</v>
      </c>
      <c r="D14" s="31" t="s">
        <v>78</v>
      </c>
      <c r="E14" s="31"/>
      <c r="F14" s="32" t="s">
        <v>79</v>
      </c>
      <c r="G14" s="31" t="s">
        <v>80</v>
      </c>
      <c r="H14" s="31"/>
      <c r="I14" s="31"/>
      <c r="J14" s="31"/>
    </row>
    <row r="15" ht="14.25" customHeight="1">
      <c r="C15" s="32" t="s">
        <v>81</v>
      </c>
      <c r="D15" s="31" t="s">
        <v>82</v>
      </c>
      <c r="E15" s="31"/>
      <c r="F15" s="32" t="s">
        <v>83</v>
      </c>
      <c r="G15" s="31" t="s">
        <v>84</v>
      </c>
      <c r="H15" s="31"/>
      <c r="I15" s="31"/>
      <c r="J15" s="31"/>
    </row>
    <row r="16" ht="14.25" customHeight="1">
      <c r="C16" s="31"/>
      <c r="D16" s="31"/>
      <c r="E16" s="31"/>
      <c r="F16" s="31"/>
      <c r="G16" s="31"/>
      <c r="H16" s="31"/>
      <c r="I16" s="31"/>
      <c r="J16" s="31"/>
    </row>
    <row r="17" ht="14.25" customHeight="1">
      <c r="C17" s="18"/>
      <c r="D17" s="18"/>
      <c r="E17" s="18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5">
      <formula1>Valores1</formula1>
    </dataValidation>
    <dataValidation type="list" allowBlank="1" showErrorMessage="1" sqref="C4 C6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9.0"/>
    <col customWidth="1" min="3" max="3" width="10.71"/>
    <col customWidth="1" min="4" max="4" width="13.43"/>
    <col customWidth="1" min="5" max="5" width="34.14"/>
    <col customWidth="1" min="6" max="6" width="16.14"/>
    <col customWidth="1" min="7" max="7" width="29.86"/>
    <col customWidth="1" min="8" max="10" width="24.43"/>
    <col customWidth="1" min="11" max="11" width="26.14"/>
    <col customWidth="1" min="12" max="12" width="4.57"/>
    <col customWidth="1" min="13" max="26" width="10.71"/>
  </cols>
  <sheetData>
    <row r="1" ht="36.75" customHeight="1">
      <c r="A1" s="8" t="s">
        <v>105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106</v>
      </c>
      <c r="B3" s="13" t="s">
        <v>107</v>
      </c>
      <c r="C3" s="37" t="s">
        <v>58</v>
      </c>
      <c r="D3" s="38" t="str">
        <f>IF(OR(TipoDeSitio="",C3="NA"),"",VLOOKUP(CONCATENATE(A3,": ",B3),Tabla623,MATCH(TipoDeSitio,Tipos,0)+1,0))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0.006097560976</v>
      </c>
      <c r="I3" s="40">
        <f t="shared" ref="I3:I16" si="1">IF(OR(H3="",F3=""),"",H3*F3)</f>
        <v>0.06097560976</v>
      </c>
      <c r="J3" s="41">
        <f t="shared" ref="J3:J16" si="2">IF(H3="","",H3*10)</f>
        <v>0.06097560976</v>
      </c>
      <c r="K3" s="18"/>
    </row>
    <row r="4" ht="14.25" customHeight="1">
      <c r="A4" s="13" t="s">
        <v>108</v>
      </c>
      <c r="B4" s="13" t="s">
        <v>109</v>
      </c>
      <c r="C4" s="42">
        <v>9.0</v>
      </c>
      <c r="D4" s="38" t="str">
        <f>IF(OR(TipoDeSitio="",C4="NA"),"",VLOOKUP(CONCATENATE(A4,": ",B4),Tabla623,MATCH(TipoDeSitio,Tipos,0)+1,0))</f>
        <v>MA</v>
      </c>
      <c r="E4" s="13"/>
      <c r="F4" s="9">
        <f>IF(C4="","",VLOOKUP(C4,ValoresVC,2,0))</f>
        <v>9</v>
      </c>
      <c r="G4" s="39">
        <f>IF(D4="","",VLOOKUP($D4,ValoresRC,2,0))</f>
        <v>4</v>
      </c>
      <c r="H4" s="40">
        <f>IF(OR(G4="",G4=0,'Cálculo de % usabilidad'!$F$5=0),"",G4/'Cálculo de % usabilidad'!$F$5)</f>
        <v>0.0243902439</v>
      </c>
      <c r="I4" s="40">
        <f t="shared" si="1"/>
        <v>0.2195121951</v>
      </c>
      <c r="J4" s="41">
        <f t="shared" si="2"/>
        <v>0.243902439</v>
      </c>
      <c r="K4" s="18"/>
    </row>
    <row r="5" ht="14.25" customHeight="1">
      <c r="A5" s="13" t="s">
        <v>110</v>
      </c>
      <c r="B5" s="13" t="s">
        <v>111</v>
      </c>
      <c r="C5" s="42">
        <v>9.0</v>
      </c>
      <c r="D5" s="38" t="str">
        <f>IF(OR(TipoDeSitio="",C5="NA"),"",VLOOKUP(CONCATENATE(A5,": ",B5),Tabla623,MATCH(TipoDeSitio,Tipos,0)+1,0))</f>
        <v>ME</v>
      </c>
      <c r="E5" s="13"/>
      <c r="F5" s="9">
        <f>IF(C5="","",VLOOKUP(C5,ValoresVC,2,0))</f>
        <v>9</v>
      </c>
      <c r="G5" s="39">
        <f>IF(D5="","",VLOOKUP($D5,ValoresRC,2,0))</f>
        <v>2</v>
      </c>
      <c r="H5" s="40">
        <f>IF(OR(G5="",G5=0,'Cálculo de % usabilidad'!$F$5=0),"",G5/'Cálculo de % usabilidad'!$F$5)</f>
        <v>0.01219512195</v>
      </c>
      <c r="I5" s="40">
        <f t="shared" si="1"/>
        <v>0.1097560976</v>
      </c>
      <c r="J5" s="41">
        <f t="shared" si="2"/>
        <v>0.1219512195</v>
      </c>
      <c r="K5" s="18"/>
    </row>
    <row r="6" ht="14.25" customHeight="1">
      <c r="A6" s="13" t="s">
        <v>112</v>
      </c>
      <c r="B6" s="43" t="s">
        <v>113</v>
      </c>
      <c r="C6" s="42">
        <v>9.0</v>
      </c>
      <c r="D6" s="38" t="str">
        <f>IF(OR(TipoDeSitio="",C6="NA"),"",VLOOKUP(CONCATENATE(A6,": ",B6),Tabla623,MATCH(TipoDeSitio,Tipos,0)+1,0))</f>
        <v>ME</v>
      </c>
      <c r="E6" s="13"/>
      <c r="F6" s="9">
        <f>IF(C6="","",VLOOKUP(C6,ValoresVC,2,0))</f>
        <v>9</v>
      </c>
      <c r="G6" s="39">
        <f>IF(D6="","",VLOOKUP($D6,ValoresRC,2,0))</f>
        <v>2</v>
      </c>
      <c r="H6" s="40">
        <f>IF(OR(G6="",G6=0,'Cálculo de % usabilidad'!$F$5=0),"",G6/'Cálculo de % usabilidad'!$F$5)</f>
        <v>0.01219512195</v>
      </c>
      <c r="I6" s="40">
        <f t="shared" si="1"/>
        <v>0.1097560976</v>
      </c>
      <c r="J6" s="41">
        <f t="shared" si="2"/>
        <v>0.1219512195</v>
      </c>
      <c r="K6" s="18"/>
    </row>
    <row r="7" ht="14.25" customHeight="1">
      <c r="A7" s="13" t="s">
        <v>114</v>
      </c>
      <c r="B7" s="43" t="s">
        <v>115</v>
      </c>
      <c r="C7" s="37" t="s">
        <v>58</v>
      </c>
      <c r="D7" s="38" t="str">
        <f>IF(OR(TipoDeSitio="",C7="NA"),"",VLOOKUP(CONCATENATE(A7,": ",B7),Tabla623,MATCH(TipoDeSitio,Tipos,0)+1,0))</f>
        <v>ME</v>
      </c>
      <c r="E7" s="13"/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0.01219512195</v>
      </c>
      <c r="I7" s="40">
        <f t="shared" si="1"/>
        <v>0.1219512195</v>
      </c>
      <c r="J7" s="41">
        <f t="shared" si="2"/>
        <v>0.1219512195</v>
      </c>
      <c r="K7" s="18"/>
    </row>
    <row r="8" ht="14.25" customHeight="1">
      <c r="A8" s="13" t="s">
        <v>116</v>
      </c>
      <c r="B8" s="43" t="s">
        <v>117</v>
      </c>
      <c r="C8" s="37" t="s">
        <v>58</v>
      </c>
      <c r="D8" s="38" t="str">
        <f>IF(OR(TipoDeSitio="",C8="NA"),"",VLOOKUP(CONCATENATE(A8,": ",B8),Tabla623,MATCH(TipoDeSitio,Tipos,0)+1,0))</f>
        <v>MA</v>
      </c>
      <c r="E8" s="13"/>
      <c r="F8" s="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0.0243902439</v>
      </c>
      <c r="I8" s="40">
        <f t="shared" si="1"/>
        <v>0.243902439</v>
      </c>
      <c r="J8" s="41">
        <f t="shared" si="2"/>
        <v>0.243902439</v>
      </c>
      <c r="K8" s="18"/>
    </row>
    <row r="9" ht="14.25" customHeight="1">
      <c r="A9" s="13" t="s">
        <v>118</v>
      </c>
      <c r="B9" s="43" t="s">
        <v>119</v>
      </c>
      <c r="C9" s="42" t="s">
        <v>79</v>
      </c>
      <c r="D9" s="38" t="str">
        <f>IF(OR(TipoDeSitio="",C9="NA"),"",VLOOKUP(CONCATENATE(A9,": ",B9),Tabla623,MATCH(TipoDeSitio,Tipos,0)+1,0))</f>
        <v>ME</v>
      </c>
      <c r="E9" s="13" t="s">
        <v>120</v>
      </c>
      <c r="F9" s="9">
        <f>IF(C9="","",VLOOKUP(C9,ValoresVC,2,0))</f>
        <v>7.5</v>
      </c>
      <c r="G9" s="39">
        <f>IF(D9="","",VLOOKUP($D9,ValoresRC,2,0))</f>
        <v>2</v>
      </c>
      <c r="H9" s="40">
        <f>IF(OR(G9="",G9=0,'Cálculo de % usabilidad'!$F$5=0),"",G9/'Cálculo de % usabilidad'!$F$5)</f>
        <v>0.01219512195</v>
      </c>
      <c r="I9" s="40">
        <f t="shared" si="1"/>
        <v>0.09146341463</v>
      </c>
      <c r="J9" s="41">
        <f t="shared" si="2"/>
        <v>0.1219512195</v>
      </c>
      <c r="K9" s="18"/>
    </row>
    <row r="10" ht="14.25" customHeight="1">
      <c r="A10" s="13" t="s">
        <v>121</v>
      </c>
      <c r="B10" s="13" t="s">
        <v>122</v>
      </c>
      <c r="C10" s="37" t="s">
        <v>58</v>
      </c>
      <c r="D10" s="38" t="str">
        <f>IF(OR(TipoDeSitio="",C10="NA"),"",VLOOKUP(CONCATENATE(A10,": ",B10),Tabla623,MATCH(TipoDeSitio,Tipos,0)+1,0))</f>
        <v>MA</v>
      </c>
      <c r="E10" s="13"/>
      <c r="F10" s="9">
        <f>IF(C10="","",VLOOKUP(C10,ValoresVC,2,0))</f>
        <v>10</v>
      </c>
      <c r="G10" s="39">
        <f>IF(D10="","",VLOOKUP($D10,ValoresRC,2,0))</f>
        <v>4</v>
      </c>
      <c r="H10" s="40">
        <f>IF(OR(G10="",G10=0,'Cálculo de % usabilidad'!$F$5=0),"",G10/'Cálculo de % usabilidad'!$F$5)</f>
        <v>0.0243902439</v>
      </c>
      <c r="I10" s="40">
        <f t="shared" si="1"/>
        <v>0.243902439</v>
      </c>
      <c r="J10" s="41">
        <f t="shared" si="2"/>
        <v>0.243902439</v>
      </c>
      <c r="K10" s="18"/>
    </row>
    <row r="11" ht="14.25" customHeight="1">
      <c r="A11" s="13" t="s">
        <v>123</v>
      </c>
      <c r="B11" s="13" t="s">
        <v>124</v>
      </c>
      <c r="C11" s="42" t="s">
        <v>63</v>
      </c>
      <c r="D11" s="38" t="str">
        <f>IF(OR(TipoDeSitio="",C11="NA"),"",VLOOKUP(CONCATENATE(A11,": ",B11),Tabla623,MATCH(TipoDeSitio,Tipos,0)+1,0))</f>
        <v/>
      </c>
      <c r="E11" s="13" t="s">
        <v>125</v>
      </c>
      <c r="F11" s="9">
        <f>IF(C11="","",VLOOKUP(C11,ValoresVC,2,0))</f>
        <v>0</v>
      </c>
      <c r="G11" s="39" t="str">
        <f>IF(D11="","",VLOOKUP($D11,ValoresRC,2,0))</f>
        <v/>
      </c>
      <c r="H11" s="40" t="str">
        <f>IF(OR(G11="",G11=0,'Cálculo de % usabilidad'!$F$5=0),"",G11/'Cálculo de % usabilidad'!$F$5)</f>
        <v/>
      </c>
      <c r="I11" s="40" t="str">
        <f t="shared" si="1"/>
        <v/>
      </c>
      <c r="J11" s="41" t="str">
        <f t="shared" si="2"/>
        <v/>
      </c>
      <c r="K11" s="18"/>
    </row>
    <row r="12" ht="14.25" customHeight="1">
      <c r="A12" s="13" t="s">
        <v>126</v>
      </c>
      <c r="B12" s="13" t="s">
        <v>127</v>
      </c>
      <c r="C12" s="37" t="s">
        <v>58</v>
      </c>
      <c r="D12" s="38" t="str">
        <f>IF(OR(TipoDeSitio="",C12="NA"),"",VLOOKUP(CONCATENATE(A12,": ",B12),Tabla623,MATCH(TipoDeSitio,Tipos,0)+1,0))</f>
        <v>MO</v>
      </c>
      <c r="E12" s="13"/>
      <c r="F12" s="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0.006097560976</v>
      </c>
      <c r="I12" s="40">
        <f t="shared" si="1"/>
        <v>0.06097560976</v>
      </c>
      <c r="J12" s="41">
        <f t="shared" si="2"/>
        <v>0.06097560976</v>
      </c>
    </row>
    <row r="13" ht="14.25" customHeight="1">
      <c r="A13" s="13" t="s">
        <v>128</v>
      </c>
      <c r="B13" s="43" t="s">
        <v>129</v>
      </c>
      <c r="C13" s="37" t="s">
        <v>63</v>
      </c>
      <c r="D13" s="38" t="str">
        <f>IF(OR(TipoDeSitio="",C13="NA"),"",VLOOKUP(CONCATENATE(A13,": ",B13),Tabla623,MATCH(TipoDeSitio,Tipos,0)+1,0))</f>
        <v/>
      </c>
      <c r="E13" s="13" t="s">
        <v>130</v>
      </c>
      <c r="F13" s="9">
        <f>IF(C13="","",VLOOKUP(C13,ValoresVC,2,0))</f>
        <v>0</v>
      </c>
      <c r="G13" s="39" t="str">
        <f>IF(D13="","",VLOOKUP($D13,ValoresRC,2,0))</f>
        <v/>
      </c>
      <c r="H13" s="40" t="str">
        <f>IF(OR(G13="",G13=0,'Cálculo de % usabilidad'!$F$5=0),"",G13/'Cálculo de % usabilidad'!$F$5)</f>
        <v/>
      </c>
      <c r="I13" s="40" t="str">
        <f t="shared" si="1"/>
        <v/>
      </c>
      <c r="J13" s="41" t="str">
        <f t="shared" si="2"/>
        <v/>
      </c>
    </row>
    <row r="14" ht="14.25" customHeight="1">
      <c r="A14" s="13" t="s">
        <v>131</v>
      </c>
      <c r="B14" s="13" t="s">
        <v>132</v>
      </c>
      <c r="C14" s="37" t="s">
        <v>58</v>
      </c>
      <c r="D14" s="38" t="str">
        <f>IF(OR(TipoDeSitio="",C14="NA"),"",VLOOKUP(CONCATENATE(A14,": ",B14),Tabla623,MATCH(TipoDeSitio,Tipos,0)+1,0))</f>
        <v>ME</v>
      </c>
      <c r="E14" s="13"/>
      <c r="F14" s="9">
        <f>IF(C14="","",VLOOKUP(C14,ValoresVC,2,0))</f>
        <v>10</v>
      </c>
      <c r="G14" s="39">
        <f>IF(D14="","",VLOOKUP($D14,ValoresRC,2,0))</f>
        <v>2</v>
      </c>
      <c r="H14" s="40">
        <f>IF(OR(G14="",G14=0,'Cálculo de % usabilidad'!$F$5=0),"",G14/'Cálculo de % usabilidad'!$F$5)</f>
        <v>0.01219512195</v>
      </c>
      <c r="I14" s="40">
        <f t="shared" si="1"/>
        <v>0.1219512195</v>
      </c>
      <c r="J14" s="41">
        <f t="shared" si="2"/>
        <v>0.1219512195</v>
      </c>
    </row>
    <row r="15" ht="14.25" customHeight="1">
      <c r="A15" s="13" t="s">
        <v>133</v>
      </c>
      <c r="B15" s="43" t="s">
        <v>134</v>
      </c>
      <c r="C15" s="37" t="s">
        <v>58</v>
      </c>
      <c r="D15" s="38" t="str">
        <f>IF(OR(TipoDeSitio="",C15="NA"),"",VLOOKUP(CONCATENATE(A15,": ",B15),Tabla623,MATCH(TipoDeSitio,Tipos,0)+1,0))</f>
        <v>MA</v>
      </c>
      <c r="E15" s="13"/>
      <c r="F15" s="9">
        <f>IF(C15="","",VLOOKUP(C15,ValoresVC,2,0))</f>
        <v>10</v>
      </c>
      <c r="G15" s="39">
        <f>IF(D15="","",VLOOKUP($D15,ValoresRC,2,0))</f>
        <v>4</v>
      </c>
      <c r="H15" s="40">
        <f>IF(OR(G15="",G15=0,'Cálculo de % usabilidad'!$F$5=0),"",G15/'Cálculo de % usabilidad'!$F$5)</f>
        <v>0.0243902439</v>
      </c>
      <c r="I15" s="40">
        <f t="shared" si="1"/>
        <v>0.243902439</v>
      </c>
      <c r="J15" s="41">
        <f t="shared" si="2"/>
        <v>0.243902439</v>
      </c>
    </row>
    <row r="16" ht="14.25" customHeight="1">
      <c r="A16" s="13" t="s">
        <v>135</v>
      </c>
      <c r="B16" s="43" t="s">
        <v>136</v>
      </c>
      <c r="C16" s="42" t="s">
        <v>63</v>
      </c>
      <c r="D16" s="38" t="str">
        <f>IF(OR(TipoDeSitio="",C16="NA"),"",VLOOKUP(CONCATENATE(A16,": ",B16),Tabla623,MATCH(TipoDeSitio,Tipos,0)+1,0))</f>
        <v/>
      </c>
      <c r="E16" s="13" t="s">
        <v>137</v>
      </c>
      <c r="F16" s="9">
        <f>IF(C16="","",VLOOKUP(C16,ValoresVC,2,0))</f>
        <v>0</v>
      </c>
      <c r="G16" s="39" t="str">
        <f>IF(D16="","",VLOOKUP($D16,ValoresRC,2,0))</f>
        <v/>
      </c>
      <c r="H16" s="40" t="str">
        <f>IF(OR(G16="",G16=0,'Cálculo de % usabilidad'!$F$5=0),"",G16/'Cálculo de % usabilidad'!$F$5)</f>
        <v/>
      </c>
      <c r="I16" s="40" t="str">
        <f t="shared" si="1"/>
        <v/>
      </c>
      <c r="J16" s="41" t="str">
        <f t="shared" si="2"/>
        <v/>
      </c>
      <c r="K16" s="26" t="s">
        <v>66</v>
      </c>
      <c r="L16" s="27">
        <f>14-(COUNTIF(C3:C16,"NA")+COUNTBLANK(C3:C16))</f>
        <v>11</v>
      </c>
      <c r="M16" s="26" t="s">
        <v>67</v>
      </c>
    </row>
    <row r="17" ht="14.25" customHeight="1">
      <c r="G17" s="28">
        <f>IF(SUM(G3:G16)=0,"",SUM(G3:G16))</f>
        <v>28</v>
      </c>
    </row>
    <row r="18" ht="14.25" customHeight="1">
      <c r="A18" s="29" t="s">
        <v>68</v>
      </c>
      <c r="C18" s="30" t="s">
        <v>69</v>
      </c>
      <c r="D18" s="31"/>
      <c r="E18" s="31"/>
      <c r="F18" s="31"/>
      <c r="G18" s="31"/>
      <c r="H18" s="31"/>
      <c r="I18" s="31"/>
      <c r="J18" s="31"/>
    </row>
    <row r="19" ht="14.25" customHeight="1">
      <c r="A19" s="26" t="s">
        <v>70</v>
      </c>
      <c r="C19" s="32">
        <v>0.0</v>
      </c>
      <c r="D19" s="31" t="s">
        <v>71</v>
      </c>
      <c r="E19" s="31"/>
      <c r="F19" s="32" t="s">
        <v>72</v>
      </c>
      <c r="G19" s="31" t="s">
        <v>73</v>
      </c>
      <c r="H19" s="31"/>
      <c r="I19" s="31"/>
      <c r="J19" s="31"/>
    </row>
    <row r="20" ht="14.25" customHeight="1">
      <c r="A20" s="26" t="s">
        <v>74</v>
      </c>
      <c r="C20" s="32">
        <v>10.0</v>
      </c>
      <c r="D20" s="31" t="s">
        <v>75</v>
      </c>
      <c r="E20" s="31"/>
      <c r="F20" s="32" t="s">
        <v>76</v>
      </c>
      <c r="G20" s="31" t="s">
        <v>77</v>
      </c>
      <c r="H20" s="31"/>
      <c r="I20" s="31"/>
      <c r="J20" s="31"/>
    </row>
    <row r="21" ht="14.25" customHeight="1">
      <c r="C21" s="32" t="s">
        <v>63</v>
      </c>
      <c r="D21" s="31" t="s">
        <v>78</v>
      </c>
      <c r="E21" s="31"/>
      <c r="F21" s="32" t="s">
        <v>79</v>
      </c>
      <c r="G21" s="31" t="s">
        <v>80</v>
      </c>
      <c r="H21" s="31"/>
      <c r="I21" s="31"/>
      <c r="J21" s="31"/>
    </row>
    <row r="22" ht="14.25" customHeight="1">
      <c r="C22" s="32" t="s">
        <v>81</v>
      </c>
      <c r="D22" s="31" t="s">
        <v>82</v>
      </c>
      <c r="E22" s="31"/>
      <c r="F22" s="32" t="s">
        <v>83</v>
      </c>
      <c r="G22" s="31" t="s">
        <v>84</v>
      </c>
      <c r="H22" s="31"/>
      <c r="I22" s="31"/>
      <c r="J22" s="31"/>
    </row>
    <row r="23" ht="14.25" customHeight="1">
      <c r="C23" s="31"/>
      <c r="D23" s="31"/>
      <c r="E23" s="31"/>
      <c r="F23" s="31"/>
      <c r="G23" s="31"/>
      <c r="H23" s="31"/>
      <c r="I23" s="31"/>
      <c r="J23" s="31"/>
    </row>
    <row r="24" ht="14.25" customHeight="1">
      <c r="C24" s="18"/>
      <c r="D24" s="18"/>
      <c r="E24" s="18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:C6">
      <formula1>Valores1</formula1>
    </dataValidation>
    <dataValidation type="list" allowBlank="1" showErrorMessage="1" sqref="C3 C7:C16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57"/>
    <col customWidth="1" min="3" max="3" width="10.71"/>
    <col customWidth="1" min="4" max="4" width="14.0"/>
    <col customWidth="1" min="5" max="5" width="34.57"/>
    <col customWidth="1" min="6" max="6" width="18.0"/>
    <col customWidth="1" min="7" max="7" width="30.57"/>
    <col customWidth="1" min="8" max="10" width="24.57"/>
    <col customWidth="1" min="11" max="11" width="25.14"/>
    <col customWidth="1" min="12" max="12" width="5.86"/>
    <col customWidth="1" min="13" max="26" width="10.71"/>
  </cols>
  <sheetData>
    <row r="1" ht="36.75" customHeight="1">
      <c r="A1" s="8" t="s">
        <v>138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139</v>
      </c>
      <c r="B3" s="13" t="s">
        <v>140</v>
      </c>
      <c r="C3" s="37" t="s">
        <v>58</v>
      </c>
      <c r="D3" s="38" t="str">
        <f>IF(OR(TipoDeSitio="",C3="NA"),"",VLOOKUP(CONCATENATE(A3,": ",B3),Tabla624,MATCH(TipoDeSitio,Tipos,0)+1,0))</f>
        <v>ME</v>
      </c>
      <c r="E3" s="13"/>
      <c r="F3" s="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0.01219512195</v>
      </c>
      <c r="I3" s="40">
        <f t="shared" ref="I3:I8" si="1">IF(OR(H3="",F3=""),"",H3*F3)</f>
        <v>0.1219512195</v>
      </c>
      <c r="J3" s="41">
        <f t="shared" ref="J3:J8" si="2">IF(H3="","",H3*10)</f>
        <v>0.1219512195</v>
      </c>
      <c r="K3" s="18"/>
    </row>
    <row r="4" ht="14.25" customHeight="1">
      <c r="A4" s="13" t="s">
        <v>141</v>
      </c>
      <c r="B4" s="13" t="s">
        <v>142</v>
      </c>
      <c r="C4" s="37" t="s">
        <v>58</v>
      </c>
      <c r="D4" s="38" t="str">
        <f>IF(OR(TipoDeSitio="",C4="NA"),"",VLOOKUP(CONCATENATE(A4,": ",B4),Tabla624,MATCH(TipoDeSitio,Tipos,0)+1,0))</f>
        <v>ME</v>
      </c>
      <c r="E4" s="13"/>
      <c r="F4" s="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0.01219512195</v>
      </c>
      <c r="I4" s="40">
        <f t="shared" si="1"/>
        <v>0.1219512195</v>
      </c>
      <c r="J4" s="41">
        <f t="shared" si="2"/>
        <v>0.1219512195</v>
      </c>
      <c r="K4" s="18"/>
    </row>
    <row r="5" ht="14.25" customHeight="1">
      <c r="A5" s="13" t="s">
        <v>143</v>
      </c>
      <c r="B5" s="13" t="s">
        <v>144</v>
      </c>
      <c r="C5" s="37" t="s">
        <v>58</v>
      </c>
      <c r="D5" s="38" t="str">
        <f>IF(OR(TipoDeSitio="",C5="NA"),"",VLOOKUP(CONCATENATE(A5,": ",B5),Tabla624,MATCH(TipoDeSitio,Tipos,0)+1,0))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0.01219512195</v>
      </c>
      <c r="I5" s="40">
        <f t="shared" si="1"/>
        <v>0.1219512195</v>
      </c>
      <c r="J5" s="41">
        <f t="shared" si="2"/>
        <v>0.1219512195</v>
      </c>
      <c r="K5" s="18"/>
    </row>
    <row r="6" ht="14.25" customHeight="1">
      <c r="A6" s="13" t="s">
        <v>145</v>
      </c>
      <c r="B6" s="43" t="s">
        <v>146</v>
      </c>
      <c r="C6" s="42">
        <v>9.0</v>
      </c>
      <c r="D6" s="38" t="str">
        <f>IF(OR(TipoDeSitio="",C6="NA"),"",VLOOKUP(CONCATENATE(A6,": ",B6),Tabla624,MATCH(TipoDeSitio,Tipos,0)+1,0))</f>
        <v>ME</v>
      </c>
      <c r="E6" s="13"/>
      <c r="F6" s="9">
        <f>IF(C6="","",VLOOKUP(C6,ValoresVC,2,0))</f>
        <v>9</v>
      </c>
      <c r="G6" s="39">
        <f>IF(D6="","",VLOOKUP($D6,ValoresRC,2,0))</f>
        <v>2</v>
      </c>
      <c r="H6" s="40">
        <f>IF(OR(G6="",G6=0,'Cálculo de % usabilidad'!$F$5=0),"",G6/'Cálculo de % usabilidad'!$F$5)</f>
        <v>0.01219512195</v>
      </c>
      <c r="I6" s="40">
        <f t="shared" si="1"/>
        <v>0.1097560976</v>
      </c>
      <c r="J6" s="41">
        <f t="shared" si="2"/>
        <v>0.1219512195</v>
      </c>
      <c r="K6" s="18"/>
    </row>
    <row r="7" ht="14.25" customHeight="1">
      <c r="A7" s="13" t="s">
        <v>147</v>
      </c>
      <c r="B7" s="43" t="s">
        <v>148</v>
      </c>
      <c r="C7" s="37" t="s">
        <v>58</v>
      </c>
      <c r="D7" s="38" t="str">
        <f>IF(OR(TipoDeSitio="",C7="NA"),"",VLOOKUP(CONCATENATE(A7,": ",B7),Tabla624,MATCH(TipoDeSitio,Tipos,0)+1,0))</f>
        <v>ME</v>
      </c>
      <c r="E7" s="13"/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0.01219512195</v>
      </c>
      <c r="I7" s="40">
        <f t="shared" si="1"/>
        <v>0.1219512195</v>
      </c>
      <c r="J7" s="41">
        <f t="shared" si="2"/>
        <v>0.1219512195</v>
      </c>
      <c r="K7" s="18"/>
    </row>
    <row r="8" ht="14.25" customHeight="1">
      <c r="A8" s="13" t="s">
        <v>149</v>
      </c>
      <c r="B8" s="43" t="s">
        <v>150</v>
      </c>
      <c r="C8" s="37" t="s">
        <v>58</v>
      </c>
      <c r="D8" s="38" t="str">
        <f>IF(OR(TipoDeSitio="",C8="NA"),"",VLOOKUP(CONCATENATE(A8,": ",B8),Tabla624,MATCH(TipoDeSitio,Tipos,0)+1,0))</f>
        <v>ME</v>
      </c>
      <c r="E8" s="13"/>
      <c r="F8" s="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0.01219512195</v>
      </c>
      <c r="I8" s="40">
        <f t="shared" si="1"/>
        <v>0.1219512195</v>
      </c>
      <c r="J8" s="41">
        <f t="shared" si="2"/>
        <v>0.1219512195</v>
      </c>
      <c r="K8" s="26" t="s">
        <v>66</v>
      </c>
      <c r="L8" s="27">
        <f>6-(COUNTIF(C3:C8,"NA")+COUNTBLANK(C3:C8))</f>
        <v>6</v>
      </c>
      <c r="M8" s="26" t="s">
        <v>67</v>
      </c>
    </row>
    <row r="9" ht="14.25" customHeight="1">
      <c r="G9" s="28">
        <f>IF(SUM(G3:G8)=0,"",SUM(G3:G8))</f>
        <v>12</v>
      </c>
    </row>
    <row r="10" ht="14.25" customHeight="1">
      <c r="A10" s="29" t="s">
        <v>68</v>
      </c>
      <c r="C10" s="30" t="s">
        <v>69</v>
      </c>
      <c r="D10" s="31"/>
      <c r="E10" s="31"/>
      <c r="F10" s="31"/>
      <c r="G10" s="31"/>
      <c r="H10" s="31"/>
      <c r="I10" s="31"/>
      <c r="J10" s="31"/>
    </row>
    <row r="11" ht="14.25" customHeight="1">
      <c r="A11" s="26" t="s">
        <v>70</v>
      </c>
      <c r="C11" s="32">
        <v>0.0</v>
      </c>
      <c r="D11" s="31" t="s">
        <v>71</v>
      </c>
      <c r="E11" s="31"/>
      <c r="F11" s="32" t="s">
        <v>72</v>
      </c>
      <c r="G11" s="31" t="s">
        <v>73</v>
      </c>
      <c r="H11" s="31"/>
      <c r="I11" s="31"/>
      <c r="J11" s="31"/>
    </row>
    <row r="12" ht="14.25" customHeight="1">
      <c r="A12" s="26" t="s">
        <v>74</v>
      </c>
      <c r="C12" s="32">
        <v>10.0</v>
      </c>
      <c r="D12" s="31" t="s">
        <v>75</v>
      </c>
      <c r="E12" s="31"/>
      <c r="F12" s="32" t="s">
        <v>76</v>
      </c>
      <c r="G12" s="31" t="s">
        <v>77</v>
      </c>
      <c r="H12" s="31"/>
      <c r="I12" s="31"/>
      <c r="J12" s="31"/>
    </row>
    <row r="13" ht="14.25" customHeight="1">
      <c r="C13" s="32" t="s">
        <v>63</v>
      </c>
      <c r="D13" s="31" t="s">
        <v>78</v>
      </c>
      <c r="E13" s="31"/>
      <c r="F13" s="32" t="s">
        <v>79</v>
      </c>
      <c r="G13" s="31" t="s">
        <v>80</v>
      </c>
      <c r="H13" s="31"/>
      <c r="I13" s="31"/>
      <c r="J13" s="31"/>
    </row>
    <row r="14" ht="14.25" customHeight="1">
      <c r="C14" s="32" t="s">
        <v>81</v>
      </c>
      <c r="D14" s="31" t="s">
        <v>82</v>
      </c>
      <c r="E14" s="31"/>
      <c r="F14" s="32" t="s">
        <v>83</v>
      </c>
      <c r="G14" s="31" t="s">
        <v>84</v>
      </c>
      <c r="H14" s="31"/>
      <c r="I14" s="31"/>
      <c r="J14" s="31"/>
    </row>
    <row r="15" ht="14.25" customHeight="1">
      <c r="C15" s="31"/>
      <c r="D15" s="31"/>
      <c r="E15" s="31"/>
      <c r="F15" s="31"/>
      <c r="G15" s="31"/>
      <c r="H15" s="31"/>
      <c r="I15" s="31"/>
      <c r="J15" s="31"/>
    </row>
    <row r="16" ht="14.25" customHeight="1">
      <c r="C16" s="18"/>
      <c r="D16" s="18"/>
      <c r="E16" s="18"/>
    </row>
    <row r="17" ht="14.25" customHeight="1">
      <c r="A17" s="44"/>
      <c r="B17" s="18"/>
      <c r="C17" s="18"/>
      <c r="D17" s="18"/>
    </row>
    <row r="18" ht="14.25" customHeight="1">
      <c r="A18" s="18"/>
      <c r="B18" s="18"/>
      <c r="C18" s="18"/>
      <c r="D18" s="18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">
      <formula1>Valores1</formula1>
    </dataValidation>
    <dataValidation type="list" allowBlank="1" showErrorMessage="1" sqref="C3:C5 C7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6.14"/>
    <col customWidth="1" min="5" max="5" width="26.57"/>
    <col customWidth="1" min="6" max="6" width="17.57"/>
    <col customWidth="1" min="7" max="7" width="29.57"/>
    <col customWidth="1" min="8" max="10" width="24.57"/>
    <col customWidth="1" min="11" max="11" width="24.86"/>
    <col customWidth="1" min="12" max="12" width="4.14"/>
    <col customWidth="1" min="13" max="26" width="10.71"/>
  </cols>
  <sheetData>
    <row r="1" ht="36.75" customHeight="1">
      <c r="A1" s="8" t="s">
        <v>151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152</v>
      </c>
      <c r="B3" s="43" t="s">
        <v>153</v>
      </c>
      <c r="C3" s="37" t="s">
        <v>58</v>
      </c>
      <c r="D3" s="38" t="str">
        <f>IF(OR(TipoDeSitio="",C3="NA"),"",VLOOKUP(CONCATENATE(A3,": ",B3),Tabla625,MATCH(TipoDeSitio,Tipos,0)+1,0))</f>
        <v>ME</v>
      </c>
      <c r="E3" s="13"/>
      <c r="F3" s="3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0.01219512195</v>
      </c>
      <c r="I3" s="40">
        <f t="shared" ref="I3:I12" si="1">IF(OR(H3="",F3=""),"",H3*F3)</f>
        <v>0.1219512195</v>
      </c>
      <c r="J3" s="41">
        <f t="shared" ref="J3:J12" si="2">IF(H3="","",H3*10)</f>
        <v>0.1219512195</v>
      </c>
      <c r="K3" s="18"/>
    </row>
    <row r="4" ht="14.25" customHeight="1">
      <c r="A4" s="13" t="s">
        <v>154</v>
      </c>
      <c r="B4" s="13" t="s">
        <v>155</v>
      </c>
      <c r="C4" s="37" t="s">
        <v>79</v>
      </c>
      <c r="D4" s="38" t="str">
        <f>IF(OR(TipoDeSitio="",C4="NA"),"",VLOOKUP(CONCATENATE(A4,": ",B4),Tabla625,MATCH(TipoDeSitio,Tipos,0)+1,0))</f>
        <v>ME</v>
      </c>
      <c r="E4" s="13" t="s">
        <v>156</v>
      </c>
      <c r="F4" s="39">
        <f>IF(C4="","",VLOOKUP(C4,ValoresVC,2,0))</f>
        <v>7.5</v>
      </c>
      <c r="G4" s="39">
        <f>IF(D4="","",VLOOKUP($D4,ValoresRC,2,0))</f>
        <v>2</v>
      </c>
      <c r="H4" s="40">
        <f>IF(OR(G4="",G4=0,'Cálculo de % usabilidad'!$F$5=0),"",G4/'Cálculo de % usabilidad'!$F$5)</f>
        <v>0.01219512195</v>
      </c>
      <c r="I4" s="40">
        <f t="shared" si="1"/>
        <v>0.09146341463</v>
      </c>
      <c r="J4" s="41">
        <f t="shared" si="2"/>
        <v>0.1219512195</v>
      </c>
      <c r="K4" s="18"/>
    </row>
    <row r="5" ht="14.25" customHeight="1">
      <c r="A5" s="13" t="s">
        <v>157</v>
      </c>
      <c r="B5" s="13" t="s">
        <v>158</v>
      </c>
      <c r="C5" s="37" t="s">
        <v>58</v>
      </c>
      <c r="D5" s="38" t="str">
        <f>IF(OR(TipoDeSitio="",C5="NA"),"",VLOOKUP(CONCATENATE(A5,": ",B5),Tabla625,MATCH(TipoDeSitio,Tipos,0)+1,0))</f>
        <v>MA</v>
      </c>
      <c r="E5" s="13"/>
      <c r="F5" s="39">
        <f>IF(C5="","",VLOOKUP(C5,ValoresVC,2,0))</f>
        <v>10</v>
      </c>
      <c r="G5" s="39">
        <f>IF(D5="","",VLOOKUP($D5,ValoresRC,2,0))</f>
        <v>4</v>
      </c>
      <c r="H5" s="40">
        <f>IF(OR(G5="",G5=0,'Cálculo de % usabilidad'!$F$5=0),"",G5/'Cálculo de % usabilidad'!$F$5)</f>
        <v>0.0243902439</v>
      </c>
      <c r="I5" s="40">
        <f t="shared" si="1"/>
        <v>0.243902439</v>
      </c>
      <c r="J5" s="41">
        <f t="shared" si="2"/>
        <v>0.243902439</v>
      </c>
      <c r="K5" s="18"/>
    </row>
    <row r="6" ht="14.25" customHeight="1">
      <c r="A6" s="13" t="s">
        <v>159</v>
      </c>
      <c r="B6" s="43" t="s">
        <v>160</v>
      </c>
      <c r="C6" s="37" t="s">
        <v>63</v>
      </c>
      <c r="D6" s="38" t="str">
        <f>IF(OR(TipoDeSitio="",C6="NA"),"",VLOOKUP(CONCATENATE(A6,": ",B6),Tabla625,MATCH(TipoDeSitio,Tipos,0)+1,0))</f>
        <v/>
      </c>
      <c r="E6" s="13"/>
      <c r="F6" s="39">
        <f>IF(C6="","",VLOOKUP(C6,ValoresVC,2,0))</f>
        <v>0</v>
      </c>
      <c r="G6" s="39" t="str">
        <f>IF(D6="","",VLOOKUP($D6,ValoresRC,2,0))</f>
        <v/>
      </c>
      <c r="H6" s="40" t="str">
        <f>IF(OR(G6="",G6=0,'Cálculo de % usabilidad'!$F$5=0),"",G6/'Cálculo de % usabilidad'!$F$5)</f>
        <v/>
      </c>
      <c r="I6" s="40" t="str">
        <f t="shared" si="1"/>
        <v/>
      </c>
      <c r="J6" s="41" t="str">
        <f t="shared" si="2"/>
        <v/>
      </c>
      <c r="K6" s="18"/>
    </row>
    <row r="7" ht="14.25" customHeight="1">
      <c r="A7" s="13" t="s">
        <v>161</v>
      </c>
      <c r="B7" s="43" t="s">
        <v>162</v>
      </c>
      <c r="C7" s="42">
        <v>8.0</v>
      </c>
      <c r="D7" s="38" t="str">
        <f>IF(OR(TipoDeSitio="",C7="NA"),"",VLOOKUP(CONCATENATE(A7,": ",B7),Tabla625,MATCH(TipoDeSitio,Tipos,0)+1,0))</f>
        <v>MA</v>
      </c>
      <c r="E7" s="13"/>
      <c r="F7" s="39">
        <f>IF(C7="","",VLOOKUP(C7,ValoresVC,2,0))</f>
        <v>8</v>
      </c>
      <c r="G7" s="39">
        <f>IF(D7="","",VLOOKUP($D7,ValoresRC,2,0))</f>
        <v>4</v>
      </c>
      <c r="H7" s="40">
        <f>IF(OR(G7="",G7=0,'Cálculo de % usabilidad'!$F$5=0),"",G7/'Cálculo de % usabilidad'!$F$5)</f>
        <v>0.0243902439</v>
      </c>
      <c r="I7" s="40">
        <f t="shared" si="1"/>
        <v>0.1951219512</v>
      </c>
      <c r="J7" s="41">
        <f t="shared" si="2"/>
        <v>0.243902439</v>
      </c>
      <c r="K7" s="18"/>
    </row>
    <row r="8" ht="14.25" customHeight="1">
      <c r="A8" s="13" t="s">
        <v>163</v>
      </c>
      <c r="B8" s="43" t="s">
        <v>164</v>
      </c>
      <c r="C8" s="42">
        <v>9.0</v>
      </c>
      <c r="D8" s="38" t="str">
        <f>IF(OR(TipoDeSitio="",C8="NA"),"",VLOOKUP(CONCATENATE(A8,": ",B8),Tabla625,MATCH(TipoDeSitio,Tipos,0)+1,0))</f>
        <v>ME</v>
      </c>
      <c r="E8" s="13"/>
      <c r="F8" s="39">
        <f>IF(C8="","",VLOOKUP(C8,ValoresVC,2,0))</f>
        <v>9</v>
      </c>
      <c r="G8" s="39">
        <f>IF(D8="","",VLOOKUP($D8,ValoresRC,2,0))</f>
        <v>2</v>
      </c>
      <c r="H8" s="40">
        <f>IF(OR(G8="",G8=0,'Cálculo de % usabilidad'!$F$5=0),"",G8/'Cálculo de % usabilidad'!$F$5)</f>
        <v>0.01219512195</v>
      </c>
      <c r="I8" s="40">
        <f t="shared" si="1"/>
        <v>0.1097560976</v>
      </c>
      <c r="J8" s="41">
        <f t="shared" si="2"/>
        <v>0.1219512195</v>
      </c>
      <c r="K8" s="18"/>
    </row>
    <row r="9" ht="14.25" customHeight="1">
      <c r="A9" s="13" t="s">
        <v>165</v>
      </c>
      <c r="B9" s="43" t="s">
        <v>166</v>
      </c>
      <c r="C9" s="37" t="s">
        <v>58</v>
      </c>
      <c r="D9" s="38" t="str">
        <f>IF(OR(TipoDeSitio="",C9="NA"),"",VLOOKUP(CONCATENATE(A9,": ",B9),Tabla625,MATCH(TipoDeSitio,Tipos,0)+1,0))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0.01219512195</v>
      </c>
      <c r="I9" s="40">
        <f t="shared" si="1"/>
        <v>0.1219512195</v>
      </c>
      <c r="J9" s="41">
        <f t="shared" si="2"/>
        <v>0.1219512195</v>
      </c>
      <c r="K9" s="18"/>
    </row>
    <row r="10" ht="14.25" customHeight="1">
      <c r="A10" s="13" t="s">
        <v>167</v>
      </c>
      <c r="B10" s="13" t="s">
        <v>168</v>
      </c>
      <c r="C10" s="37" t="s">
        <v>63</v>
      </c>
      <c r="D10" s="38" t="str">
        <f>IF(OR(TipoDeSitio="",C10="NA"),"",VLOOKUP(CONCATENATE(A10,": ",B10),Tabla625,MATCH(TipoDeSitio,Tipos,0)+1,0))</f>
        <v/>
      </c>
      <c r="E10" s="13" t="s">
        <v>169</v>
      </c>
      <c r="F10" s="39">
        <f>IF(C10="","",VLOOKUP(C10,ValoresVC,2,0))</f>
        <v>0</v>
      </c>
      <c r="G10" s="39" t="str">
        <f>IF(D10="","",VLOOKUP($D10,ValoresRC,2,0))</f>
        <v/>
      </c>
      <c r="H10" s="40" t="str">
        <f>IF(OR(G10="",G10=0,'Cálculo de % usabilidad'!$F$5=0),"",G10/'Cálculo de % usabilidad'!$F$5)</f>
        <v/>
      </c>
      <c r="I10" s="40" t="str">
        <f t="shared" si="1"/>
        <v/>
      </c>
      <c r="J10" s="41" t="str">
        <f t="shared" si="2"/>
        <v/>
      </c>
      <c r="K10" s="18"/>
    </row>
    <row r="11" ht="14.25" customHeight="1">
      <c r="A11" s="13" t="s">
        <v>170</v>
      </c>
      <c r="B11" s="13" t="s">
        <v>171</v>
      </c>
      <c r="C11" s="37" t="s">
        <v>58</v>
      </c>
      <c r="D11" s="38" t="str">
        <f>IF(OR(TipoDeSitio="",C11="NA"),"",VLOOKUP(CONCATENATE(A11,": ",B11),Tabla625,MATCH(TipoDeSitio,Tipos,0)+1,0))</f>
        <v>MA</v>
      </c>
      <c r="E11" s="13"/>
      <c r="F11" s="39">
        <f>IF(C11="","",VLOOKUP(C11,ValoresVC,2,0))</f>
        <v>10</v>
      </c>
      <c r="G11" s="39">
        <f>IF(D11="","",VLOOKUP($D11,ValoresRC,2,0))</f>
        <v>4</v>
      </c>
      <c r="H11" s="40">
        <f>IF(OR(G11="",G11=0,'Cálculo de % usabilidad'!$F$5=0),"",G11/'Cálculo de % usabilidad'!$F$5)</f>
        <v>0.0243902439</v>
      </c>
      <c r="I11" s="40">
        <f t="shared" si="1"/>
        <v>0.243902439</v>
      </c>
      <c r="J11" s="41">
        <f t="shared" si="2"/>
        <v>0.243902439</v>
      </c>
      <c r="K11" s="18"/>
    </row>
    <row r="12" ht="14.25" customHeight="1">
      <c r="A12" s="13" t="s">
        <v>172</v>
      </c>
      <c r="B12" s="13" t="s">
        <v>173</v>
      </c>
      <c r="C12" s="37" t="s">
        <v>58</v>
      </c>
      <c r="D12" s="38" t="str">
        <f>IF(OR(TipoDeSitio="",C12="NA"),"",VLOOKUP(CONCATENATE(A12,": ",B12),Tabla625,MATCH(TipoDeSitio,Tipos,0)+1,0))</f>
        <v>MO</v>
      </c>
      <c r="E12" s="13"/>
      <c r="F12" s="3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0.006097560976</v>
      </c>
      <c r="I12" s="40">
        <f t="shared" si="1"/>
        <v>0.06097560976</v>
      </c>
      <c r="J12" s="41">
        <f t="shared" si="2"/>
        <v>0.06097560976</v>
      </c>
      <c r="K12" s="26" t="s">
        <v>66</v>
      </c>
      <c r="L12" s="27">
        <f>10-(COUNTIF(C3:C12,"NA")+COUNTBLANK(C3:C12))</f>
        <v>8</v>
      </c>
      <c r="M12" s="26" t="s">
        <v>67</v>
      </c>
    </row>
    <row r="13" ht="14.25" customHeight="1">
      <c r="G13" s="28">
        <f>IF(SUM(G3:G12)=0,"",SUM(G3:G12))</f>
        <v>21</v>
      </c>
    </row>
    <row r="14" ht="14.25" customHeight="1">
      <c r="A14" s="29" t="s">
        <v>68</v>
      </c>
      <c r="C14" s="30" t="s">
        <v>69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70</v>
      </c>
      <c r="C15" s="32">
        <v>0.0</v>
      </c>
      <c r="D15" s="31" t="s">
        <v>71</v>
      </c>
      <c r="E15" s="31"/>
      <c r="F15" s="32" t="s">
        <v>72</v>
      </c>
      <c r="G15" s="31" t="s">
        <v>73</v>
      </c>
      <c r="H15" s="31"/>
      <c r="I15" s="31"/>
      <c r="J15" s="31"/>
    </row>
    <row r="16" ht="14.25" customHeight="1">
      <c r="A16" s="26" t="s">
        <v>74</v>
      </c>
      <c r="C16" s="32">
        <v>10.0</v>
      </c>
      <c r="D16" s="31" t="s">
        <v>75</v>
      </c>
      <c r="E16" s="31"/>
      <c r="F16" s="32" t="s">
        <v>76</v>
      </c>
      <c r="G16" s="31" t="s">
        <v>77</v>
      </c>
      <c r="H16" s="31"/>
      <c r="I16" s="31"/>
      <c r="J16" s="31"/>
    </row>
    <row r="17" ht="14.25" customHeight="1">
      <c r="C17" s="32" t="s">
        <v>63</v>
      </c>
      <c r="D17" s="31" t="s">
        <v>78</v>
      </c>
      <c r="E17" s="31"/>
      <c r="F17" s="32" t="s">
        <v>79</v>
      </c>
      <c r="G17" s="31" t="s">
        <v>80</v>
      </c>
      <c r="H17" s="31"/>
      <c r="I17" s="31"/>
      <c r="J17" s="31"/>
    </row>
    <row r="18" ht="14.25" customHeight="1">
      <c r="C18" s="32" t="s">
        <v>81</v>
      </c>
      <c r="D18" s="31" t="s">
        <v>82</v>
      </c>
      <c r="E18" s="31"/>
      <c r="F18" s="32" t="s">
        <v>83</v>
      </c>
      <c r="G18" s="31" t="s">
        <v>84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>
      <c r="A21" s="18"/>
      <c r="B21" s="18"/>
      <c r="C21" s="18"/>
      <c r="D21" s="1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7:C8">
      <formula1>Valores1</formula1>
    </dataValidation>
    <dataValidation type="list" allowBlank="1" showErrorMessage="1" sqref="C3:C6 C9:C12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2.0"/>
    <col customWidth="1" min="3" max="3" width="10.71"/>
    <col customWidth="1" min="4" max="4" width="13.43"/>
    <col customWidth="1" min="5" max="5" width="29.57"/>
    <col customWidth="1" min="6" max="6" width="18.0"/>
    <col customWidth="1" min="7" max="7" width="29.43"/>
    <col customWidth="1" min="8" max="10" width="26.0"/>
    <col customWidth="1" min="11" max="11" width="25.86"/>
    <col customWidth="1" min="12" max="12" width="5.86"/>
    <col customWidth="1" min="13" max="26" width="10.71"/>
  </cols>
  <sheetData>
    <row r="1" ht="36.75" customHeight="1">
      <c r="A1" s="8" t="s">
        <v>174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175</v>
      </c>
      <c r="B3" s="43" t="s">
        <v>176</v>
      </c>
      <c r="C3" s="37" t="s">
        <v>58</v>
      </c>
      <c r="D3" s="38" t="str">
        <f>IF(OR(TipoDeSitio="",C3="NA"),"",VLOOKUP(CONCATENATE(A3,": ",B3),Tabla626,MATCH(TipoDeSitio,Tipos,0)+1,0))</f>
        <v>ME</v>
      </c>
      <c r="E3" s="13"/>
      <c r="F3" s="3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0.01219512195</v>
      </c>
      <c r="I3" s="40">
        <f t="shared" ref="I3:I9" si="1">IF(OR(H3="",F3=""),"",H3*F3)</f>
        <v>0.1219512195</v>
      </c>
      <c r="J3" s="41">
        <f t="shared" ref="J3:J9" si="2">IF(H3="","",H3*10)</f>
        <v>0.1219512195</v>
      </c>
      <c r="K3" s="18"/>
    </row>
    <row r="4" ht="14.25" customHeight="1">
      <c r="A4" s="13" t="s">
        <v>177</v>
      </c>
      <c r="B4" s="13" t="s">
        <v>178</v>
      </c>
      <c r="C4" s="37" t="s">
        <v>58</v>
      </c>
      <c r="D4" s="38" t="str">
        <f>IF(OR(TipoDeSitio="",C4="NA"),"",VLOOKUP(CONCATENATE(A4,": ",B4),Tabla626,MATCH(TipoDeSitio,Tipos,0)+1,0))</f>
        <v>ME</v>
      </c>
      <c r="E4" s="13"/>
      <c r="F4" s="3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0.01219512195</v>
      </c>
      <c r="I4" s="40">
        <f t="shared" si="1"/>
        <v>0.1219512195</v>
      </c>
      <c r="J4" s="41">
        <f t="shared" si="2"/>
        <v>0.1219512195</v>
      </c>
      <c r="K4" s="18"/>
    </row>
    <row r="5" ht="14.25" customHeight="1">
      <c r="A5" s="13" t="s">
        <v>179</v>
      </c>
      <c r="B5" s="13" t="s">
        <v>180</v>
      </c>
      <c r="C5" s="37" t="s">
        <v>63</v>
      </c>
      <c r="D5" s="38" t="str">
        <f>IF(OR(TipoDeSitio="",C5="NA"),"",VLOOKUP(CONCATENATE(A5,": ",B5),Tabla626,MATCH(TipoDeSitio,Tipos,0)+1,0))</f>
        <v/>
      </c>
      <c r="E5" s="13" t="s">
        <v>181</v>
      </c>
      <c r="F5" s="3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8"/>
    </row>
    <row r="6" ht="14.25" customHeight="1">
      <c r="A6" s="13" t="s">
        <v>182</v>
      </c>
      <c r="B6" s="43" t="s">
        <v>183</v>
      </c>
      <c r="C6" s="37" t="s">
        <v>58</v>
      </c>
      <c r="D6" s="38" t="str">
        <f>IF(OR(TipoDeSitio="",C6="NA"),"",VLOOKUP(CONCATENATE(A6,": ",B6),Tabla626,MATCH(TipoDeSitio,Tipos,0)+1,0))</f>
        <v>ME</v>
      </c>
      <c r="E6" s="13"/>
      <c r="F6" s="3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0.01219512195</v>
      </c>
      <c r="I6" s="40">
        <f t="shared" si="1"/>
        <v>0.1219512195</v>
      </c>
      <c r="J6" s="41">
        <f t="shared" si="2"/>
        <v>0.1219512195</v>
      </c>
      <c r="K6" s="18"/>
    </row>
    <row r="7" ht="14.25" customHeight="1">
      <c r="A7" s="13" t="s">
        <v>184</v>
      </c>
      <c r="B7" s="43" t="s">
        <v>185</v>
      </c>
      <c r="C7" s="37" t="s">
        <v>58</v>
      </c>
      <c r="D7" s="38" t="str">
        <f>IF(OR(TipoDeSitio="",C7="NA"),"",VLOOKUP(CONCATENATE(A7,": ",B7),Tabla626,MATCH(TipoDeSitio,Tipos,0)+1,0))</f>
        <v>ME</v>
      </c>
      <c r="E7" s="13"/>
      <c r="F7" s="3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0.01219512195</v>
      </c>
      <c r="I7" s="40">
        <f t="shared" si="1"/>
        <v>0.1219512195</v>
      </c>
      <c r="J7" s="41">
        <f t="shared" si="2"/>
        <v>0.1219512195</v>
      </c>
      <c r="K7" s="18"/>
    </row>
    <row r="8" ht="14.25" customHeight="1">
      <c r="A8" s="13" t="s">
        <v>186</v>
      </c>
      <c r="B8" s="43" t="s">
        <v>187</v>
      </c>
      <c r="C8" s="37" t="s">
        <v>58</v>
      </c>
      <c r="D8" s="38" t="str">
        <f>IF(OR(TipoDeSitio="",C8="NA"),"",VLOOKUP(CONCATENATE(A8,": ",B8),Tabla626,MATCH(TipoDeSitio,Tipos,0)+1,0))</f>
        <v>ME</v>
      </c>
      <c r="E8" s="13"/>
      <c r="F8" s="3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0.01219512195</v>
      </c>
      <c r="I8" s="40">
        <f t="shared" si="1"/>
        <v>0.1219512195</v>
      </c>
      <c r="J8" s="41">
        <f t="shared" si="2"/>
        <v>0.1219512195</v>
      </c>
      <c r="K8" s="18"/>
    </row>
    <row r="9" ht="14.25" customHeight="1">
      <c r="A9" s="13" t="s">
        <v>188</v>
      </c>
      <c r="B9" s="43" t="s">
        <v>189</v>
      </c>
      <c r="C9" s="37" t="s">
        <v>58</v>
      </c>
      <c r="D9" s="38" t="str">
        <f>IF(OR(TipoDeSitio="",C9="NA"),"",VLOOKUP(CONCATENATE(A9,": ",B9),Tabla626,MATCH(TipoDeSitio,Tipos,0)+1,0))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0.01219512195</v>
      </c>
      <c r="I9" s="40">
        <f t="shared" si="1"/>
        <v>0.1219512195</v>
      </c>
      <c r="J9" s="41">
        <f t="shared" si="2"/>
        <v>0.1219512195</v>
      </c>
      <c r="K9" s="26" t="s">
        <v>66</v>
      </c>
      <c r="L9" s="27">
        <f>7-(COUNTIF(C3:C9,"NA")+COUNTBLANK(C3:C9))</f>
        <v>6</v>
      </c>
      <c r="M9" s="26" t="s">
        <v>67</v>
      </c>
    </row>
    <row r="10" ht="14.25" customHeight="1">
      <c r="G10" s="28">
        <f>IF(SUM(G3:G9)=0,"",SUM(G3:G9))</f>
        <v>12</v>
      </c>
    </row>
    <row r="11" ht="14.25" customHeight="1">
      <c r="A11" s="29" t="s">
        <v>68</v>
      </c>
      <c r="C11" s="30" t="s">
        <v>69</v>
      </c>
      <c r="D11" s="31"/>
      <c r="E11" s="31"/>
      <c r="F11" s="31"/>
      <c r="G11" s="31"/>
      <c r="H11" s="31"/>
      <c r="I11" s="31"/>
      <c r="J11" s="31"/>
    </row>
    <row r="12" ht="14.25" customHeight="1">
      <c r="A12" s="26" t="s">
        <v>70</v>
      </c>
      <c r="C12" s="32">
        <v>0.0</v>
      </c>
      <c r="D12" s="31" t="s">
        <v>71</v>
      </c>
      <c r="E12" s="31"/>
      <c r="F12" s="32" t="s">
        <v>72</v>
      </c>
      <c r="G12" s="31" t="s">
        <v>73</v>
      </c>
      <c r="H12" s="31"/>
      <c r="I12" s="31"/>
      <c r="J12" s="31"/>
    </row>
    <row r="13" ht="14.25" customHeight="1">
      <c r="A13" s="26" t="s">
        <v>74</v>
      </c>
      <c r="C13" s="32">
        <v>10.0</v>
      </c>
      <c r="D13" s="31" t="s">
        <v>75</v>
      </c>
      <c r="E13" s="31"/>
      <c r="F13" s="32" t="s">
        <v>76</v>
      </c>
      <c r="G13" s="31" t="s">
        <v>77</v>
      </c>
      <c r="H13" s="31"/>
      <c r="I13" s="31"/>
      <c r="J13" s="31"/>
    </row>
    <row r="14" ht="14.25" customHeight="1">
      <c r="C14" s="32" t="s">
        <v>63</v>
      </c>
      <c r="D14" s="31" t="s">
        <v>78</v>
      </c>
      <c r="E14" s="31"/>
      <c r="F14" s="32" t="s">
        <v>79</v>
      </c>
      <c r="G14" s="31" t="s">
        <v>80</v>
      </c>
      <c r="H14" s="31"/>
      <c r="I14" s="31"/>
      <c r="J14" s="31"/>
    </row>
    <row r="15" ht="14.25" customHeight="1">
      <c r="C15" s="32" t="s">
        <v>81</v>
      </c>
      <c r="D15" s="31" t="s">
        <v>82</v>
      </c>
      <c r="E15" s="31"/>
      <c r="F15" s="32" t="s">
        <v>83</v>
      </c>
      <c r="G15" s="31" t="s">
        <v>84</v>
      </c>
      <c r="H15" s="31"/>
      <c r="I15" s="31"/>
      <c r="J15" s="31"/>
    </row>
    <row r="16" ht="14.25" customHeight="1">
      <c r="C16" s="31"/>
      <c r="D16" s="31"/>
      <c r="E16" s="31"/>
      <c r="F16" s="31"/>
      <c r="G16" s="31"/>
      <c r="H16" s="31"/>
      <c r="I16" s="31"/>
      <c r="J16" s="31"/>
    </row>
    <row r="17" ht="14.25" customHeight="1">
      <c r="C17" s="18"/>
      <c r="D17" s="18"/>
      <c r="E17" s="18"/>
    </row>
    <row r="18" ht="14.25" customHeight="1">
      <c r="A18" s="44"/>
      <c r="B18" s="18"/>
      <c r="C18" s="18"/>
      <c r="D18" s="18"/>
      <c r="E18" s="18"/>
    </row>
    <row r="19" ht="14.25" customHeight="1">
      <c r="A19" s="18"/>
      <c r="B19" s="18"/>
      <c r="C19" s="18"/>
      <c r="D19" s="18"/>
      <c r="E19" s="18"/>
    </row>
    <row r="20" ht="14.25" customHeight="1">
      <c r="A20" s="18"/>
      <c r="B20" s="18"/>
      <c r="C20" s="18"/>
      <c r="D20" s="18"/>
      <c r="E20" s="1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5.0"/>
    <col customWidth="1" min="5" max="5" width="30.57"/>
    <col customWidth="1" min="6" max="6" width="16.14"/>
    <col customWidth="1" min="7" max="7" width="29.43"/>
    <col customWidth="1" min="8" max="10" width="22.43"/>
    <col customWidth="1" min="11" max="11" width="25.43"/>
    <col customWidth="1" min="12" max="12" width="4.14"/>
    <col customWidth="1" min="13" max="26" width="10.71"/>
  </cols>
  <sheetData>
    <row r="1" ht="36.75" customHeight="1">
      <c r="A1" s="45" t="s">
        <v>190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191</v>
      </c>
      <c r="B3" s="43" t="s">
        <v>192</v>
      </c>
      <c r="C3" s="42" t="s">
        <v>63</v>
      </c>
      <c r="D3" s="38" t="str">
        <f>IF(OR(TipoDeSitio="",C3="NA"),"",VLOOKUP(CONCATENATE(A3,": ",B3),Tabla627,MATCH(TipoDeSitio,Tipos,0)+1,0))</f>
        <v/>
      </c>
      <c r="E3" s="13"/>
      <c r="F3" s="3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12" si="1">IF(OR(H3="",F3=""),"",H3*F3)</f>
        <v/>
      </c>
      <c r="J3" s="41" t="str">
        <f t="shared" ref="J3:J12" si="2">IF(H3="","",H3*10)</f>
        <v/>
      </c>
      <c r="K3" s="18"/>
    </row>
    <row r="4" ht="14.25" customHeight="1">
      <c r="A4" s="13" t="s">
        <v>193</v>
      </c>
      <c r="B4" s="13" t="s">
        <v>194</v>
      </c>
      <c r="C4" s="37" t="s">
        <v>58</v>
      </c>
      <c r="D4" s="38" t="str">
        <f>IF(OR(TipoDeSitio="",C4="NA"),"",VLOOKUP(CONCATENATE(A4,": ",B4),Tabla627,MATCH(TipoDeSitio,Tipos,0)+1,0))</f>
        <v>MO</v>
      </c>
      <c r="E4" s="13"/>
      <c r="F4" s="39">
        <f>IF(C4="","",VLOOKUP(C4,ValoresVC,2,0))</f>
        <v>10</v>
      </c>
      <c r="G4" s="39">
        <f>IF(D4="","",VLOOKUP($D4,ValoresRC,2,0))</f>
        <v>1</v>
      </c>
      <c r="H4" s="40">
        <f>IF(OR(G4="",G4=0,'Cálculo de % usabilidad'!$F$5=0),"",G4/'Cálculo de % usabilidad'!$F$5)</f>
        <v>0.006097560976</v>
      </c>
      <c r="I4" s="40">
        <f t="shared" si="1"/>
        <v>0.06097560976</v>
      </c>
      <c r="J4" s="41">
        <f t="shared" si="2"/>
        <v>0.06097560976</v>
      </c>
      <c r="K4" s="18"/>
    </row>
    <row r="5" ht="14.25" customHeight="1">
      <c r="A5" s="13" t="s">
        <v>195</v>
      </c>
      <c r="B5" s="13" t="s">
        <v>196</v>
      </c>
      <c r="C5" s="37" t="s">
        <v>58</v>
      </c>
      <c r="D5" s="38" t="str">
        <f>IF(OR(TipoDeSitio="",C5="NA"),"",VLOOKUP(CONCATENATE(A5,": ",B5),Tabla627,MATCH(TipoDeSitio,Tipos,0)+1,0))</f>
        <v>MO</v>
      </c>
      <c r="E5" s="13"/>
      <c r="F5" s="39">
        <f>IF(C5="","",VLOOKUP(C5,ValoresVC,2,0))</f>
        <v>10</v>
      </c>
      <c r="G5" s="39">
        <f>IF(D5="","",VLOOKUP($D5,ValoresRC,2,0))</f>
        <v>1</v>
      </c>
      <c r="H5" s="40">
        <f>IF(OR(G5="",G5=0,'Cálculo de % usabilidad'!$F$5=0),"",G5/'Cálculo de % usabilidad'!$F$5)</f>
        <v>0.006097560976</v>
      </c>
      <c r="I5" s="40">
        <f t="shared" si="1"/>
        <v>0.06097560976</v>
      </c>
      <c r="J5" s="41">
        <f t="shared" si="2"/>
        <v>0.06097560976</v>
      </c>
      <c r="K5" s="18"/>
    </row>
    <row r="6" ht="15.75" customHeight="1">
      <c r="A6" s="13" t="s">
        <v>197</v>
      </c>
      <c r="B6" s="43" t="s">
        <v>198</v>
      </c>
      <c r="C6" s="42" t="s">
        <v>79</v>
      </c>
      <c r="D6" s="38" t="str">
        <f>IF(OR(TipoDeSitio="",C6="NA"),"",VLOOKUP(CONCATENATE(A6,": ",B6),Tabla627,MATCH(TipoDeSitio,Tipos,0)+1,0))</f>
        <v>MA</v>
      </c>
      <c r="E6" s="13"/>
      <c r="F6" s="39">
        <f>IF(C6="","",VLOOKUP(C6,ValoresVC,2,0))</f>
        <v>7.5</v>
      </c>
      <c r="G6" s="39">
        <f>IF(D6="","",VLOOKUP($D6,ValoresRC,2,0))</f>
        <v>4</v>
      </c>
      <c r="H6" s="40">
        <f>IF(OR(G6="",G6=0,'Cálculo de % usabilidad'!$F$5=0),"",G6/'Cálculo de % usabilidad'!$F$5)</f>
        <v>0.0243902439</v>
      </c>
      <c r="I6" s="40">
        <f t="shared" si="1"/>
        <v>0.1829268293</v>
      </c>
      <c r="J6" s="41">
        <f t="shared" si="2"/>
        <v>0.243902439</v>
      </c>
      <c r="K6" s="18"/>
    </row>
    <row r="7" ht="14.25" customHeight="1">
      <c r="A7" s="13" t="s">
        <v>199</v>
      </c>
      <c r="B7" s="43" t="s">
        <v>200</v>
      </c>
      <c r="C7" s="42" t="s">
        <v>79</v>
      </c>
      <c r="D7" s="38" t="str">
        <f>IF(OR(TipoDeSitio="",C7="NA"),"",VLOOKUP(CONCATENATE(A7,": ",B7),Tabla627,MATCH(TipoDeSitio,Tipos,0)+1,0))</f>
        <v>MA</v>
      </c>
      <c r="E7" s="13"/>
      <c r="F7" s="39">
        <f>IF(C7="","",VLOOKUP(C7,ValoresVC,2,0))</f>
        <v>7.5</v>
      </c>
      <c r="G7" s="39">
        <f>IF(D7="","",VLOOKUP($D7,ValoresRC,2,0))</f>
        <v>4</v>
      </c>
      <c r="H7" s="40">
        <f>IF(OR(G7="",G7=0,'Cálculo de % usabilidad'!$F$5=0),"",G7/'Cálculo de % usabilidad'!$F$5)</f>
        <v>0.0243902439</v>
      </c>
      <c r="I7" s="40">
        <f t="shared" si="1"/>
        <v>0.1829268293</v>
      </c>
      <c r="J7" s="41">
        <f t="shared" si="2"/>
        <v>0.243902439</v>
      </c>
      <c r="K7" s="18"/>
    </row>
    <row r="8" ht="14.25" customHeight="1">
      <c r="A8" s="13" t="s">
        <v>201</v>
      </c>
      <c r="B8" s="43" t="s">
        <v>202</v>
      </c>
      <c r="C8" s="37" t="s">
        <v>58</v>
      </c>
      <c r="D8" s="38" t="str">
        <f>IF(OR(TipoDeSitio="",C8="NA"),"",VLOOKUP(CONCATENATE(A8,": ",B8),Tabla627,MATCH(TipoDeSitio,Tipos,0)+1,0))</f>
        <v>MA</v>
      </c>
      <c r="E8" s="13"/>
      <c r="F8" s="3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0.0243902439</v>
      </c>
      <c r="I8" s="40">
        <f t="shared" si="1"/>
        <v>0.243902439</v>
      </c>
      <c r="J8" s="41">
        <f t="shared" si="2"/>
        <v>0.243902439</v>
      </c>
      <c r="K8" s="18"/>
    </row>
    <row r="9" ht="14.25" customHeight="1">
      <c r="A9" s="13" t="s">
        <v>203</v>
      </c>
      <c r="B9" s="43" t="s">
        <v>204</v>
      </c>
      <c r="C9" s="37" t="s">
        <v>58</v>
      </c>
      <c r="D9" s="38" t="str">
        <f>IF(OR(TipoDeSitio="",C9="NA"),"",VLOOKUP(CONCATENATE(A9,": ",B9),Tabla627,MATCH(TipoDeSitio,Tipos,0)+1,0))</f>
        <v>MO</v>
      </c>
      <c r="E9" s="13"/>
      <c r="F9" s="39">
        <f>IF(C9="","",VLOOKUP(C9,ValoresVC,2,0))</f>
        <v>10</v>
      </c>
      <c r="G9" s="39">
        <f>IF(D9="","",VLOOKUP($D9,ValoresRC,2,0))</f>
        <v>1</v>
      </c>
      <c r="H9" s="40">
        <f>IF(OR(G9="",G9=0,'Cálculo de % usabilidad'!$F$5=0),"",G9/'Cálculo de % usabilidad'!$F$5)</f>
        <v>0.006097560976</v>
      </c>
      <c r="I9" s="40">
        <f t="shared" si="1"/>
        <v>0.06097560976</v>
      </c>
      <c r="J9" s="41">
        <f t="shared" si="2"/>
        <v>0.06097560976</v>
      </c>
      <c r="K9" s="18"/>
    </row>
    <row r="10" ht="14.25" customHeight="1">
      <c r="A10" s="13" t="s">
        <v>205</v>
      </c>
      <c r="B10" s="13" t="s">
        <v>206</v>
      </c>
      <c r="C10" s="37" t="s">
        <v>58</v>
      </c>
      <c r="D10" s="38" t="str">
        <f>IF(OR(TipoDeSitio="",C10="NA"),"",VLOOKUP(CONCATENATE(A10,": ",B10),Tabla627,MATCH(TipoDeSitio,Tipos,0)+1,0))</f>
        <v>ME</v>
      </c>
      <c r="E10" s="13"/>
      <c r="F10" s="39">
        <f>IF(C10="","",VLOOKUP(C10,ValoresVC,2,0))</f>
        <v>10</v>
      </c>
      <c r="G10" s="39">
        <f>IF(D10="","",VLOOKUP($D10,ValoresRC,2,0))</f>
        <v>2</v>
      </c>
      <c r="H10" s="40">
        <f>IF(OR(G10="",G10=0,'Cálculo de % usabilidad'!$F$5=0),"",G10/'Cálculo de % usabilidad'!$F$5)</f>
        <v>0.01219512195</v>
      </c>
      <c r="I10" s="40">
        <f t="shared" si="1"/>
        <v>0.1219512195</v>
      </c>
      <c r="J10" s="41">
        <f t="shared" si="2"/>
        <v>0.1219512195</v>
      </c>
      <c r="K10" s="18"/>
    </row>
    <row r="11" ht="14.25" customHeight="1">
      <c r="A11" s="13" t="s">
        <v>207</v>
      </c>
      <c r="B11" s="43" t="s">
        <v>208</v>
      </c>
      <c r="C11" s="37" t="s">
        <v>58</v>
      </c>
      <c r="D11" s="38" t="str">
        <f>IF(OR(TipoDeSitio="",C11="NA"),"",VLOOKUP(CONCATENATE(A11,": ",B11),Tabla627,MATCH(TipoDeSitio,Tipos,0)+1,0))</f>
        <v>ME</v>
      </c>
      <c r="E11" s="13"/>
      <c r="F11" s="39">
        <f>IF(C11="","",VLOOKUP(C11,ValoresVC,2,0))</f>
        <v>10</v>
      </c>
      <c r="G11" s="39">
        <f>IF(D11="","",VLOOKUP($D11,ValoresRC,2,0))</f>
        <v>2</v>
      </c>
      <c r="H11" s="40">
        <f>IF(OR(G11="",G11=0,'Cálculo de % usabilidad'!$F$5=0),"",G11/'Cálculo de % usabilidad'!$F$5)</f>
        <v>0.01219512195</v>
      </c>
      <c r="I11" s="40">
        <f t="shared" si="1"/>
        <v>0.1219512195</v>
      </c>
      <c r="J11" s="41">
        <f t="shared" si="2"/>
        <v>0.1219512195</v>
      </c>
      <c r="K11" s="18"/>
    </row>
    <row r="12" ht="14.25" customHeight="1">
      <c r="A12" s="13" t="s">
        <v>209</v>
      </c>
      <c r="B12" s="43" t="s">
        <v>210</v>
      </c>
      <c r="C12" s="37" t="s">
        <v>58</v>
      </c>
      <c r="D12" s="38" t="str">
        <f>IF(OR(TipoDeSitio="",C12="NA"),"",VLOOKUP(CONCATENATE(A12,": ",B12),Tabla627,MATCH(TipoDeSitio,Tipos,0)+1,0))</f>
        <v>ME</v>
      </c>
      <c r="E12" s="13"/>
      <c r="F12" s="39">
        <f>IF(C12="","",VLOOKUP(C12,ValoresVC,2,0))</f>
        <v>10</v>
      </c>
      <c r="G12" s="39">
        <f>IF(D12="","",VLOOKUP($D12,ValoresRC,2,0))</f>
        <v>2</v>
      </c>
      <c r="H12" s="40">
        <f>IF(OR(G12="",G12=0,'Cálculo de % usabilidad'!$F$5=0),"",G12/'Cálculo de % usabilidad'!$F$5)</f>
        <v>0.01219512195</v>
      </c>
      <c r="I12" s="40">
        <f t="shared" si="1"/>
        <v>0.1219512195</v>
      </c>
      <c r="J12" s="41">
        <f t="shared" si="2"/>
        <v>0.1219512195</v>
      </c>
      <c r="K12" s="26" t="s">
        <v>66</v>
      </c>
      <c r="L12" s="27">
        <f>10-(COUNTIF(C3:C12,"NA")+COUNTBLANK(C3:C12))</f>
        <v>9</v>
      </c>
      <c r="M12" s="26" t="s">
        <v>67</v>
      </c>
    </row>
    <row r="13" ht="14.25" customHeight="1">
      <c r="G13" s="28">
        <f>IF(SUM(G3:G12)=0,"",SUM(G3:G12))</f>
        <v>21</v>
      </c>
    </row>
    <row r="14" ht="14.25" customHeight="1">
      <c r="A14" s="29" t="s">
        <v>68</v>
      </c>
      <c r="C14" s="30" t="s">
        <v>69</v>
      </c>
      <c r="D14" s="31"/>
      <c r="E14" s="31"/>
      <c r="F14" s="31"/>
      <c r="G14" s="31"/>
      <c r="H14" s="31"/>
      <c r="I14" s="31"/>
      <c r="J14" s="31"/>
    </row>
    <row r="15" ht="14.25" customHeight="1">
      <c r="A15" s="26" t="s">
        <v>70</v>
      </c>
      <c r="C15" s="32">
        <v>0.0</v>
      </c>
      <c r="D15" s="31" t="s">
        <v>71</v>
      </c>
      <c r="E15" s="31"/>
      <c r="F15" s="32" t="s">
        <v>72</v>
      </c>
      <c r="G15" s="31" t="s">
        <v>73</v>
      </c>
      <c r="H15" s="31"/>
      <c r="I15" s="31"/>
      <c r="J15" s="31"/>
    </row>
    <row r="16" ht="14.25" customHeight="1">
      <c r="A16" s="26" t="s">
        <v>74</v>
      </c>
      <c r="C16" s="32">
        <v>10.0</v>
      </c>
      <c r="D16" s="31" t="s">
        <v>75</v>
      </c>
      <c r="E16" s="31"/>
      <c r="F16" s="32" t="s">
        <v>76</v>
      </c>
      <c r="G16" s="31" t="s">
        <v>77</v>
      </c>
      <c r="H16" s="31"/>
      <c r="I16" s="31"/>
      <c r="J16" s="31"/>
    </row>
    <row r="17" ht="14.25" customHeight="1">
      <c r="C17" s="32" t="s">
        <v>63</v>
      </c>
      <c r="D17" s="31" t="s">
        <v>78</v>
      </c>
      <c r="E17" s="31"/>
      <c r="F17" s="32" t="s">
        <v>79</v>
      </c>
      <c r="G17" s="31" t="s">
        <v>80</v>
      </c>
      <c r="H17" s="31"/>
      <c r="I17" s="31"/>
      <c r="J17" s="31"/>
    </row>
    <row r="18" ht="14.25" customHeight="1">
      <c r="C18" s="32" t="s">
        <v>81</v>
      </c>
      <c r="D18" s="31" t="s">
        <v>82</v>
      </c>
      <c r="E18" s="31"/>
      <c r="F18" s="32" t="s">
        <v>83</v>
      </c>
      <c r="G18" s="31" t="s">
        <v>84</v>
      </c>
      <c r="H18" s="31"/>
      <c r="I18" s="31"/>
      <c r="J18" s="31"/>
    </row>
    <row r="19" ht="14.25" customHeight="1">
      <c r="C19" s="31"/>
      <c r="D19" s="31"/>
      <c r="E19" s="31"/>
      <c r="F19" s="31"/>
      <c r="G19" s="31"/>
      <c r="H19" s="31"/>
      <c r="I19" s="31"/>
      <c r="J19" s="31"/>
    </row>
    <row r="20" ht="14.25" customHeight="1">
      <c r="C20" s="18"/>
      <c r="D20" s="18"/>
      <c r="E20" s="18"/>
    </row>
    <row r="21" ht="14.25" customHeight="1">
      <c r="A21" s="18"/>
      <c r="B21" s="18"/>
      <c r="C21" s="18"/>
      <c r="D21" s="1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43"/>
    <col customWidth="1" min="3" max="3" width="10.71"/>
    <col customWidth="1" min="4" max="4" width="14.14"/>
    <col customWidth="1" min="5" max="5" width="25.0"/>
    <col customWidth="1" min="6" max="6" width="17.43"/>
    <col customWidth="1" min="7" max="7" width="29.43"/>
    <col customWidth="1" min="8" max="10" width="23.43"/>
    <col customWidth="1" min="11" max="11" width="26.43"/>
    <col customWidth="1" min="12" max="12" width="4.57"/>
    <col customWidth="1" min="13" max="26" width="10.71"/>
  </cols>
  <sheetData>
    <row r="1" ht="36.75" customHeight="1">
      <c r="A1" s="8" t="s">
        <v>211</v>
      </c>
    </row>
    <row r="2" ht="14.25" customHeight="1">
      <c r="A2" s="16" t="s">
        <v>34</v>
      </c>
      <c r="B2" s="16" t="s">
        <v>35</v>
      </c>
      <c r="C2" s="17" t="s">
        <v>36</v>
      </c>
      <c r="D2" s="17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8"/>
    </row>
    <row r="3" ht="14.25" customHeight="1">
      <c r="A3" s="13" t="s">
        <v>212</v>
      </c>
      <c r="B3" s="43" t="s">
        <v>213</v>
      </c>
      <c r="C3" s="37" t="s">
        <v>63</v>
      </c>
      <c r="D3" s="38" t="str">
        <f>IF(OR(TipoDeSitio="",C3="NA"),"",VLOOKUP(CONCATENATE(A3,": ",B3),Tabla628,MATCH(TipoDeSitio,Tipos,0)+1,0))</f>
        <v/>
      </c>
      <c r="E3" s="13" t="s">
        <v>214</v>
      </c>
      <c r="F3" s="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8" si="1">IF(OR(H3="",F3=""),"",H3*F3)</f>
        <v/>
      </c>
      <c r="J3" s="41" t="str">
        <f t="shared" ref="J3:J8" si="2">IF(H3="","",H3*10)</f>
        <v/>
      </c>
      <c r="K3" s="18"/>
    </row>
    <row r="4" ht="14.25" customHeight="1">
      <c r="A4" s="13" t="s">
        <v>215</v>
      </c>
      <c r="B4" s="13" t="s">
        <v>216</v>
      </c>
      <c r="C4" s="37" t="s">
        <v>63</v>
      </c>
      <c r="D4" s="38" t="str">
        <f>IF(OR(TipoDeSitio="",C4="NA"),"",VLOOKUP(CONCATENATE(A4,": ",B4),Tabla628,MATCH(TipoDeSitio,Tipos,0)+1,0))</f>
        <v/>
      </c>
      <c r="E4" s="13" t="s">
        <v>214</v>
      </c>
      <c r="F4" s="9">
        <f>IF(C4="","",VLOOKUP(C4,ValoresVC,2,0))</f>
        <v>0</v>
      </c>
      <c r="G4" s="39" t="str">
        <f>IF(D4="","",VLOOKUP($D4,ValoresRC,2,0))</f>
        <v/>
      </c>
      <c r="H4" s="40" t="str">
        <f>IF(OR(G4="",G4=0,'Cálculo de % usabilidad'!$F$5=0),"",G4/'Cálculo de % usabilidad'!$F$5)</f>
        <v/>
      </c>
      <c r="I4" s="40" t="str">
        <f t="shared" si="1"/>
        <v/>
      </c>
      <c r="J4" s="41" t="str">
        <f t="shared" si="2"/>
        <v/>
      </c>
      <c r="K4" s="18"/>
    </row>
    <row r="5" ht="14.25" customHeight="1">
      <c r="A5" s="13" t="s">
        <v>217</v>
      </c>
      <c r="B5" s="13" t="s">
        <v>218</v>
      </c>
      <c r="C5" s="37" t="s">
        <v>63</v>
      </c>
      <c r="D5" s="38" t="str">
        <f>IF(OR(TipoDeSitio="",C5="NA"),"",VLOOKUP(CONCATENATE(A5,": ",B5),Tabla628,MATCH(TipoDeSitio,Tipos,0)+1,0))</f>
        <v/>
      </c>
      <c r="E5" s="13" t="s">
        <v>214</v>
      </c>
      <c r="F5" s="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8"/>
    </row>
    <row r="6" ht="14.25" customHeight="1">
      <c r="A6" s="13" t="s">
        <v>219</v>
      </c>
      <c r="B6" s="43" t="s">
        <v>220</v>
      </c>
      <c r="C6" s="37" t="s">
        <v>58</v>
      </c>
      <c r="D6" s="38" t="str">
        <f>IF(OR(TipoDeSitio="",C6="NA"),"",VLOOKUP(CONCATENATE(A6,": ",B6),Tabla628,MATCH(TipoDeSitio,Tipos,0)+1,0))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0.01219512195</v>
      </c>
      <c r="I6" s="40">
        <f t="shared" si="1"/>
        <v>0.1219512195</v>
      </c>
      <c r="J6" s="41">
        <f t="shared" si="2"/>
        <v>0.1219512195</v>
      </c>
      <c r="K6" s="18"/>
    </row>
    <row r="7" ht="14.25" customHeight="1">
      <c r="A7" s="13" t="s">
        <v>221</v>
      </c>
      <c r="B7" s="43" t="s">
        <v>222</v>
      </c>
      <c r="C7" s="37" t="s">
        <v>58</v>
      </c>
      <c r="D7" s="38" t="str">
        <f>IF(OR(TipoDeSitio="",C7="NA"),"",VLOOKUP(CONCATENATE(A7,": ",B7),Tabla628,MATCH(TipoDeSitio,Tipos,0)+1,0))</f>
        <v>MA</v>
      </c>
      <c r="E7" s="13"/>
      <c r="F7" s="9">
        <f>IF(C7="","",VLOOKUP(C7,ValoresVC,2,0))</f>
        <v>10</v>
      </c>
      <c r="G7" s="39">
        <f>IF(D7="","",VLOOKUP($D7,ValoresRC,2,0))</f>
        <v>4</v>
      </c>
      <c r="H7" s="40">
        <f>IF(OR(G7="",G7=0,'Cálculo de % usabilidad'!$F$5=0),"",G7/'Cálculo de % usabilidad'!$F$5)</f>
        <v>0.0243902439</v>
      </c>
      <c r="I7" s="40">
        <f t="shared" si="1"/>
        <v>0.243902439</v>
      </c>
      <c r="J7" s="41">
        <f t="shared" si="2"/>
        <v>0.243902439</v>
      </c>
      <c r="K7" s="18"/>
    </row>
    <row r="8" ht="14.25" customHeight="1">
      <c r="A8" s="13" t="s">
        <v>223</v>
      </c>
      <c r="B8" s="43" t="s">
        <v>224</v>
      </c>
      <c r="C8" s="37" t="s">
        <v>63</v>
      </c>
      <c r="D8" s="38" t="str">
        <f>IF(OR(TipoDeSitio="",C8="NA"),"",VLOOKUP(CONCATENATE(A8,": ",B8),Tabla628,MATCH(TipoDeSitio,Tipos,0)+1,0))</f>
        <v/>
      </c>
      <c r="E8" s="13" t="s">
        <v>225</v>
      </c>
      <c r="F8" s="9">
        <f>IF(C8="","",VLOOKUP(C8,ValoresVC,2,0))</f>
        <v>0</v>
      </c>
      <c r="G8" s="39" t="str">
        <f>IF(D8="","",VLOOKUP($D8,ValoresRC,2,0))</f>
        <v/>
      </c>
      <c r="H8" s="40" t="str">
        <f>IF(OR(G8="",G8=0,'Cálculo de % usabilidad'!$F$5=0),"",G8/'Cálculo de % usabilidad'!$F$5)</f>
        <v/>
      </c>
      <c r="I8" s="40" t="str">
        <f t="shared" si="1"/>
        <v/>
      </c>
      <c r="J8" s="41" t="str">
        <f t="shared" si="2"/>
        <v/>
      </c>
      <c r="K8" s="26" t="s">
        <v>66</v>
      </c>
      <c r="L8" s="27">
        <f>6-(COUNTIF(C3:C8,"NA")+COUNTBLANK(C3:C8))</f>
        <v>2</v>
      </c>
      <c r="M8" s="26" t="s">
        <v>67</v>
      </c>
    </row>
    <row r="9" ht="14.25" customHeight="1">
      <c r="G9" s="28">
        <f>IF(SUM(G3:G8)=0,"",SUM(G3:G8))</f>
        <v>6</v>
      </c>
      <c r="H9" s="46"/>
      <c r="I9" s="46"/>
      <c r="J9" s="46"/>
    </row>
    <row r="10" ht="14.25" customHeight="1">
      <c r="A10" s="29" t="s">
        <v>68</v>
      </c>
      <c r="C10" s="30" t="s">
        <v>69</v>
      </c>
      <c r="D10" s="31"/>
      <c r="E10" s="31"/>
      <c r="F10" s="31"/>
      <c r="G10" s="31"/>
      <c r="H10" s="31"/>
      <c r="I10" s="31"/>
      <c r="J10" s="31"/>
    </row>
    <row r="11" ht="14.25" customHeight="1">
      <c r="A11" s="26" t="s">
        <v>70</v>
      </c>
      <c r="C11" s="32">
        <v>0.0</v>
      </c>
      <c r="D11" s="31" t="s">
        <v>71</v>
      </c>
      <c r="E11" s="31"/>
      <c r="F11" s="32" t="s">
        <v>72</v>
      </c>
      <c r="G11" s="31" t="s">
        <v>73</v>
      </c>
      <c r="H11" s="31"/>
      <c r="I11" s="31"/>
      <c r="J11" s="31"/>
    </row>
    <row r="12" ht="14.25" customHeight="1">
      <c r="A12" s="26" t="s">
        <v>74</v>
      </c>
      <c r="C12" s="32">
        <v>10.0</v>
      </c>
      <c r="D12" s="31" t="s">
        <v>75</v>
      </c>
      <c r="E12" s="31"/>
      <c r="F12" s="32" t="s">
        <v>76</v>
      </c>
      <c r="G12" s="31" t="s">
        <v>77</v>
      </c>
      <c r="H12" s="31"/>
      <c r="I12" s="31"/>
      <c r="J12" s="31"/>
    </row>
    <row r="13" ht="14.25" customHeight="1">
      <c r="C13" s="32" t="s">
        <v>63</v>
      </c>
      <c r="D13" s="31" t="s">
        <v>78</v>
      </c>
      <c r="E13" s="31"/>
      <c r="F13" s="32" t="s">
        <v>79</v>
      </c>
      <c r="G13" s="31" t="s">
        <v>80</v>
      </c>
      <c r="H13" s="31"/>
      <c r="I13" s="31"/>
      <c r="J13" s="31"/>
    </row>
    <row r="14" ht="14.25" customHeight="1">
      <c r="C14" s="32" t="s">
        <v>81</v>
      </c>
      <c r="D14" s="31" t="s">
        <v>82</v>
      </c>
      <c r="E14" s="31"/>
      <c r="F14" s="32" t="s">
        <v>83</v>
      </c>
      <c r="G14" s="31" t="s">
        <v>84</v>
      </c>
      <c r="H14" s="31"/>
      <c r="I14" s="31"/>
      <c r="J14" s="31"/>
    </row>
    <row r="15" ht="14.25" customHeight="1">
      <c r="C15" s="31"/>
      <c r="D15" s="31"/>
      <c r="E15" s="31"/>
      <c r="F15" s="31"/>
      <c r="G15" s="31"/>
      <c r="H15" s="31"/>
      <c r="I15" s="31"/>
      <c r="J15" s="31"/>
    </row>
    <row r="16" ht="14.25" customHeight="1">
      <c r="C16" s="18"/>
      <c r="D16" s="18"/>
      <c r="E16" s="18"/>
    </row>
    <row r="17" ht="14.25" customHeight="1">
      <c r="A17" s="4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