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 de Excel\"/>
    </mc:Choice>
  </mc:AlternateContent>
  <xr:revisionPtr revIDLastSave="0" documentId="13_ncr:1_{61AD2E82-6F5E-451D-998D-1CCD60D670FF}" xr6:coauthVersionLast="47" xr6:coauthVersionMax="47" xr10:uidLastSave="{00000000-0000-0000-0000-000000000000}"/>
  <bookViews>
    <workbookView xWindow="-120" yWindow="-120" windowWidth="19710" windowHeight="11760" firstSheet="21" activeTab="22" xr2:uid="{829B8F69-7A22-4FDB-8BA9-C943AAAA3E9F}"/>
  </bookViews>
  <sheets>
    <sheet name="Pagina1" sheetId="1" r:id="rId1"/>
    <sheet name="Pagina2" sheetId="2" r:id="rId2"/>
    <sheet name="Pagina2-1" sheetId="3" r:id="rId3"/>
    <sheet name="Pagina2-2" sheetId="4" r:id="rId4"/>
    <sheet name="Pagina3" sheetId="5" r:id="rId5"/>
    <sheet name="Tabla Dinamica" sheetId="21" r:id="rId6"/>
    <sheet name="Pagina4" sheetId="6" r:id="rId7"/>
    <sheet name="Pagina4-ResultadoFi" sheetId="19" r:id="rId8"/>
    <sheet name="Pagina5" sheetId="7" r:id="rId9"/>
    <sheet name="Pagina6" sheetId="8" r:id="rId10"/>
    <sheet name="Pagina6 Zona Criterio" sheetId="9" r:id="rId11"/>
    <sheet name="Trim1" sheetId="11" r:id="rId12"/>
    <sheet name="Trim2" sheetId="12" r:id="rId13"/>
    <sheet name="TrimTotal" sheetId="14" r:id="rId14"/>
    <sheet name="TrimTotalLibro" sheetId="16" r:id="rId15"/>
    <sheet name="Pagina7" sheetId="17" r:id="rId16"/>
    <sheet name="TablaRelacionadas" sheetId="35" r:id="rId17"/>
    <sheet name="Pagina8" sheetId="18" r:id="rId18"/>
    <sheet name="Resumen del escenario" sheetId="37" r:id="rId19"/>
    <sheet name="TablaDatos" sheetId="36" r:id="rId20"/>
    <sheet name="Validaciones" sheetId="38" r:id="rId21"/>
    <sheet name="Facturas" sheetId="39" r:id="rId22"/>
    <sheet name="Fa-Curso" sheetId="40" r:id="rId23"/>
    <sheet name="Cli-Curso" sheetId="41" r:id="rId24"/>
    <sheet name="Macros" sheetId="48" r:id="rId25"/>
    <sheet name="PRU-MACROSRELATIVOS" sheetId="49" r:id="rId26"/>
    <sheet name="Filtro-Macro" sheetId="50" r:id="rId27"/>
  </sheets>
  <externalReferences>
    <externalReference r:id="rId28"/>
    <externalReference r:id="rId29"/>
  </externalReferences>
  <definedNames>
    <definedName name="_xlnm._FilterDatabase" localSheetId="3" hidden="1">'Pagina2-2'!$A$58:$G$62</definedName>
    <definedName name="_xlnm._FilterDatabase" localSheetId="6" hidden="1">Pagina4!$I$18:$K$28</definedName>
    <definedName name="_xlnm._FilterDatabase" localSheetId="5" hidden="1">'Tabla Dinamica'!$A$5:$G$43</definedName>
    <definedName name="_xlcn.WorksheetConnection_Curso.xlsxTabla51" hidden="1">Tabla5[]</definedName>
    <definedName name="_xlcn.WorksheetConnection_Curso.xlsxTabla61" hidden="1">Tabla6[]</definedName>
    <definedName name="Ana">Trim1!$B$13:$D$13</definedName>
    <definedName name="Antonio">Trim1!$B$11:$D$11</definedName>
    <definedName name="_xlnm.Extract" localSheetId="6">Pagina4!$J$33:$O$33</definedName>
    <definedName name="_xlnm.Extract" localSheetId="7">'Pagina4-ResultadoFi'!$A$17</definedName>
    <definedName name="BaseGeneral">Tabla2[#All]</definedName>
    <definedName name="Capital">TablaDatos!$C$23</definedName>
    <definedName name="_xlnm.Criteria" localSheetId="6">Pagina4!$H$29:$H$30</definedName>
    <definedName name="_xlnm.Criteria" localSheetId="7">'Pagina4-ResultadoFi'!$A:$A</definedName>
    <definedName name="Cuotas">TablaDatos!$C$25</definedName>
    <definedName name="Enero">Trim1!$B$11:$B$13</definedName>
    <definedName name="Febrero">Trim1!$C$11:$C$13</definedName>
    <definedName name="filtro">Tabla2[#All]</definedName>
    <definedName name="Maria">Trim1!$B$12:$D$12</definedName>
    <definedName name="Marzo">Trim1!$D$11:$D$13</definedName>
    <definedName name="N_CLIENTES">Tabla7[NOMBRE]</definedName>
    <definedName name="N_CURSOS">TB_CURSOS[Producto]</definedName>
    <definedName name="SECCIÓN">Tabla2[#All]</definedName>
    <definedName name="Seguro">TablaDatos!$C$28</definedName>
    <definedName name="solver_adj" localSheetId="19" hidden="1">TablaDatos!$C$80:$E$81</definedName>
    <definedName name="solver_cvg" localSheetId="19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19" hidden="1">1</definedName>
    <definedName name="solver_eng" localSheetId="19" hidden="1">1</definedName>
    <definedName name="solver_est" localSheetId="19" hidden="1">1</definedName>
    <definedName name="solver_itr" localSheetId="19" hidden="1">2147483647</definedName>
    <definedName name="solver_lhs1" localSheetId="19" hidden="1">TablaDatos!$C$82</definedName>
    <definedName name="solver_lhs2" localSheetId="19" hidden="1">TablaDatos!$D$82</definedName>
    <definedName name="solver_lhs3" localSheetId="19" hidden="1">TablaDatos!$E$82</definedName>
    <definedName name="solver_lhs4" localSheetId="19" hidden="1">TablaDatos!$F$80</definedName>
    <definedName name="solver_lhs5" localSheetId="19" hidden="1">TablaDatos!$F$81</definedName>
    <definedName name="solver_mip" localSheetId="19" hidden="1">2147483647</definedName>
    <definedName name="solver_mni" localSheetId="19" hidden="1">30</definedName>
    <definedName name="solver_mrt" localSheetId="19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19" hidden="1">2</definedName>
    <definedName name="solver_neg" localSheetId="19" hidden="1">1</definedName>
    <definedName name="solver_nod" localSheetId="19" hidden="1">2147483647</definedName>
    <definedName name="solver_num" localSheetId="19" hidden="1">5</definedName>
    <definedName name="solver_nwt" localSheetId="19" hidden="1">1</definedName>
    <definedName name="solver_opt" localSheetId="19" hidden="1">TablaDatos!$H$81</definedName>
    <definedName name="solver_pre" localSheetId="19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19" hidden="1">1</definedName>
    <definedName name="solver_rel1" localSheetId="19" hidden="1">2</definedName>
    <definedName name="solver_rel2" localSheetId="19" hidden="1">2</definedName>
    <definedName name="solver_rel3" localSheetId="19" hidden="1">2</definedName>
    <definedName name="solver_rel4" localSheetId="19" hidden="1">1</definedName>
    <definedName name="solver_rel5" localSheetId="19" hidden="1">1</definedName>
    <definedName name="solver_rhs1" localSheetId="19" hidden="1">TablaDatos!$F$73</definedName>
    <definedName name="solver_rhs2" localSheetId="19" hidden="1">TablaDatos!$F$74</definedName>
    <definedName name="solver_rhs3" localSheetId="19" hidden="1">TablaDatos!$F$75</definedName>
    <definedName name="solver_rhs4" localSheetId="19" hidden="1">TablaDatos!$C$74</definedName>
    <definedName name="solver_rhs5" localSheetId="19" hidden="1">TablaDatos!$C$75</definedName>
    <definedName name="solver_rlx" localSheetId="19" hidden="1">2</definedName>
    <definedName name="solver_rsd" localSheetId="19" hidden="1">0</definedName>
    <definedName name="solver_scl" localSheetId="19" hidden="1">1</definedName>
    <definedName name="solver_sho" localSheetId="19" hidden="1">2</definedName>
    <definedName name="solver_ssz" localSheetId="19" hidden="1">100</definedName>
    <definedName name="solver_tim" localSheetId="19" hidden="1">2147483647</definedName>
    <definedName name="solver_tol" localSheetId="19" hidden="1">1</definedName>
    <definedName name="solver_typ" localSheetId="19" hidden="1">2</definedName>
    <definedName name="solver_val" localSheetId="19" hidden="1">0</definedName>
    <definedName name="solver_ver" localSheetId="19" hidden="1">3</definedName>
    <definedName name="TABLACURSO">Pagina7!$A$20:$B$22</definedName>
    <definedName name="Tasa_Interes">TablaDatos!$C$24</definedName>
    <definedName name="TB_CLIENTES">'Cli-Curso'!$A$1:$F$5</definedName>
    <definedName name="TbGeneral">Tabla2[#Headers]</definedName>
    <definedName name="ULTIMODIAMESCURSO">Pagina7!$H$8</definedName>
    <definedName name="X">Pagina7!$H$9</definedName>
    <definedName name="ZonaCriterios">'Pagina6 Zona Criterio'!$A$23:$G$25</definedName>
  </definedNames>
  <calcPr calcId="191029"/>
  <pivotCaches>
    <pivotCache cacheId="2" r:id="rId30"/>
    <pivotCache cacheId="3" r:id="rId3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6" name="Tabla6" connection="WorksheetConnection_Curso.xlsx!Tabla6"/>
          <x15:modelTable id="Tabla5" name="Tabla5" connection="WorksheetConnection_Curso.xlsx!Tabla5"/>
        </x15:modelTables>
        <x15:modelRelationships>
          <x15:modelRelationship fromTable="Tabla5" fromColumn="NOMBRE ARTÍCULO" toTable="Tabla6" toColumn="NOMBRE ARTÍCUL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41" l="1"/>
  <c r="E8" i="16"/>
  <c r="E19" i="39"/>
  <c r="E25" i="39"/>
  <c r="E26" i="39"/>
  <c r="A20" i="39"/>
  <c r="A21" i="39"/>
  <c r="A22" i="39"/>
  <c r="A23" i="39"/>
  <c r="A24" i="39"/>
  <c r="A25" i="39"/>
  <c r="A26" i="39"/>
  <c r="A27" i="39"/>
  <c r="D20" i="39"/>
  <c r="E20" i="39" s="1"/>
  <c r="D21" i="39"/>
  <c r="E21" i="39" s="1"/>
  <c r="D22" i="39"/>
  <c r="E22" i="39" s="1"/>
  <c r="D23" i="39"/>
  <c r="E23" i="39" s="1"/>
  <c r="D24" i="39"/>
  <c r="E24" i="39" s="1"/>
  <c r="D25" i="39"/>
  <c r="D26" i="39"/>
  <c r="D27" i="39"/>
  <c r="E27" i="39" s="1"/>
  <c r="A19" i="39"/>
  <c r="D19" i="39"/>
  <c r="D18" i="39"/>
  <c r="E18" i="39" s="1"/>
  <c r="A18" i="39"/>
  <c r="E14" i="39"/>
  <c r="E15" i="39" s="1"/>
  <c r="E7" i="39"/>
  <c r="E6" i="39"/>
  <c r="E5" i="39"/>
  <c r="E4" i="39"/>
  <c r="E3" i="39"/>
  <c r="E87" i="36"/>
  <c r="E86" i="36"/>
  <c r="D86" i="36"/>
  <c r="E82" i="36"/>
  <c r="D87" i="36"/>
  <c r="C87" i="36"/>
  <c r="C86" i="36"/>
  <c r="D82" i="36"/>
  <c r="C82" i="36"/>
  <c r="F81" i="36"/>
  <c r="F80" i="36"/>
  <c r="I63" i="36"/>
  <c r="I64" i="36"/>
  <c r="I62" i="36"/>
  <c r="H63" i="36"/>
  <c r="H64" i="36"/>
  <c r="H62" i="36"/>
  <c r="E63" i="36"/>
  <c r="E64" i="36"/>
  <c r="E62" i="36"/>
  <c r="E49" i="36"/>
  <c r="E50" i="36"/>
  <c r="E51" i="36"/>
  <c r="E48" i="36"/>
  <c r="C39" i="36"/>
  <c r="D25" i="16"/>
  <c r="C27" i="36"/>
  <c r="C29" i="36" s="1"/>
  <c r="C8" i="36"/>
  <c r="F5" i="36" s="1"/>
  <c r="E138" i="6"/>
  <c r="E41" i="6"/>
  <c r="I22" i="6" s="1"/>
  <c r="J4" i="9"/>
  <c r="J17" i="9"/>
  <c r="J5" i="9"/>
  <c r="J13" i="9"/>
  <c r="J7" i="9"/>
  <c r="J6" i="9"/>
  <c r="M4" i="6"/>
  <c r="L4" i="6"/>
  <c r="K4" i="6"/>
  <c r="J4" i="6"/>
  <c r="F3" i="6"/>
  <c r="F4" i="6"/>
  <c r="F5" i="6"/>
  <c r="F6" i="6"/>
  <c r="F7" i="6"/>
  <c r="F9" i="6"/>
  <c r="F10" i="6"/>
  <c r="F11" i="6"/>
  <c r="F12" i="6"/>
  <c r="F13" i="6"/>
  <c r="F14" i="6"/>
  <c r="F15" i="6"/>
  <c r="F17" i="6"/>
  <c r="F18" i="6"/>
  <c r="F19" i="6"/>
  <c r="F20" i="6"/>
  <c r="F21" i="6"/>
  <c r="F22" i="6"/>
  <c r="F23" i="6"/>
  <c r="F24" i="6"/>
  <c r="F26" i="6"/>
  <c r="F27" i="6"/>
  <c r="F28" i="6"/>
  <c r="F29" i="6"/>
  <c r="F30" i="6"/>
  <c r="F31" i="6"/>
  <c r="F32" i="6"/>
  <c r="F34" i="6"/>
  <c r="F35" i="6"/>
  <c r="F36" i="6"/>
  <c r="F37" i="6"/>
  <c r="F38" i="6"/>
  <c r="F39" i="6"/>
  <c r="H30" i="6"/>
  <c r="F5" i="17"/>
  <c r="F6" i="17"/>
  <c r="F7" i="17"/>
  <c r="F8" i="17"/>
  <c r="F9" i="17"/>
  <c r="F10" i="17"/>
  <c r="F11" i="17"/>
  <c r="F12" i="17"/>
  <c r="F13" i="17"/>
  <c r="F14" i="17"/>
  <c r="F15" i="17"/>
  <c r="F16" i="17"/>
  <c r="F4" i="17"/>
  <c r="H9" i="17"/>
  <c r="H8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B18" i="11" a="1"/>
  <c r="B18" i="11" s="1"/>
  <c r="B17" i="11" a="1"/>
  <c r="B17" i="11" s="1"/>
  <c r="J25" i="9"/>
  <c r="B2" i="16"/>
  <c r="C2" i="16"/>
  <c r="D2" i="16"/>
  <c r="E2" i="16"/>
  <c r="B3" i="16"/>
  <c r="C3" i="16"/>
  <c r="D3" i="16"/>
  <c r="E3" i="16"/>
  <c r="B5" i="16"/>
  <c r="C5" i="16"/>
  <c r="D5" i="16"/>
  <c r="E5" i="16"/>
  <c r="B6" i="16"/>
  <c r="C6" i="16"/>
  <c r="D6" i="16"/>
  <c r="E6" i="16"/>
  <c r="B8" i="16"/>
  <c r="D8" i="16"/>
  <c r="B9" i="16"/>
  <c r="D9" i="16"/>
  <c r="E9" i="16"/>
  <c r="B11" i="16"/>
  <c r="D11" i="16"/>
  <c r="E11" i="16"/>
  <c r="B12" i="16"/>
  <c r="D12" i="16"/>
  <c r="E12" i="16"/>
  <c r="B30" i="16"/>
  <c r="B26" i="16"/>
  <c r="C26" i="16"/>
  <c r="D26" i="16"/>
  <c r="E26" i="16"/>
  <c r="B24" i="16"/>
  <c r="C24" i="16"/>
  <c r="D24" i="16"/>
  <c r="E24" i="16"/>
  <c r="B25" i="16"/>
  <c r="C25" i="16"/>
  <c r="E25" i="16"/>
  <c r="C23" i="16"/>
  <c r="D23" i="16"/>
  <c r="E23" i="16"/>
  <c r="B23" i="16"/>
  <c r="K4" i="4"/>
  <c r="H4" i="4"/>
  <c r="I8" i="4"/>
  <c r="K3" i="4"/>
  <c r="I9" i="4"/>
  <c r="B2" i="14"/>
  <c r="C2" i="14"/>
  <c r="D2" i="14"/>
  <c r="E2" i="14"/>
  <c r="B3" i="14"/>
  <c r="B4" i="14" s="1"/>
  <c r="C3" i="14"/>
  <c r="C4" i="14" s="1"/>
  <c r="D3" i="14"/>
  <c r="E3" i="14"/>
  <c r="D4" i="14"/>
  <c r="E4" i="14"/>
  <c r="B5" i="14"/>
  <c r="B7" i="14" s="1"/>
  <c r="C5" i="14"/>
  <c r="C7" i="14" s="1"/>
  <c r="D5" i="14"/>
  <c r="E5" i="14"/>
  <c r="B6" i="14"/>
  <c r="C6" i="14"/>
  <c r="D6" i="14"/>
  <c r="E6" i="14"/>
  <c r="E7" i="14" s="1"/>
  <c r="D7" i="14"/>
  <c r="B8" i="14"/>
  <c r="C8" i="14"/>
  <c r="C10" i="14" s="1"/>
  <c r="D8" i="14"/>
  <c r="D10" i="14" s="1"/>
  <c r="E8" i="14"/>
  <c r="E10" i="14" s="1"/>
  <c r="B9" i="14"/>
  <c r="C9" i="14"/>
  <c r="D9" i="14"/>
  <c r="E9" i="14"/>
  <c r="B11" i="14"/>
  <c r="C11" i="14"/>
  <c r="D11" i="14"/>
  <c r="E11" i="14"/>
  <c r="B12" i="14"/>
  <c r="C12" i="14"/>
  <c r="D12" i="14"/>
  <c r="E12" i="14"/>
  <c r="J26" i="9"/>
  <c r="G28" i="7"/>
  <c r="G23" i="7"/>
  <c r="E68" i="7"/>
  <c r="E69" i="7"/>
  <c r="B64" i="7" a="1"/>
  <c r="B64" i="7" s="1"/>
  <c r="C64" i="7" a="1"/>
  <c r="C64" i="7" s="1"/>
  <c r="E49" i="7" a="1"/>
  <c r="E49" i="7" s="1"/>
  <c r="E50" i="7" a="1"/>
  <c r="E50" i="7" s="1"/>
  <c r="E48" i="7" a="1"/>
  <c r="E48" i="7" s="1"/>
  <c r="B49" i="7" a="1"/>
  <c r="B49" i="7" s="1"/>
  <c r="B50" i="7" a="1"/>
  <c r="B50" i="7" s="1"/>
  <c r="B51" i="7" a="1"/>
  <c r="B51" i="7" s="1"/>
  <c r="B52" i="7" a="1"/>
  <c r="B52" i="7" s="1"/>
  <c r="B48" i="7" a="1"/>
  <c r="B48" i="7" s="1"/>
  <c r="G27" i="7"/>
  <c r="G24" i="7"/>
  <c r="K18" i="4" a="1"/>
  <c r="K18" i="4" s="1"/>
  <c r="D18" i="4"/>
  <c r="E18" i="4" s="1"/>
  <c r="G60" i="4"/>
  <c r="G61" i="4"/>
  <c r="G62" i="4"/>
  <c r="G59" i="4"/>
  <c r="D44" i="4"/>
  <c r="D45" i="4"/>
  <c r="D46" i="4"/>
  <c r="D43" i="4"/>
  <c r="C32" i="4"/>
  <c r="C33" i="4"/>
  <c r="C34" i="4"/>
  <c r="C35" i="4"/>
  <c r="C36" i="4"/>
  <c r="H29" i="4"/>
  <c r="H28" i="4"/>
  <c r="H27" i="4"/>
  <c r="H26" i="4"/>
  <c r="D10" i="7"/>
  <c r="F10" i="7" s="1"/>
  <c r="D11" i="7"/>
  <c r="F11" i="7" s="1"/>
  <c r="D12" i="7"/>
  <c r="F12" i="7" s="1"/>
  <c r="D13" i="7"/>
  <c r="F13" i="7" s="1"/>
  <c r="D14" i="7"/>
  <c r="F14" i="7" s="1"/>
  <c r="D15" i="7"/>
  <c r="F15" i="7" s="1"/>
  <c r="D16" i="7"/>
  <c r="F16" i="7" s="1"/>
  <c r="D17" i="7"/>
  <c r="F17" i="7" s="1"/>
  <c r="D18" i="7"/>
  <c r="F18" i="7" s="1"/>
  <c r="D19" i="7"/>
  <c r="F19" i="7" s="1"/>
  <c r="D20" i="7"/>
  <c r="F20" i="7" s="1"/>
  <c r="D9" i="7"/>
  <c r="F9" i="7" s="1"/>
  <c r="F8" i="6"/>
  <c r="F16" i="6"/>
  <c r="F25" i="6"/>
  <c r="F33" i="6"/>
  <c r="F2" i="6"/>
  <c r="F18" i="4"/>
  <c r="D19" i="4"/>
  <c r="E19" i="4" s="1"/>
  <c r="D20" i="4"/>
  <c r="E20" i="4" s="1"/>
  <c r="J19" i="4"/>
  <c r="J20" i="4"/>
  <c r="J18" i="4"/>
  <c r="H19" i="4"/>
  <c r="H20" i="4"/>
  <c r="H18" i="4"/>
  <c r="G19" i="4"/>
  <c r="G20" i="4"/>
  <c r="G18" i="4"/>
  <c r="F19" i="4"/>
  <c r="F20" i="4"/>
  <c r="F12" i="5"/>
  <c r="F13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7" i="5"/>
  <c r="D8" i="5"/>
  <c r="F8" i="5" s="1"/>
  <c r="D9" i="5"/>
  <c r="F9" i="5" s="1"/>
  <c r="D10" i="5"/>
  <c r="F10" i="5" s="1"/>
  <c r="D11" i="5"/>
  <c r="F11" i="5" s="1"/>
  <c r="D12" i="5"/>
  <c r="D13" i="5"/>
  <c r="D14" i="5"/>
  <c r="F14" i="5" s="1"/>
  <c r="D15" i="5"/>
  <c r="F15" i="5" s="1"/>
  <c r="D16" i="5"/>
  <c r="F16" i="5" s="1"/>
  <c r="D17" i="5"/>
  <c r="F17" i="5" s="1"/>
  <c r="D18" i="5"/>
  <c r="F18" i="5" s="1"/>
  <c r="D19" i="5"/>
  <c r="F19" i="5" s="1"/>
  <c r="D20" i="5"/>
  <c r="F20" i="5" s="1"/>
  <c r="D21" i="5"/>
  <c r="F21" i="5" s="1"/>
  <c r="D7" i="5"/>
  <c r="F7" i="5" s="1"/>
  <c r="H3" i="4"/>
  <c r="C12" i="4"/>
  <c r="C13" i="4"/>
  <c r="B11" i="4"/>
  <c r="C11" i="4"/>
  <c r="B12" i="4"/>
  <c r="B13" i="4"/>
  <c r="C5" i="3"/>
  <c r="C6" i="3" s="1"/>
  <c r="D5" i="3"/>
  <c r="D6" i="3" s="1"/>
  <c r="E5" i="3"/>
  <c r="E6" i="3" s="1"/>
  <c r="F5" i="3"/>
  <c r="F6" i="3" s="1"/>
  <c r="G5" i="3"/>
  <c r="H5" i="3"/>
  <c r="I5" i="3"/>
  <c r="I6" i="3" s="1"/>
  <c r="J5" i="3"/>
  <c r="J6" i="3" s="1"/>
  <c r="K5" i="3"/>
  <c r="K6" i="3" s="1"/>
  <c r="L5" i="3"/>
  <c r="L6" i="3" s="1"/>
  <c r="B5" i="3"/>
  <c r="B6" i="3" s="1"/>
  <c r="E4" i="2"/>
  <c r="E5" i="2"/>
  <c r="E6" i="2"/>
  <c r="F6" i="2" s="1"/>
  <c r="E7" i="2"/>
  <c r="E8" i="2"/>
  <c r="E9" i="2"/>
  <c r="E10" i="2"/>
  <c r="E11" i="2"/>
  <c r="E12" i="2"/>
  <c r="F12" i="2" s="1"/>
  <c r="E13" i="2"/>
  <c r="F13" i="2" s="1"/>
  <c r="E3" i="2"/>
  <c r="D3" i="2"/>
  <c r="D4" i="2"/>
  <c r="D5" i="2"/>
  <c r="F5" i="2"/>
  <c r="D6" i="2"/>
  <c r="D7" i="2"/>
  <c r="F7" i="2"/>
  <c r="D8" i="2"/>
  <c r="F8" i="2"/>
  <c r="D9" i="2"/>
  <c r="F9" i="2"/>
  <c r="D10" i="2"/>
  <c r="F10" i="2"/>
  <c r="D11" i="2"/>
  <c r="F11" i="2"/>
  <c r="D12" i="2"/>
  <c r="D13" i="2"/>
  <c r="G6" i="3"/>
  <c r="H6" i="3"/>
  <c r="B4" i="3"/>
  <c r="C4" i="3"/>
  <c r="D4" i="3"/>
  <c r="E4" i="3"/>
  <c r="F4" i="3"/>
  <c r="G4" i="3"/>
  <c r="H4" i="3"/>
  <c r="I4" i="3"/>
  <c r="J4" i="3"/>
  <c r="K4" i="3"/>
  <c r="L4" i="3"/>
  <c r="E28" i="39" l="1"/>
  <c r="E30" i="39" s="1"/>
  <c r="E31" i="39" s="1"/>
  <c r="F87" i="36"/>
  <c r="F86" i="36"/>
  <c r="F82" i="36"/>
  <c r="H66" i="36"/>
  <c r="I66" i="36"/>
  <c r="G51" i="36"/>
  <c r="G50" i="36"/>
  <c r="G49" i="36"/>
  <c r="G48" i="36"/>
  <c r="F13" i="36"/>
  <c r="C4" i="16"/>
  <c r="I26" i="6"/>
  <c r="D10" i="16"/>
  <c r="E4" i="16"/>
  <c r="E7" i="16"/>
  <c r="F41" i="6"/>
  <c r="D13" i="16"/>
  <c r="C7" i="16"/>
  <c r="E10" i="16"/>
  <c r="D7" i="16"/>
  <c r="B10" i="16"/>
  <c r="E13" i="16"/>
  <c r="B13" i="16"/>
  <c r="D4" i="16"/>
  <c r="B4" i="16"/>
  <c r="B7" i="16"/>
  <c r="K20" i="4" a="1"/>
  <c r="K20" i="4" s="1"/>
  <c r="K19" i="4" a="1"/>
  <c r="K19" i="4" s="1"/>
  <c r="E46" i="4"/>
  <c r="F46" i="4" s="1"/>
  <c r="E45" i="4"/>
  <c r="F45" i="4" s="1"/>
  <c r="E13" i="14"/>
  <c r="B10" i="14"/>
  <c r="D13" i="14"/>
  <c r="B13" i="14"/>
  <c r="C13" i="14"/>
  <c r="E43" i="4"/>
  <c r="F43" i="4" s="1"/>
  <c r="E44" i="4"/>
  <c r="F44" i="4" s="1"/>
  <c r="I2" i="5"/>
  <c r="F3" i="2"/>
  <c r="F4" i="2"/>
  <c r="H81" i="36" l="1"/>
  <c r="G53" i="36"/>
  <c r="C8" i="16"/>
  <c r="C9" i="16" l="1"/>
  <c r="C10" i="16" l="1"/>
  <c r="C11" i="16" s="1"/>
  <c r="C12" i="16" l="1"/>
  <c r="C13" i="1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8BAAC-124D-4372-A699-941DC5E32CB3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E49D5C-727A-4E9F-8497-D375F9205B50}" name="WorksheetConnection_Curso.xlsx!Tabla5" type="102" refreshedVersion="8" minRefreshableVersion="5">
    <extLst>
      <ext xmlns:x15="http://schemas.microsoft.com/office/spreadsheetml/2010/11/main" uri="{DE250136-89BD-433C-8126-D09CA5730AF9}">
        <x15:connection id="Tabla5">
          <x15:rangePr sourceName="_xlcn.WorksheetConnection_Curso.xlsxTabla51"/>
        </x15:connection>
      </ext>
    </extLst>
  </connection>
  <connection id="3" xr16:uid="{A51B7A7F-4CF0-42B0-8E5D-F15E38F6237E}" name="WorksheetConnection_Curso.xlsx!Tabla6" type="102" refreshedVersion="8" minRefreshableVersion="5">
    <extLst>
      <ext xmlns:x15="http://schemas.microsoft.com/office/spreadsheetml/2010/11/main" uri="{DE250136-89BD-433C-8126-D09CA5730AF9}">
        <x15:connection id="Tabla6">
          <x15:rangePr sourceName="_xlcn.WorksheetConnection_Curso.xlsxTabla6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<sst xmlns="http://schemas.openxmlformats.org/spreadsheetml/2006/main" count="1604" uniqueCount="555">
  <si>
    <t>Cantidad</t>
  </si>
  <si>
    <t>Precio Unidad</t>
  </si>
  <si>
    <t>Total</t>
  </si>
  <si>
    <t>PRESUPUESTO COMPRAS MARZO 2019</t>
  </si>
  <si>
    <t>mesas</t>
  </si>
  <si>
    <t>sillas</t>
  </si>
  <si>
    <t>cojines</t>
  </si>
  <si>
    <t>mecedoras</t>
  </si>
  <si>
    <t>lámparas</t>
  </si>
  <si>
    <t>cajoneras</t>
  </si>
  <si>
    <t>carpetas</t>
  </si>
  <si>
    <t>alfombras</t>
  </si>
  <si>
    <t>bolígrafos</t>
  </si>
  <si>
    <t>adaptadores</t>
  </si>
  <si>
    <t>teclados</t>
  </si>
  <si>
    <t>IVA</t>
  </si>
  <si>
    <t>TOTAL DE IVA</t>
  </si>
  <si>
    <t xml:space="preserve"> </t>
  </si>
  <si>
    <t>Iva</t>
  </si>
  <si>
    <t>Total Iva</t>
  </si>
  <si>
    <t>Cálculo de Comisiones</t>
  </si>
  <si>
    <t>Comisión</t>
  </si>
  <si>
    <t>Venta</t>
  </si>
  <si>
    <t>Ene</t>
  </si>
  <si>
    <t>Ana</t>
  </si>
  <si>
    <t>Antonio</t>
  </si>
  <si>
    <t>Feb</t>
  </si>
  <si>
    <t>Comisiones</t>
  </si>
  <si>
    <t>María</t>
  </si>
  <si>
    <t>TRIMESTRE 2</t>
  </si>
  <si>
    <t>Vendedor</t>
  </si>
  <si>
    <t>Salario Base</t>
  </si>
  <si>
    <t xml:space="preserve">Comisión </t>
  </si>
  <si>
    <t>Salario Final</t>
  </si>
  <si>
    <t>TRIMESTRE 1</t>
  </si>
  <si>
    <t>TRIMESRE1</t>
  </si>
  <si>
    <t>ALBARÁN</t>
  </si>
  <si>
    <t>NOMBRE DE LA EMPRESA: ABMB S.A</t>
  </si>
  <si>
    <t>TOTAL</t>
  </si>
  <si>
    <t>ACTIVIDAD: MATERIAL INFORMÁTICO Y ELECTRODOMÉSTICOS</t>
  </si>
  <si>
    <t>Descuento</t>
  </si>
  <si>
    <t>NOMBRE DEL CLIENTE: SERVIPLUS  S.L.</t>
  </si>
  <si>
    <t>I.V.A</t>
  </si>
  <si>
    <t>CONCEPTO</t>
  </si>
  <si>
    <t>UNIDADES</t>
  </si>
  <si>
    <t>PRE/UNIDAD</t>
  </si>
  <si>
    <t>DTO</t>
  </si>
  <si>
    <t>Ordenador Pentium</t>
  </si>
  <si>
    <t>Impresora de Inyección</t>
  </si>
  <si>
    <t>Monitor</t>
  </si>
  <si>
    <t>Televisor</t>
  </si>
  <si>
    <t>Vídeo</t>
  </si>
  <si>
    <t>Diskettes</t>
  </si>
  <si>
    <t>CD_ROM</t>
  </si>
  <si>
    <t>Tarjeta Controladora</t>
  </si>
  <si>
    <t>Tarjeta VGA</t>
  </si>
  <si>
    <t>Teclado</t>
  </si>
  <si>
    <t>Filtros de pantalla</t>
  </si>
  <si>
    <t>Ratón</t>
  </si>
  <si>
    <t>Cable de impresora</t>
  </si>
  <si>
    <t>Diskettera</t>
  </si>
  <si>
    <t>Tarjeta de sonido</t>
  </si>
  <si>
    <t>SECCIÓN</t>
  </si>
  <si>
    <t>NOMBRE ARTÍCULO</t>
  </si>
  <si>
    <t>FECHA</t>
  </si>
  <si>
    <t>PAÍS DE ORIGEN</t>
  </si>
  <si>
    <t xml:space="preserve">PRECIO </t>
  </si>
  <si>
    <t>SUMA TOTAL</t>
  </si>
  <si>
    <t>PROMEDIO</t>
  </si>
  <si>
    <t>MÁS CARO</t>
  </si>
  <si>
    <t>MÁS BARATO</t>
  </si>
  <si>
    <t>CERÁMICA</t>
  </si>
  <si>
    <t>Tubos</t>
  </si>
  <si>
    <t>China</t>
  </si>
  <si>
    <t>Plato Decorativo</t>
  </si>
  <si>
    <t>Juego de te</t>
  </si>
  <si>
    <t>Cenicero</t>
  </si>
  <si>
    <t>Japón</t>
  </si>
  <si>
    <t>Maceta</t>
  </si>
  <si>
    <t>España</t>
  </si>
  <si>
    <t>Jarra china</t>
  </si>
  <si>
    <t>CONFECCIÓN</t>
  </si>
  <si>
    <t>Tarje Caballero</t>
  </si>
  <si>
    <t>Italia</t>
  </si>
  <si>
    <t>Pantalón Señora</t>
  </si>
  <si>
    <t>Marruecos</t>
  </si>
  <si>
    <t>Camisa Caballero</t>
  </si>
  <si>
    <t>Blusa Sra.</t>
  </si>
  <si>
    <t>Cazadora piel</t>
  </si>
  <si>
    <t>Abrigo Caballero</t>
  </si>
  <si>
    <t>Abrigo Sra</t>
  </si>
  <si>
    <t>Cinturón de piel</t>
  </si>
  <si>
    <t>DEPORTE</t>
  </si>
  <si>
    <t>Raqueta Tenis</t>
  </si>
  <si>
    <t>Usa</t>
  </si>
  <si>
    <t>Chándal</t>
  </si>
  <si>
    <t>Tren Eléctrico</t>
  </si>
  <si>
    <t>Pistola Olímpica</t>
  </si>
  <si>
    <t>Suecia</t>
  </si>
  <si>
    <t>Monopatín</t>
  </si>
  <si>
    <t>Balón baloncesto</t>
  </si>
  <si>
    <t>Balón Fútbol</t>
  </si>
  <si>
    <t>Sudadera</t>
  </si>
  <si>
    <t>Bicicleta de montaña</t>
  </si>
  <si>
    <t>FERRETERÍA</t>
  </si>
  <si>
    <t>Destornillador</t>
  </si>
  <si>
    <t>Serrucho</t>
  </si>
  <si>
    <t>Francia</t>
  </si>
  <si>
    <t>Llave Inglesa</t>
  </si>
  <si>
    <t>Alicates</t>
  </si>
  <si>
    <t>Martillo</t>
  </si>
  <si>
    <t>Lima Grande</t>
  </si>
  <si>
    <t>Juego de brocas</t>
  </si>
  <si>
    <t>Taiwán</t>
  </si>
  <si>
    <t>JUGUETERÍA</t>
  </si>
  <si>
    <t>Coche Teledirigido</t>
  </si>
  <si>
    <t>Correpasillos</t>
  </si>
  <si>
    <t>Consola Video</t>
  </si>
  <si>
    <t>Muñeca Andadora</t>
  </si>
  <si>
    <t>Fuerte de soldados</t>
  </si>
  <si>
    <t>Pistola con sonidos</t>
  </si>
  <si>
    <t>Pie de lámpara</t>
  </si>
  <si>
    <t>Turquía</t>
  </si>
  <si>
    <t>CONDICIONAL</t>
  </si>
  <si>
    <t>NOMBRE</t>
  </si>
  <si>
    <t>CALIFICACION</t>
  </si>
  <si>
    <t>Ana Oscar</t>
  </si>
  <si>
    <t>Miguel Torres</t>
  </si>
  <si>
    <t>Armando Alvarado</t>
  </si>
  <si>
    <t>BECA</t>
  </si>
  <si>
    <t>APROBADO</t>
  </si>
  <si>
    <t>SUSPENSO</t>
  </si>
  <si>
    <t>PARCIAL 1</t>
  </si>
  <si>
    <t>PARCIAL 2</t>
  </si>
  <si>
    <t>CALIF X PARCIAL(Y)</t>
  </si>
  <si>
    <t>CALIF X PARCIAL(O)</t>
  </si>
  <si>
    <t>HER CENTRO</t>
  </si>
  <si>
    <t>NOTA FINAL</t>
  </si>
  <si>
    <t>CALIF X PROMEDIO</t>
  </si>
  <si>
    <t>CALIFICACION  2</t>
  </si>
  <si>
    <t>INSUFICIENTE</t>
  </si>
  <si>
    <t>BIEN</t>
  </si>
  <si>
    <t>NOTABLE</t>
  </si>
  <si>
    <t>&lt;5</t>
  </si>
  <si>
    <t>SUFICIENTE</t>
  </si>
  <si>
    <t>SOBRESALIENTE</t>
  </si>
  <si>
    <t>&lt;6</t>
  </si>
  <si>
    <t>&lt;7</t>
  </si>
  <si>
    <t>&lt;9</t>
  </si>
  <si>
    <t>&gt;=9</t>
  </si>
  <si>
    <t>PRECIO CON IVA</t>
  </si>
  <si>
    <t>TEXTO PRUEBA</t>
  </si>
  <si>
    <t>TABLA PARA EL CÁLCULO DE DESCUENTO DE FACTURAS</t>
  </si>
  <si>
    <t>SI PAGA ANTES DE 10 DÍAS SE APLICA EL 10% DE DESCUENTO</t>
  </si>
  <si>
    <t>SI PAGA ANTES DE 15 DÍAS SE APLICA EL 5% DE DESCUENTO</t>
  </si>
  <si>
    <t>SI PAGA PASADOS 15 DIAS SE APLICA UN 2% DE DESCUENTO</t>
  </si>
  <si>
    <t>FACTURA</t>
  </si>
  <si>
    <t>SERVIDO</t>
  </si>
  <si>
    <t>PAGADO</t>
  </si>
  <si>
    <t>DIAS</t>
  </si>
  <si>
    <t>IMPORTE</t>
  </si>
  <si>
    <t>A PAGAR</t>
  </si>
  <si>
    <t>N3245</t>
  </si>
  <si>
    <t>G65465N</t>
  </si>
  <si>
    <t>R654654</t>
  </si>
  <si>
    <t>F65654</t>
  </si>
  <si>
    <t>E6546546</t>
  </si>
  <si>
    <t>T65465</t>
  </si>
  <si>
    <t>Y654654</t>
  </si>
  <si>
    <t>I654654</t>
  </si>
  <si>
    <t>P9654654</t>
  </si>
  <si>
    <t>Y65477</t>
  </si>
  <si>
    <t>Q654654</t>
  </si>
  <si>
    <t>S654651651</t>
  </si>
  <si>
    <t>Introduce el importe aquí</t>
  </si>
  <si>
    <t>N ALUMNO</t>
  </si>
  <si>
    <t>DIRECCIÓN</t>
  </si>
  <si>
    <t>CURSO</t>
  </si>
  <si>
    <t>CALIFICACIÓN</t>
  </si>
  <si>
    <t>Miguel Angel</t>
  </si>
  <si>
    <t>Dalila Juana</t>
  </si>
  <si>
    <t>Jazmin Maria</t>
  </si>
  <si>
    <t>Gran Viá</t>
  </si>
  <si>
    <t>P Prado</t>
  </si>
  <si>
    <t>Atocha</t>
  </si>
  <si>
    <t xml:space="preserve">QUINTO </t>
  </si>
  <si>
    <t>CUARTO</t>
  </si>
  <si>
    <t>SEGUNDO</t>
  </si>
  <si>
    <t>N Alumno</t>
  </si>
  <si>
    <t>Nombre</t>
  </si>
  <si>
    <t>Dirección</t>
  </si>
  <si>
    <t xml:space="preserve">Curso </t>
  </si>
  <si>
    <t>Calificación</t>
  </si>
  <si>
    <t>ALUMNO</t>
  </si>
  <si>
    <t>RECORD</t>
  </si>
  <si>
    <t>RANGO</t>
  </si>
  <si>
    <t>Carla</t>
  </si>
  <si>
    <t>Javier</t>
  </si>
  <si>
    <t>VALOR</t>
  </si>
  <si>
    <t>F</t>
  </si>
  <si>
    <t>D</t>
  </si>
  <si>
    <t>C</t>
  </si>
  <si>
    <t>B</t>
  </si>
  <si>
    <t>A</t>
  </si>
  <si>
    <t>VENDEDOR</t>
  </si>
  <si>
    <t>TIPO</t>
  </si>
  <si>
    <t>COMISION</t>
  </si>
  <si>
    <t>TOT.ACTUAL</t>
  </si>
  <si>
    <t>ANÁLISIS DE VENDEDORES</t>
  </si>
  <si>
    <t>AGUIRRE</t>
  </si>
  <si>
    <t>CASADO</t>
  </si>
  <si>
    <t>GARCIA</t>
  </si>
  <si>
    <t>LOPEZ</t>
  </si>
  <si>
    <t>PRECIO UNITARIO</t>
  </si>
  <si>
    <t>TIPO DE COMISION</t>
  </si>
  <si>
    <t>VENDEDOR TIPO</t>
  </si>
  <si>
    <t>ASISTENCIA HACE TRES SEMANAS</t>
  </si>
  <si>
    <t>Ana Lopez</t>
  </si>
  <si>
    <t>David Garcia</t>
  </si>
  <si>
    <t>Luis Amador</t>
  </si>
  <si>
    <t>ASISTENCIA HOY</t>
  </si>
  <si>
    <t>Luis Agudo</t>
  </si>
  <si>
    <t>Sergio Caballero</t>
  </si>
  <si>
    <t>Rebeca Ledesma</t>
  </si>
  <si>
    <t>NUEVOS</t>
  </si>
  <si>
    <t>SI.CONJUNTO</t>
  </si>
  <si>
    <t>CALIFICACION SI</t>
  </si>
  <si>
    <t>PAÍS</t>
  </si>
  <si>
    <t>CIUDADES</t>
  </si>
  <si>
    <t>RENTA PER/CÁPITA</t>
  </si>
  <si>
    <t>EEUU</t>
  </si>
  <si>
    <t>California</t>
  </si>
  <si>
    <t>ESPAÑA</t>
  </si>
  <si>
    <t>Madrid</t>
  </si>
  <si>
    <t>ALEMANIA</t>
  </si>
  <si>
    <t>Hamburgo</t>
  </si>
  <si>
    <t>MEXICO</t>
  </si>
  <si>
    <t>Sonora</t>
  </si>
  <si>
    <t>COLOMBIA</t>
  </si>
  <si>
    <t>Bogotá</t>
  </si>
  <si>
    <t>ITALIA</t>
  </si>
  <si>
    <t>Roma</t>
  </si>
  <si>
    <t>FRANCIA</t>
  </si>
  <si>
    <t>Marsella</t>
  </si>
  <si>
    <t>INDIA</t>
  </si>
  <si>
    <t>Calcuta</t>
  </si>
  <si>
    <t>CHINA</t>
  </si>
  <si>
    <t>Shangai</t>
  </si>
  <si>
    <t>Florida</t>
  </si>
  <si>
    <t>Barcelona</t>
  </si>
  <si>
    <t>Berlín</t>
  </si>
  <si>
    <t>Milán</t>
  </si>
  <si>
    <t>Pekín</t>
  </si>
  <si>
    <t>Nueva Delhi</t>
  </si>
  <si>
    <t>Valencia</t>
  </si>
  <si>
    <t>Michigan</t>
  </si>
  <si>
    <t>París</t>
  </si>
  <si>
    <t>Medellín</t>
  </si>
  <si>
    <t>Bilbao</t>
  </si>
  <si>
    <t>LA RENTA MAS ALTA DE EEUU</t>
  </si>
  <si>
    <t>LA RENTA MAS BAJA DE EEUU</t>
  </si>
  <si>
    <t>ZONAS</t>
  </si>
  <si>
    <t>NORTE</t>
  </si>
  <si>
    <t>SUR</t>
  </si>
  <si>
    <t>LA RENTA MAS ALTA DE ESPAÑA DE NORTE</t>
  </si>
  <si>
    <t>LA RENTA MAS BAJA DE ESPAÑA DE NORTE</t>
  </si>
  <si>
    <t>N de dia</t>
  </si>
  <si>
    <t>Dia de la Semana</t>
  </si>
  <si>
    <t>Nota</t>
  </si>
  <si>
    <t>Calificacion</t>
  </si>
  <si>
    <t>TIPO DE INTERES</t>
  </si>
  <si>
    <t>BAJO</t>
  </si>
  <si>
    <t>NORMAL</t>
  </si>
  <si>
    <t>ALTO</t>
  </si>
  <si>
    <t>Interes</t>
  </si>
  <si>
    <t>APELLIDO</t>
  </si>
  <si>
    <t>EDAD</t>
  </si>
  <si>
    <t>Maria Anita</t>
  </si>
  <si>
    <t>Rojas Oscar</t>
  </si>
  <si>
    <t>Sandra Elizabeth</t>
  </si>
  <si>
    <t>CONCAT</t>
  </si>
  <si>
    <t>CÓDIGO ARTÍCULO</t>
  </si>
  <si>
    <t>PRECIO</t>
  </si>
  <si>
    <t>IMPORTADO</t>
  </si>
  <si>
    <t>AR01</t>
  </si>
  <si>
    <t>DESTORNILLADOR</t>
  </si>
  <si>
    <t>AR02</t>
  </si>
  <si>
    <t>TRAJE CABALLERO</t>
  </si>
  <si>
    <t>AR03</t>
  </si>
  <si>
    <t>COCHE TELEDIRIGIDO</t>
  </si>
  <si>
    <t>MARRUECOS</t>
  </si>
  <si>
    <t>AR04</t>
  </si>
  <si>
    <t>DEPORTES</t>
  </si>
  <si>
    <t>RAQUETA TENIS</t>
  </si>
  <si>
    <t>USA</t>
  </si>
  <si>
    <t>AR06</t>
  </si>
  <si>
    <t>MANCUERNAS</t>
  </si>
  <si>
    <t>AR07</t>
  </si>
  <si>
    <t>SERRUCHO</t>
  </si>
  <si>
    <t>AR08</t>
  </si>
  <si>
    <t>CORREPASILLOS</t>
  </si>
  <si>
    <t>JAPÓN</t>
  </si>
  <si>
    <t>AR09</t>
  </si>
  <si>
    <t>PANTALÓN SEÑORA</t>
  </si>
  <si>
    <t>AR10</t>
  </si>
  <si>
    <t>CONSOLA VIDEO</t>
  </si>
  <si>
    <t>AR11</t>
  </si>
  <si>
    <t>TUBOS</t>
  </si>
  <si>
    <t>AR12</t>
  </si>
  <si>
    <t>LLAVE INGLESA</t>
  </si>
  <si>
    <t>AR13</t>
  </si>
  <si>
    <t>CAMISA CABALLERO</t>
  </si>
  <si>
    <t>AR14</t>
  </si>
  <si>
    <t>TREN ELÉCTRICO</t>
  </si>
  <si>
    <t>AR15</t>
  </si>
  <si>
    <t>PLATO DECORATIVO</t>
  </si>
  <si>
    <t>AR16</t>
  </si>
  <si>
    <t>ALICATES</t>
  </si>
  <si>
    <t>AR17</t>
  </si>
  <si>
    <t>MUÑECA ANDADORA</t>
  </si>
  <si>
    <t>AR18</t>
  </si>
  <si>
    <t>PISTOLA OLÍMPICA</t>
  </si>
  <si>
    <t>SUECIA</t>
  </si>
  <si>
    <t>AR19</t>
  </si>
  <si>
    <t>BLUSA SRA.</t>
  </si>
  <si>
    <t>AR20</t>
  </si>
  <si>
    <t>JUEGO DE TE</t>
  </si>
  <si>
    <t>AR21</t>
  </si>
  <si>
    <t>CENICERO</t>
  </si>
  <si>
    <t>AR22</t>
  </si>
  <si>
    <t>MARTILLO</t>
  </si>
  <si>
    <t>AR23</t>
  </si>
  <si>
    <t>CAZADORA PIEL</t>
  </si>
  <si>
    <t>AR24</t>
  </si>
  <si>
    <t>BALÓN RUGBY</t>
  </si>
  <si>
    <t>AR25</t>
  </si>
  <si>
    <t>BALÓN BALONCESTO</t>
  </si>
  <si>
    <t>AR26</t>
  </si>
  <si>
    <t>FUERTE DE SOLDADOS</t>
  </si>
  <si>
    <t>AR27</t>
  </si>
  <si>
    <t>ABRIGO CABALLERO</t>
  </si>
  <si>
    <t>AR28</t>
  </si>
  <si>
    <t>BALÓN FÚTBOL</t>
  </si>
  <si>
    <t>AR29</t>
  </si>
  <si>
    <t>ABRIGO SRA</t>
  </si>
  <si>
    <t>AR30</t>
  </si>
  <si>
    <t>AR31</t>
  </si>
  <si>
    <t>PISTOLA CON SONIDOS</t>
  </si>
  <si>
    <t>AR32</t>
  </si>
  <si>
    <t>CRONÓMETRO</t>
  </si>
  <si>
    <t>AR33</t>
  </si>
  <si>
    <t>MACETA</t>
  </si>
  <si>
    <t>AR34</t>
  </si>
  <si>
    <t>OFICINA</t>
  </si>
  <si>
    <t>PIE DE LÁMPARA</t>
  </si>
  <si>
    <t>TURQUÍA</t>
  </si>
  <si>
    <t>AR35</t>
  </si>
  <si>
    <t>LIMA GRANDE</t>
  </si>
  <si>
    <t>AR36</t>
  </si>
  <si>
    <t>JUEGO DE BROCAS</t>
  </si>
  <si>
    <t>TAIWÁN</t>
  </si>
  <si>
    <t>AR37</t>
  </si>
  <si>
    <t>CINTURÓN DE PIEL</t>
  </si>
  <si>
    <t>AR38</t>
  </si>
  <si>
    <t>CAÑA DE PESCA</t>
  </si>
  <si>
    <t>AR39</t>
  </si>
  <si>
    <t>JARRA CHINA</t>
  </si>
  <si>
    <t>AR40</t>
  </si>
  <si>
    <t>BOTA ALPINISMO</t>
  </si>
  <si>
    <t>AR41</t>
  </si>
  <si>
    <t>PALAS DE PING PONG</t>
  </si>
  <si>
    <t>SUMA DE PRECIO DE ESPAÑA</t>
  </si>
  <si>
    <t>SUMA DE PRECIO DE ITALIA</t>
  </si>
  <si>
    <t>SUMA DE PRECIO DE ESPA Y ITALIA</t>
  </si>
  <si>
    <t>MEDIA DE PRECIO DE ESPAÑA</t>
  </si>
  <si>
    <t>ferreter?a</t>
  </si>
  <si>
    <t>* caballero</t>
  </si>
  <si>
    <t>SUMA DE PRECIO ARTICULO DE CABALLERO</t>
  </si>
  <si>
    <t>suma de precio de españa o ferretería</t>
  </si>
  <si>
    <t>SUMA</t>
  </si>
  <si>
    <t>Columna1</t>
  </si>
  <si>
    <t>Columna2</t>
  </si>
  <si>
    <t>Columna3</t>
  </si>
  <si>
    <t>Columna4</t>
  </si>
  <si>
    <t>Columna5</t>
  </si>
  <si>
    <t>Columna6</t>
  </si>
  <si>
    <t>Columna7</t>
  </si>
  <si>
    <t>AR42</t>
  </si>
  <si>
    <t>CROACIA</t>
  </si>
  <si>
    <t>MAX PRECIO DE ESPAÑA</t>
  </si>
  <si>
    <t xml:space="preserve">Zona Norte </t>
  </si>
  <si>
    <t>Zona Sur</t>
  </si>
  <si>
    <t>Zona Este</t>
  </si>
  <si>
    <t>Zona Oeste</t>
  </si>
  <si>
    <t>Hardware</t>
  </si>
  <si>
    <t>Software</t>
  </si>
  <si>
    <t>Servicios</t>
  </si>
  <si>
    <t>Enero</t>
  </si>
  <si>
    <t>Febrero</t>
  </si>
  <si>
    <t>Marzo</t>
  </si>
  <si>
    <t>Maria</t>
  </si>
  <si>
    <t>Comision</t>
  </si>
  <si>
    <t xml:space="preserve">Enero </t>
  </si>
  <si>
    <t>Averiguar la comision</t>
  </si>
  <si>
    <t>Valorar en esta columna si el precio del curso es superior a 1.500 € realizar una oferta de el 30% en el precio. En caso contrario la oferta debe ser de un 15%</t>
  </si>
  <si>
    <t>FECHA DE COMIENZO</t>
  </si>
  <si>
    <t>HORAS</t>
  </si>
  <si>
    <t>PRECIO CON OFERTA INCLUIDA</t>
  </si>
  <si>
    <t>ANA MARTIN</t>
  </si>
  <si>
    <t>OFIMÁTICA</t>
  </si>
  <si>
    <t>ANTONIO LILLO</t>
  </si>
  <si>
    <t>RAQUEL MARTÍNEZ</t>
  </si>
  <si>
    <t>LUISA ROJAS</t>
  </si>
  <si>
    <t>GESTIÓN LABORAL</t>
  </si>
  <si>
    <t>MARÍA LUCAS</t>
  </si>
  <si>
    <t>PEPE MARCOS</t>
  </si>
  <si>
    <t>FISCALIDAD</t>
  </si>
  <si>
    <t>MIGUEL MARIN</t>
  </si>
  <si>
    <t>ALBERTO CALLE</t>
  </si>
  <si>
    <t>MARTA JIMÉNEZ</t>
  </si>
  <si>
    <t>ELENA GIMENO</t>
  </si>
  <si>
    <t>MARISA TIERNO</t>
  </si>
  <si>
    <t>BEGOÑA NANDEZ</t>
  </si>
  <si>
    <t>PEDRO DÁVILA</t>
  </si>
  <si>
    <t>Hallar el importe del curso aplicando el 21% de IVA y sabiendo que el coste de los cursos es:</t>
  </si>
  <si>
    <t>dasd</t>
  </si>
  <si>
    <t>SUMAR DUPLICADOS</t>
  </si>
  <si>
    <t>Etiquetas de columna</t>
  </si>
  <si>
    <t>Total general</t>
  </si>
  <si>
    <t>Etiquetas de fila</t>
  </si>
  <si>
    <t>arfdfdf</t>
  </si>
  <si>
    <t xml:space="preserve">Promedio de PRECIO </t>
  </si>
  <si>
    <t>(Todas)</t>
  </si>
  <si>
    <t>Suma de PRECIO</t>
  </si>
  <si>
    <t>Capital</t>
  </si>
  <si>
    <t>Coutas</t>
  </si>
  <si>
    <t>Mensualidad</t>
  </si>
  <si>
    <t>Planteo diferentes supuestos</t>
  </si>
  <si>
    <t>Sirve para plnatar (Y si cambiamos esa celda o la otra)</t>
  </si>
  <si>
    <t xml:space="preserve">Capital </t>
  </si>
  <si>
    <t>Casa</t>
  </si>
  <si>
    <t>Cuotas</t>
  </si>
  <si>
    <t>A pagar</t>
  </si>
  <si>
    <t>Seguro</t>
  </si>
  <si>
    <t>Tasa_Interes</t>
  </si>
  <si>
    <t>$C$29</t>
  </si>
  <si>
    <t>Banco1 a 3% a 25 años con seguro 100% capital</t>
  </si>
  <si>
    <t>Creado por Usuario el 04/09/2023</t>
  </si>
  <si>
    <t>Banco1 al 4% a 30 años 100 % capital con seguro 175</t>
  </si>
  <si>
    <t>Creado por Usuario el 04/09/2023
Modificado por Usuario el 04/09/2023</t>
  </si>
  <si>
    <t>Banco 1 al 3% a 25 años 100% capital con seguro</t>
  </si>
  <si>
    <t>Banco2 a 2.5% interes a 35 años con seguro 275 capital %100</t>
  </si>
  <si>
    <t xml:space="preserve">Banco3 al 3% interes con  80% capital a 20 años con seguro </t>
  </si>
  <si>
    <t>Resumen del escenario</t>
  </si>
  <si>
    <t>Celdas cambiantes:</t>
  </si>
  <si>
    <t>Valores actuales:</t>
  </si>
  <si>
    <t>Celdas de resultado:</t>
  </si>
  <si>
    <t>Notas: La columna de valores actuales representa los valores de las celdas cambiantes</t>
  </si>
  <si>
    <t>en el momento en que se creó el Informe resumen de escenario. Las celdas cambiantes de</t>
  </si>
  <si>
    <t>cada escenario se muestran en gris.</t>
  </si>
  <si>
    <t xml:space="preserve">Buscar Objetivo </t>
  </si>
  <si>
    <t>Precio Vehiculo</t>
  </si>
  <si>
    <t>Plazo</t>
  </si>
  <si>
    <t>Couta mensual</t>
  </si>
  <si>
    <t>MOBILIARIO OFICINA</t>
  </si>
  <si>
    <t>Articulo</t>
  </si>
  <si>
    <t>Precio unidad</t>
  </si>
  <si>
    <t>Unidades</t>
  </si>
  <si>
    <t>DESCUENTO</t>
  </si>
  <si>
    <t>Mesas</t>
  </si>
  <si>
    <t>Sillas</t>
  </si>
  <si>
    <t>Lamparas</t>
  </si>
  <si>
    <t>Ordenadores</t>
  </si>
  <si>
    <t>1.¿Cuántos ordenadores se podrán comprar con un presupuesto de 4,000.00? 2.¿Cuántas sillas se podrán comprar con un presupuesto de  4,300.00?</t>
  </si>
  <si>
    <t>PRODUCTO</t>
  </si>
  <si>
    <t>PRECIO PVP</t>
  </si>
  <si>
    <t>COSTO DE FABRICACION</t>
  </si>
  <si>
    <t>BENEFICIO</t>
  </si>
  <si>
    <t>Unidades a vender</t>
  </si>
  <si>
    <t>Costo Fabricacion</t>
  </si>
  <si>
    <t>Beneficio</t>
  </si>
  <si>
    <t>MAXIMIZAR</t>
  </si>
  <si>
    <t>MINIMIZAR</t>
  </si>
  <si>
    <t>CAPACIDA FABRICACION FABRICAS</t>
  </si>
  <si>
    <t>Zona</t>
  </si>
  <si>
    <t>Capa Max</t>
  </si>
  <si>
    <t>Centro</t>
  </si>
  <si>
    <t>Sur</t>
  </si>
  <si>
    <t>PEDIDO</t>
  </si>
  <si>
    <t>COSTE DE FABRICACION</t>
  </si>
  <si>
    <t>Fabrica</t>
  </si>
  <si>
    <t>UNIDAD DE FABRICACION</t>
  </si>
  <si>
    <t xml:space="preserve">Centro </t>
  </si>
  <si>
    <t>COSTE TOTAL FABRI</t>
  </si>
  <si>
    <t>CARNET</t>
  </si>
  <si>
    <t>TIPO CARNET</t>
  </si>
  <si>
    <t>SI</t>
  </si>
  <si>
    <t>SIN CARNET</t>
  </si>
  <si>
    <t>TIPO B</t>
  </si>
  <si>
    <t>TIPO A</t>
  </si>
  <si>
    <t>NO</t>
  </si>
  <si>
    <t>CLIENTE:</t>
  </si>
  <si>
    <t>CIF:</t>
  </si>
  <si>
    <t>LOCALIDAD:</t>
  </si>
  <si>
    <t>C.POSTAL:</t>
  </si>
  <si>
    <t>TFNO:</t>
  </si>
  <si>
    <t>DIRECCIÓN:</t>
  </si>
  <si>
    <t>C.POSTAL</t>
  </si>
  <si>
    <t>PILDORASINFORMATICAS</t>
  </si>
  <si>
    <t>DOMICILIO:</t>
  </si>
  <si>
    <t>NIF:</t>
  </si>
  <si>
    <t>EMAIL:</t>
  </si>
  <si>
    <t>Nº Factura</t>
  </si>
  <si>
    <t>Fecha</t>
  </si>
  <si>
    <t>Vencimiento factura</t>
  </si>
  <si>
    <t>Cód</t>
  </si>
  <si>
    <t>Producto</t>
  </si>
  <si>
    <t>Total Base Imponible</t>
  </si>
  <si>
    <t>Total IVA</t>
  </si>
  <si>
    <t xml:space="preserve">Precio </t>
  </si>
  <si>
    <t xml:space="preserve">Curso Excel </t>
  </si>
  <si>
    <t>a-564658</t>
  </si>
  <si>
    <t>Curso Access</t>
  </si>
  <si>
    <t>b-656546</t>
  </si>
  <si>
    <t>Curso Java</t>
  </si>
  <si>
    <t>d-987987</t>
  </si>
  <si>
    <t>Curso Python</t>
  </si>
  <si>
    <t>e-213241</t>
  </si>
  <si>
    <t>Curso C#</t>
  </si>
  <si>
    <t>f-5465456</t>
  </si>
  <si>
    <t>Curso Word</t>
  </si>
  <si>
    <t>g-8798779</t>
  </si>
  <si>
    <t>Academia Martín</t>
  </si>
  <si>
    <t>Z6546546</t>
  </si>
  <si>
    <t>Concha Espina 5</t>
  </si>
  <si>
    <t xml:space="preserve">Madrid </t>
  </si>
  <si>
    <t>Centro formación Teleno</t>
  </si>
  <si>
    <t>C7784651</t>
  </si>
  <si>
    <t>Alcalá 97</t>
  </si>
  <si>
    <t>Colegio Mayor Norte</t>
  </si>
  <si>
    <t>D7887887</t>
  </si>
  <si>
    <t>Castellana 12</t>
  </si>
  <si>
    <t>Instituto FP Plasencia</t>
  </si>
  <si>
    <t>D5465464</t>
  </si>
  <si>
    <t>Diagonal 15</t>
  </si>
  <si>
    <t>CIF</t>
  </si>
  <si>
    <t>LOCALIDAD</t>
  </si>
  <si>
    <t>TFNO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</si>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</sst>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.00\ &quot;€&quot;"/>
    <numFmt numFmtId="165" formatCode="0.0000"/>
    <numFmt numFmtId="166" formatCode="_-* #,##0.00[$€]_-;\-* #,##0.00[$€]_-;_-* &quot;-&quot;??[$€]_-;_-@_-"/>
    <numFmt numFmtId="167" formatCode="_-* #,##0.00\ [$€-803]_-;\-* #,##0.00\ [$€-803]_-;_-* &quot;-&quot;??\ [$€-803]_-;_-@_-"/>
    <numFmt numFmtId="168" formatCode="_-* #,##0.00\ [$€-C0A]_-;\-* #,##0.00\ [$€-C0A]_-;_-* &quot;-&quot;??\ [$€-C0A]_-;_-@_-"/>
  </numFmts>
  <fonts count="24" x14ac:knownFonts="1">
    <font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Arial"/>
      <family val="2"/>
    </font>
    <font>
      <b/>
      <sz val="12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8" tint="-0.24994659260841701"/>
      </bottom>
      <diagonal/>
    </border>
    <border>
      <left/>
      <right/>
      <top/>
      <bottom style="thick">
        <color theme="3" tint="0.39991454817346722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thin">
        <color theme="0"/>
      </right>
      <top style="thin">
        <color theme="9" tint="-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9"/>
      </top>
      <bottom style="thin">
        <color theme="0"/>
      </bottom>
      <diagonal/>
    </border>
    <border>
      <left style="thin">
        <color theme="0"/>
      </left>
      <right style="thin">
        <color theme="9" tint="-0.24994659260841701"/>
      </right>
      <top style="thin">
        <color theme="9" tint="-0.24994659260841701"/>
      </top>
      <bottom style="thin">
        <color theme="0"/>
      </bottom>
      <diagonal/>
    </border>
    <border>
      <left style="thin">
        <color theme="9" tint="-0.2499465926084170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9" tint="-0.24994659260841701"/>
      </right>
      <top style="thin">
        <color theme="0"/>
      </top>
      <bottom style="thin">
        <color theme="0"/>
      </bottom>
      <diagonal/>
    </border>
    <border>
      <left style="thin">
        <color theme="9" tint="-0.24994659260841701"/>
      </left>
      <right style="thin">
        <color theme="0"/>
      </right>
      <top style="thin">
        <color theme="0"/>
      </top>
      <bottom style="thin">
        <color theme="9" tint="-0.24994659260841701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/>
      <top style="medium">
        <color rgb="FF00B050"/>
      </top>
      <bottom/>
      <diagonal/>
    </border>
    <border>
      <left style="thin">
        <color theme="0"/>
      </left>
      <right/>
      <top style="thin">
        <color theme="0"/>
      </top>
      <bottom style="thin">
        <color theme="9" tint="-0.24994659260841701"/>
      </bottom>
      <diagonal/>
    </border>
    <border>
      <left style="thin">
        <color theme="0"/>
      </left>
      <right style="thin">
        <color theme="9" tint="-0.2499465926084170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166" fontId="5" fillId="0" borderId="0" applyFont="0" applyFill="0" applyBorder="0" applyAlignment="0" applyProtection="0"/>
    <xf numFmtId="0" fontId="6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140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9" fontId="0" fillId="0" borderId="0" xfId="0" applyNumberFormat="1"/>
    <xf numFmtId="0" fontId="3" fillId="0" borderId="0" xfId="0" applyFont="1"/>
    <xf numFmtId="0" fontId="0" fillId="0" borderId="3" xfId="0" applyBorder="1"/>
    <xf numFmtId="0" fontId="0" fillId="0" borderId="4" xfId="0" applyBorder="1"/>
    <xf numFmtId="9" fontId="0" fillId="0" borderId="4" xfId="0" applyNumberFormat="1" applyBorder="1"/>
    <xf numFmtId="0" fontId="0" fillId="0" borderId="5" xfId="0" applyBorder="1" applyAlignment="1">
      <alignment horizontal="center"/>
    </xf>
    <xf numFmtId="0" fontId="0" fillId="0" borderId="5" xfId="0" applyBorder="1"/>
    <xf numFmtId="2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4" fillId="2" borderId="4" xfId="0" quotePrefix="1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4" xfId="0" quotePrefix="1" applyFont="1" applyBorder="1"/>
    <xf numFmtId="14" fontId="4" fillId="0" borderId="4" xfId="0" quotePrefix="1" applyNumberFormat="1" applyFont="1" applyBorder="1"/>
    <xf numFmtId="14" fontId="4" fillId="0" borderId="4" xfId="0" applyNumberFormat="1" applyFont="1" applyBorder="1"/>
    <xf numFmtId="166" fontId="4" fillId="0" borderId="4" xfId="1" quotePrefix="1" applyFont="1" applyBorder="1"/>
    <xf numFmtId="166" fontId="0" fillId="0" borderId="0" xfId="0" applyNumberFormat="1"/>
    <xf numFmtId="167" fontId="0" fillId="0" borderId="0" xfId="0" applyNumberFormat="1"/>
    <xf numFmtId="0" fontId="0" fillId="4" borderId="7" xfId="0" applyFill="1" applyBorder="1" applyAlignment="1">
      <alignment horizontal="center"/>
    </xf>
    <xf numFmtId="0" fontId="0" fillId="0" borderId="0" xfId="0" applyAlignment="1">
      <alignment horizontal="left"/>
    </xf>
    <xf numFmtId="0" fontId="6" fillId="0" borderId="0" xfId="2"/>
    <xf numFmtId="14" fontId="6" fillId="0" borderId="0" xfId="2" applyNumberFormat="1"/>
    <xf numFmtId="164" fontId="6" fillId="0" borderId="0" xfId="2" applyNumberFormat="1"/>
    <xf numFmtId="0" fontId="0" fillId="3" borderId="7" xfId="0" applyFill="1" applyBorder="1" applyAlignment="1">
      <alignment horizontal="center"/>
    </xf>
    <xf numFmtId="0" fontId="0" fillId="5" borderId="4" xfId="0" applyFill="1" applyBorder="1"/>
    <xf numFmtId="0" fontId="0" fillId="0" borderId="4" xfId="0" applyBorder="1" applyAlignment="1">
      <alignment horizontal="center"/>
    </xf>
    <xf numFmtId="0" fontId="8" fillId="0" borderId="0" xfId="0" applyFont="1"/>
    <xf numFmtId="44" fontId="0" fillId="0" borderId="0" xfId="0" applyNumberFormat="1"/>
    <xf numFmtId="10" fontId="0" fillId="0" borderId="0" xfId="0" applyNumberFormat="1"/>
    <xf numFmtId="0" fontId="0" fillId="3" borderId="0" xfId="0" applyFill="1"/>
    <xf numFmtId="8" fontId="0" fillId="0" borderId="0" xfId="0" applyNumberFormat="1"/>
    <xf numFmtId="9" fontId="0" fillId="0" borderId="0" xfId="3" applyFont="1" applyAlignment="1">
      <alignment horizontal="center"/>
    </xf>
    <xf numFmtId="0" fontId="0" fillId="6" borderId="7" xfId="0" applyFill="1" applyBorder="1" applyAlignment="1">
      <alignment horizontal="center"/>
    </xf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9" fillId="7" borderId="7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8" borderId="7" xfId="0" applyFill="1" applyBorder="1"/>
    <xf numFmtId="0" fontId="8" fillId="8" borderId="7" xfId="0" applyFont="1" applyFill="1" applyBorder="1"/>
    <xf numFmtId="0" fontId="0" fillId="9" borderId="0" xfId="0" applyFill="1"/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/>
    </xf>
    <xf numFmtId="0" fontId="10" fillId="0" borderId="4" xfId="0" applyFont="1" applyBorder="1"/>
    <xf numFmtId="166" fontId="10" fillId="0" borderId="4" xfId="1" applyFont="1" applyBorder="1"/>
    <xf numFmtId="166" fontId="10" fillId="0" borderId="4" xfId="1" applyFont="1" applyBorder="1" applyAlignment="1">
      <alignment vertical="center"/>
    </xf>
    <xf numFmtId="14" fontId="0" fillId="0" borderId="0" xfId="0" applyNumberFormat="1"/>
    <xf numFmtId="0" fontId="4" fillId="0" borderId="9" xfId="0" quotePrefix="1" applyFont="1" applyBorder="1"/>
    <xf numFmtId="0" fontId="4" fillId="2" borderId="10" xfId="0" quotePrefix="1" applyFont="1" applyFill="1" applyBorder="1" applyAlignment="1">
      <alignment horizontal="center" vertical="center"/>
    </xf>
    <xf numFmtId="0" fontId="4" fillId="2" borderId="11" xfId="0" quotePrefix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0" fontId="4" fillId="2" borderId="13" xfId="0" quotePrefix="1" applyFont="1" applyFill="1" applyBorder="1" applyAlignment="1">
      <alignment horizontal="center" vertical="center"/>
    </xf>
    <xf numFmtId="167" fontId="0" fillId="0" borderId="14" xfId="0" applyNumberFormat="1" applyBorder="1"/>
    <xf numFmtId="0" fontId="0" fillId="0" borderId="14" xfId="0" applyBorder="1"/>
    <xf numFmtId="0" fontId="4" fillId="0" borderId="15" xfId="0" applyFont="1" applyBorder="1"/>
    <xf numFmtId="0" fontId="4" fillId="0" borderId="16" xfId="0" applyFont="1" applyBorder="1"/>
    <xf numFmtId="14" fontId="4" fillId="0" borderId="16" xfId="0" applyNumberFormat="1" applyFont="1" applyBorder="1"/>
    <xf numFmtId="166" fontId="4" fillId="0" borderId="16" xfId="1" applyFont="1" applyBorder="1"/>
    <xf numFmtId="167" fontId="0" fillId="0" borderId="12" xfId="0" applyNumberFormat="1" applyBorder="1"/>
    <xf numFmtId="0" fontId="11" fillId="2" borderId="4" xfId="0" quotePrefix="1" applyFont="1" applyFill="1" applyBorder="1" applyAlignment="1">
      <alignment horizontal="center" vertical="center"/>
    </xf>
    <xf numFmtId="14" fontId="11" fillId="2" borderId="4" xfId="0" applyNumberFormat="1" applyFont="1" applyFill="1" applyBorder="1" applyAlignment="1">
      <alignment horizontal="center" vertical="center"/>
    </xf>
    <xf numFmtId="0" fontId="0" fillId="0" borderId="0" xfId="0" pivotButton="1"/>
    <xf numFmtId="0" fontId="4" fillId="10" borderId="4" xfId="0" quotePrefix="1" applyFont="1" applyFill="1" applyBorder="1"/>
    <xf numFmtId="14" fontId="4" fillId="10" borderId="4" xfId="0" quotePrefix="1" applyNumberFormat="1" applyFont="1" applyFill="1" applyBorder="1"/>
    <xf numFmtId="14" fontId="4" fillId="10" borderId="4" xfId="0" applyNumberFormat="1" applyFont="1" applyFill="1" applyBorder="1"/>
    <xf numFmtId="0" fontId="4" fillId="10" borderId="9" xfId="0" quotePrefix="1" applyFont="1" applyFill="1" applyBorder="1"/>
    <xf numFmtId="166" fontId="4" fillId="10" borderId="14" xfId="1" quotePrefix="1" applyFont="1" applyFill="1" applyBorder="1"/>
    <xf numFmtId="166" fontId="4" fillId="0" borderId="14" xfId="1" quotePrefix="1" applyFont="1" applyBorder="1"/>
    <xf numFmtId="0" fontId="11" fillId="2" borderId="10" xfId="0" quotePrefix="1" applyFont="1" applyFill="1" applyBorder="1" applyAlignment="1">
      <alignment horizontal="center" vertical="center"/>
    </xf>
    <xf numFmtId="0" fontId="11" fillId="2" borderId="11" xfId="0" quotePrefix="1" applyFont="1" applyFill="1" applyBorder="1" applyAlignment="1">
      <alignment horizontal="center" vertical="center"/>
    </xf>
    <xf numFmtId="14" fontId="11" fillId="2" borderId="11" xfId="0" applyNumberFormat="1" applyFont="1" applyFill="1" applyBorder="1" applyAlignment="1">
      <alignment horizontal="center" vertical="center"/>
    </xf>
    <xf numFmtId="0" fontId="11" fillId="2" borderId="13" xfId="0" quotePrefix="1" applyFont="1" applyFill="1" applyBorder="1" applyAlignment="1">
      <alignment horizontal="center" vertical="center"/>
    </xf>
    <xf numFmtId="166" fontId="4" fillId="0" borderId="12" xfId="1" applyFont="1" applyBorder="1"/>
    <xf numFmtId="0" fontId="4" fillId="0" borderId="15" xfId="0" quotePrefix="1" applyFont="1" applyBorder="1"/>
    <xf numFmtId="0" fontId="4" fillId="0" borderId="16" xfId="0" quotePrefix="1" applyFont="1" applyBorder="1"/>
    <xf numFmtId="14" fontId="4" fillId="0" borderId="16" xfId="0" quotePrefix="1" applyNumberFormat="1" applyFont="1" applyBorder="1"/>
    <xf numFmtId="166" fontId="4" fillId="0" borderId="12" xfId="1" quotePrefix="1" applyFont="1" applyBorder="1"/>
    <xf numFmtId="9" fontId="0" fillId="0" borderId="14" xfId="0" applyNumberFormat="1" applyBorder="1"/>
    <xf numFmtId="9" fontId="0" fillId="0" borderId="12" xfId="0" applyNumberFormat="1" applyBorder="1"/>
    <xf numFmtId="168" fontId="0" fillId="0" borderId="0" xfId="0" applyNumberFormat="1"/>
    <xf numFmtId="8" fontId="0" fillId="0" borderId="0" xfId="4" applyNumberFormat="1" applyFont="1"/>
    <xf numFmtId="8" fontId="0" fillId="0" borderId="8" xfId="0" applyNumberFormat="1" applyBorder="1"/>
    <xf numFmtId="0" fontId="12" fillId="11" borderId="18" xfId="0" applyFont="1" applyFill="1" applyBorder="1" applyAlignment="1">
      <alignment horizontal="left"/>
    </xf>
    <xf numFmtId="0" fontId="12" fillId="11" borderId="17" xfId="0" applyFont="1" applyFill="1" applyBorder="1" applyAlignment="1">
      <alignment horizontal="left"/>
    </xf>
    <xf numFmtId="0" fontId="0" fillId="0" borderId="19" xfId="0" applyBorder="1"/>
    <xf numFmtId="0" fontId="13" fillId="12" borderId="0" xfId="0" applyFont="1" applyFill="1" applyAlignment="1">
      <alignment horizontal="left"/>
    </xf>
    <xf numFmtId="0" fontId="14" fillId="12" borderId="19" xfId="0" applyFont="1" applyFill="1" applyBorder="1" applyAlignment="1">
      <alignment horizontal="left"/>
    </xf>
    <xf numFmtId="0" fontId="13" fillId="12" borderId="8" xfId="0" applyFont="1" applyFill="1" applyBorder="1" applyAlignment="1">
      <alignment horizontal="left"/>
    </xf>
    <xf numFmtId="0" fontId="15" fillId="11" borderId="17" xfId="0" applyFont="1" applyFill="1" applyBorder="1" applyAlignment="1">
      <alignment horizontal="right"/>
    </xf>
    <xf numFmtId="0" fontId="15" fillId="11" borderId="18" xfId="0" applyFont="1" applyFill="1" applyBorder="1" applyAlignment="1">
      <alignment horizontal="right"/>
    </xf>
    <xf numFmtId="168" fontId="0" fillId="13" borderId="0" xfId="0" applyNumberFormat="1" applyFill="1"/>
    <xf numFmtId="9" fontId="0" fillId="13" borderId="0" xfId="0" applyNumberFormat="1" applyFill="1"/>
    <xf numFmtId="0" fontId="0" fillId="13" borderId="0" xfId="0" applyFill="1"/>
    <xf numFmtId="0" fontId="16" fillId="0" borderId="0" xfId="0" applyFont="1" applyAlignment="1">
      <alignment vertical="top" wrapText="1"/>
    </xf>
    <xf numFmtId="44" fontId="0" fillId="0" borderId="0" xfId="5" applyFont="1"/>
    <xf numFmtId="164" fontId="0" fillId="0" borderId="0" xfId="5" applyNumberFormat="1" applyFont="1"/>
    <xf numFmtId="164" fontId="0" fillId="0" borderId="4" xfId="0" applyNumberFormat="1" applyBorder="1"/>
    <xf numFmtId="2" fontId="0" fillId="0" borderId="4" xfId="0" applyNumberFormat="1" applyBorder="1"/>
    <xf numFmtId="0" fontId="0" fillId="0" borderId="0" xfId="0" applyAlignment="1">
      <alignment vertical="top" wrapText="1"/>
    </xf>
    <xf numFmtId="0" fontId="0" fillId="0" borderId="20" xfId="0" applyBorder="1" applyAlignment="1">
      <alignment vertical="top"/>
    </xf>
    <xf numFmtId="0" fontId="0" fillId="0" borderId="21" xfId="0" applyBorder="1"/>
    <xf numFmtId="0" fontId="18" fillId="0" borderId="22" xfId="0" applyFont="1" applyBorder="1"/>
    <xf numFmtId="0" fontId="3" fillId="0" borderId="23" xfId="0" applyFont="1" applyBorder="1" applyAlignment="1">
      <alignment vertical="top"/>
    </xf>
    <xf numFmtId="0" fontId="0" fillId="0" borderId="24" xfId="0" applyBorder="1"/>
    <xf numFmtId="0" fontId="3" fillId="0" borderId="26" xfId="0" applyFont="1" applyBorder="1" applyAlignment="1">
      <alignment vertical="top"/>
    </xf>
    <xf numFmtId="0" fontId="19" fillId="0" borderId="0" xfId="0" applyFont="1"/>
    <xf numFmtId="0" fontId="0" fillId="0" borderId="27" xfId="0" applyBorder="1"/>
    <xf numFmtId="14" fontId="0" fillId="0" borderId="27" xfId="0" applyNumberForma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0" fillId="0" borderId="28" xfId="0" applyFont="1" applyBorder="1" applyAlignment="1">
      <alignment horizontal="right"/>
    </xf>
    <xf numFmtId="164" fontId="21" fillId="0" borderId="28" xfId="0" applyNumberFormat="1" applyFont="1" applyBorder="1"/>
    <xf numFmtId="0" fontId="0" fillId="0" borderId="29" xfId="0" applyBorder="1"/>
    <xf numFmtId="0" fontId="3" fillId="0" borderId="29" xfId="0" applyFont="1" applyBorder="1" applyAlignment="1">
      <alignment horizontal="right"/>
    </xf>
    <xf numFmtId="0" fontId="18" fillId="0" borderId="25" xfId="0" applyFont="1" applyBorder="1" applyAlignment="1">
      <alignment horizontal="center"/>
    </xf>
    <xf numFmtId="0" fontId="0" fillId="0" borderId="30" xfId="0" applyBorder="1"/>
    <xf numFmtId="0" fontId="18" fillId="0" borderId="31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168" fontId="0" fillId="0" borderId="29" xfId="0" applyNumberFormat="1" applyBorder="1"/>
    <xf numFmtId="0" fontId="23" fillId="0" borderId="0" xfId="0" applyFont="1"/>
    <xf numFmtId="166" fontId="4" fillId="10" borderId="4" xfId="1" quotePrefix="1" applyFont="1" applyFill="1" applyBorder="1"/>
    <xf numFmtId="0" fontId="4" fillId="0" borderId="4" xfId="0" applyFont="1" applyBorder="1"/>
    <xf numFmtId="166" fontId="4" fillId="0" borderId="4" xfId="1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6" borderId="8" xfId="0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17" fillId="6" borderId="7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6">
    <cellStyle name="Euro" xfId="1" xr:uid="{5B3FA128-AEC2-4CFB-8ADB-AC1B8888691C}"/>
    <cellStyle name="Millares" xfId="4" builtinId="3"/>
    <cellStyle name="Moneda" xfId="5" builtinId="4"/>
    <cellStyle name="Normal" xfId="0" builtinId="0"/>
    <cellStyle name="Normal 2" xfId="2" xr:uid="{CA1C52AF-0DE8-476C-8139-7E89EF499E71}"/>
    <cellStyle name="Porcentaje" xfId="3" builtinId="5"/>
  </cellStyles>
  <dxfs count="42">
    <dxf>
      <numFmt numFmtId="164" formatCode="#,##0.00\ &quot;€&quot;"/>
    </dxf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indexed="1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_-* #,##0.00[$€]_-;\-* #,##0.00[$€]_-;_-* &quot;-&quot;??[$€]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indexed="1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_-* #,##0.00[$€]_-;\-* #,##0.00[$€]_-;_-* &quot;-&quot;??[$€]_-;_-@_-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_-* #,##0.00[$€]_-;\-* #,##0.00[$€]_-;_-* &quot;-&quot;??[$€]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indexed="1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7" formatCode="_-* #,##0.00\ [$€-803]_-;\-* #,##0.00\ [$€-803]_-;_-* &quot;-&quot;??\ [$€-803]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indexed="1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42" Type="http://schemas.openxmlformats.org/officeDocument/2006/relationships/customXml" Target="../customXml/item4.xml"/><Relationship Id="rId47" Type="http://schemas.openxmlformats.org/officeDocument/2006/relationships/customXml" Target="../customXml/item9.xml"/><Relationship Id="rId50" Type="http://schemas.openxmlformats.org/officeDocument/2006/relationships/customXml" Target="../customXml/item12.xml"/><Relationship Id="rId55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2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powerPivotData" Target="model/item.data"/><Relationship Id="rId40" Type="http://schemas.openxmlformats.org/officeDocument/2006/relationships/customXml" Target="../customXml/item2.xml"/><Relationship Id="rId45" Type="http://schemas.openxmlformats.org/officeDocument/2006/relationships/customXml" Target="../customXml/item7.xml"/><Relationship Id="rId53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2.xml"/><Relationship Id="rId44" Type="http://schemas.openxmlformats.org/officeDocument/2006/relationships/customXml" Target="../customXml/item6.xml"/><Relationship Id="rId52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sharedStrings" Target="sharedStrings.xml"/><Relationship Id="rId43" Type="http://schemas.openxmlformats.org/officeDocument/2006/relationships/customXml" Target="../customXml/item5.xml"/><Relationship Id="rId48" Type="http://schemas.openxmlformats.org/officeDocument/2006/relationships/customXml" Target="../customXml/item10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onnections" Target="connections.xml"/><Relationship Id="rId38" Type="http://schemas.openxmlformats.org/officeDocument/2006/relationships/calcChain" Target="calcChain.xml"/><Relationship Id="rId46" Type="http://schemas.openxmlformats.org/officeDocument/2006/relationships/customXml" Target="../customXml/item8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3.xml"/><Relationship Id="rId54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sheetMetadata" Target="metadata.xml"/><Relationship Id="rId49" Type="http://schemas.openxmlformats.org/officeDocument/2006/relationships/customXml" Target="../customXml/item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784860</xdr:colOff>
      <xdr:row>1</xdr:row>
      <xdr:rowOff>106680</xdr:rowOff>
    </xdr:from>
    <xdr:to>
      <xdr:col>6</xdr:col>
      <xdr:colOff>647700</xdr:colOff>
      <xdr:row>3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437775B-5FB5-4B0C-84B7-73417F17D197}"/>
            </a:ext>
          </a:extLst>
        </xdr:cNvPr>
        <xdr:cNvSpPr>
          <a:spLocks noChangeShapeType="1"/>
        </xdr:cNvSpPr>
      </xdr:nvSpPr>
      <xdr:spPr bwMode="auto">
        <a:xfrm flipH="1">
          <a:off x="5356860" y="297180"/>
          <a:ext cx="643890" cy="58864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59</xdr:row>
      <xdr:rowOff>161925</xdr:rowOff>
    </xdr:from>
    <xdr:to>
      <xdr:col>13</xdr:col>
      <xdr:colOff>104775</xdr:colOff>
      <xdr:row>68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0C70341-0EE0-B440-3857-855C06CFF32D}"/>
            </a:ext>
          </a:extLst>
        </xdr:cNvPr>
        <xdr:cNvSpPr txBox="1"/>
      </xdr:nvSpPr>
      <xdr:spPr>
        <a:xfrm>
          <a:off x="9839325" y="11468100"/>
          <a:ext cx="2847975" cy="1600200"/>
        </a:xfrm>
        <a:prstGeom prst="rect">
          <a:avLst/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ES" sz="1100"/>
            <a:t>Empresa</a:t>
          </a:r>
          <a:r>
            <a:rPr lang="es-ES" sz="1100" baseline="0"/>
            <a:t> tiene que vender 3 productos.</a:t>
          </a:r>
        </a:p>
        <a:p>
          <a:r>
            <a:rPr lang="es-ES" sz="1100" baseline="0"/>
            <a:t>Restricciones: Solo se pueden vender máximo 1000 productos al mes</a:t>
          </a:r>
        </a:p>
        <a:p>
          <a:r>
            <a:rPr lang="es-ES" sz="1100" baseline="0"/>
            <a:t>Mínimo es necesario vender 350 mesas.</a:t>
          </a:r>
        </a:p>
        <a:p>
          <a:r>
            <a:rPr lang="es-ES" sz="1100" baseline="0"/>
            <a:t>Mínimo es  necesario vender 150 sillas.</a:t>
          </a:r>
        </a:p>
        <a:p>
          <a:r>
            <a:rPr lang="es-ES" sz="1100" baseline="0"/>
            <a:t>Mínimo es necesario vender 150 lámparas.</a:t>
          </a:r>
        </a:p>
        <a:p>
          <a:r>
            <a:rPr lang="es-ES" sz="1100" baseline="0"/>
            <a:t>Los costes de producción no debe superar los 60,000</a:t>
          </a:r>
        </a:p>
        <a:p>
          <a:r>
            <a:rPr lang="es-ES" sz="1100" baseline="0"/>
            <a:t>Hay que maximizar beneficios,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579782</xdr:colOff>
      <xdr:row>12</xdr:row>
      <xdr:rowOff>33129</xdr:rowOff>
    </xdr:from>
    <xdr:ext cx="5021402" cy="145774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F9148D0-2971-83A6-FB1B-F695649BC1B9}"/>
            </a:ext>
          </a:extLst>
        </xdr:cNvPr>
        <xdr:cNvSpPr txBox="1"/>
      </xdr:nvSpPr>
      <xdr:spPr>
        <a:xfrm>
          <a:off x="7603434" y="2385390"/>
          <a:ext cx="5021402" cy="145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s-ES"/>
            <a:t>NumeracionAutomatica()Range("D2").Select</a:t>
          </a:r>
        </a:p>
        <a:p>
          <a:r>
            <a:rPr lang="es-ES"/>
            <a:t> Selection.ClearContents </a:t>
          </a:r>
        </a:p>
        <a:p>
          <a:r>
            <a:rPr lang="es-ES"/>
            <a:t>Range("B21:B36").Select</a:t>
          </a:r>
        </a:p>
        <a:p>
          <a:r>
            <a:rPr lang="es-ES"/>
            <a:t>Selection.ClearContents </a:t>
          </a:r>
        </a:p>
        <a:p>
          <a:r>
            <a:rPr lang="es-ES"/>
            <a:t>Range("C21:C36").Select </a:t>
          </a:r>
        </a:p>
        <a:p>
          <a:r>
            <a:rPr lang="es-ES"/>
            <a:t>Selection.ClearContents</a:t>
          </a:r>
        </a:p>
        <a:p>
          <a:r>
            <a:rPr lang="es-ES"/>
            <a:t> Range("A1").Select </a:t>
          </a:r>
        </a:p>
        <a:p>
          <a:r>
            <a:rPr lang="es-ES"/>
            <a:t>Range("E16").Value = Range("E16").Value + 1End Sub</a:t>
          </a:r>
          <a:endParaRPr lang="es-E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esktop\Curso%20de%20Excel\LibroTrimestral1.xlsx" TargetMode="External"/><Relationship Id="rId1" Type="http://schemas.openxmlformats.org/officeDocument/2006/relationships/externalLinkPath" Target="LibroTrimestral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esktop\Curso%20de%20Excel\LibroTrimestral2.xlsx" TargetMode="External"/><Relationship Id="rId1" Type="http://schemas.openxmlformats.org/officeDocument/2006/relationships/externalLinkPath" Target="LibroTrimestral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-libro-trimestral1"/>
    </sheetNames>
    <sheetDataSet>
      <sheetData sheetId="0">
        <row r="2">
          <cell r="B2">
            <v>1300</v>
          </cell>
          <cell r="C2">
            <v>1100</v>
          </cell>
          <cell r="D2">
            <v>1350</v>
          </cell>
          <cell r="E2">
            <v>1250</v>
          </cell>
        </row>
        <row r="3">
          <cell r="B3">
            <v>1350</v>
          </cell>
          <cell r="C3">
            <v>900</v>
          </cell>
          <cell r="D3">
            <v>850</v>
          </cell>
          <cell r="E3">
            <v>850</v>
          </cell>
        </row>
        <row r="4">
          <cell r="B4">
            <v>850</v>
          </cell>
          <cell r="C4">
            <v>650</v>
          </cell>
          <cell r="D4">
            <v>950</v>
          </cell>
          <cell r="E4">
            <v>950</v>
          </cell>
        </row>
        <row r="5">
          <cell r="B5">
            <v>3400</v>
          </cell>
          <cell r="C5">
            <v>2650</v>
          </cell>
          <cell r="D5">
            <v>3150</v>
          </cell>
          <cell r="E5">
            <v>3290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-libro-trimestral2"/>
    </sheetNames>
    <sheetDataSet>
      <sheetData sheetId="0">
        <row r="2">
          <cell r="B2">
            <v>1700</v>
          </cell>
          <cell r="C2">
            <v>1500</v>
          </cell>
          <cell r="D2">
            <v>1100</v>
          </cell>
          <cell r="E2">
            <v>1000</v>
          </cell>
        </row>
        <row r="3">
          <cell r="B3">
            <v>1150</v>
          </cell>
          <cell r="C3">
            <v>500</v>
          </cell>
          <cell r="D3">
            <v>860</v>
          </cell>
          <cell r="E3">
            <v>500</v>
          </cell>
        </row>
        <row r="4">
          <cell r="B4">
            <v>800</v>
          </cell>
          <cell r="C4">
            <v>250</v>
          </cell>
          <cell r="D4">
            <v>700</v>
          </cell>
          <cell r="E4">
            <v>150</v>
          </cell>
        </row>
        <row r="5">
          <cell r="B5">
            <v>3600</v>
          </cell>
          <cell r="C5">
            <v>2650</v>
          </cell>
          <cell r="D5">
            <v>3000</v>
          </cell>
          <cell r="E5">
            <v>3000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166.749924074073" createdVersion="8" refreshedVersion="8" minRefreshableVersion="3" recordCount="38" xr:uid="{4FA64AF1-E45D-4FA9-A6EF-81DB0C3F0899}">
  <cacheSource type="worksheet">
    <worksheetSource name="Tabla3"/>
  </cacheSource>
  <cacheFields count="8">
    <cacheField name="SECCIÓN" numFmtId="0">
      <sharedItems count="5">
        <s v="CERÁMICA"/>
        <s v="CONFECCIÓN"/>
        <s v="DEPORTE"/>
        <s v="FERRETERÍA"/>
        <s v="JUGUETERÍA"/>
      </sharedItems>
    </cacheField>
    <cacheField name="NOMBRE ARTÍCULO" numFmtId="0">
      <sharedItems count="37">
        <s v="Tubos"/>
        <s v="Plato Decorativo"/>
        <s v="Juego de te"/>
        <s v="Cenicero"/>
        <s v="Maceta"/>
        <s v="Jarra china"/>
        <s v="Tarje Caballero"/>
        <s v="Pantalón Señora"/>
        <s v="Camisa Caballero"/>
        <s v="Blusa Sra."/>
        <s v="Cazadora piel"/>
        <s v="Abrigo Caballero"/>
        <s v="Abrigo Sra"/>
        <s v="Cinturón de piel"/>
        <s v="Raqueta Tenis"/>
        <s v="Chándal"/>
        <s v="Tren Eléctrico"/>
        <s v="Pistola Olímpica"/>
        <s v="Monopatín"/>
        <s v="Balón baloncesto"/>
        <s v="Balón Fútbol"/>
        <s v="Sudadera"/>
        <s v="Bicicleta de montaña"/>
        <s v="Destornillador"/>
        <s v="Serrucho"/>
        <s v="Llave Inglesa"/>
        <s v="Alicates"/>
        <s v="Martillo"/>
        <s v="Lima Grande"/>
        <s v="Juego de brocas"/>
        <s v="Coche Teledirigido"/>
        <s v="Correpasillos"/>
        <s v="Consola Video"/>
        <s v="Muñeca Andadora"/>
        <s v="Fuerte de soldados"/>
        <s v="Pistola con sonidos"/>
        <s v="Pie de lámpara"/>
      </sharedItems>
    </cacheField>
    <cacheField name="FECHA" numFmtId="14">
      <sharedItems containsSemiMixedTypes="0" containsNonDate="0" containsDate="1" containsString="0" minDate="2018-05-12T00:00:00" maxDate="2019-01-30T00:00:00" count="37">
        <d v="2019-01-27T00:00:00"/>
        <d v="2018-12-24T00:00:00"/>
        <d v="2019-01-15T00:00:00"/>
        <d v="2018-05-12T00:00:00"/>
        <d v="2019-01-05T00:00:00"/>
        <d v="2018-11-23T00:00:00"/>
        <d v="2018-10-23T00:00:00"/>
        <d v="2018-09-10T00:00:00"/>
        <d v="2019-01-07T00:00:00"/>
        <d v="2018-12-20T00:00:00"/>
        <d v="2018-09-09T00:00:00"/>
        <d v="2019-01-14T00:00:00"/>
        <d v="2019-01-29T00:00:00"/>
        <d v="2019-01-03T00:00:00"/>
        <d v="2018-09-14T00:00:00"/>
        <d v="2018-08-16T00:00:00"/>
        <d v="2018-07-03T00:00:00"/>
        <d v="2019-01-04T00:00:00"/>
        <d v="2019-01-21T00:00:00"/>
        <d v="2019-01-16T00:00:00"/>
        <d v="2018-12-08T00:00:00"/>
        <d v="2018-12-12T00:00:00"/>
        <d v="2018-11-07T00:00:00"/>
        <d v="2018-10-05T00:00:00"/>
        <d v="2018-10-28T00:00:00"/>
        <d v="2019-01-26T00:00:00"/>
        <d v="2018-10-17T00:00:00"/>
        <d v="2019-01-18T00:00:00"/>
        <d v="2018-11-19T00:00:00"/>
        <d v="2018-11-06T00:00:00"/>
        <d v="2018-12-07T00:00:00"/>
        <d v="2018-12-14T00:00:00"/>
        <d v="2019-01-19T00:00:00"/>
        <d v="2018-10-14T00:00:00"/>
        <d v="2018-10-09T00:00:00"/>
        <d v="2018-08-05T00:00:00"/>
        <d v="2018-06-06T00:00:00"/>
      </sharedItems>
      <fieldGroup par="7"/>
    </cacheField>
    <cacheField name="PAÍS DE ORIGEN" numFmtId="0">
      <sharedItems count="10">
        <s v="China"/>
        <s v="Japón"/>
        <s v="España"/>
        <s v="Italia"/>
        <s v="Marruecos"/>
        <s v="Usa"/>
        <s v="Suecia"/>
        <s v="Francia"/>
        <s v="Taiwán"/>
        <s v="Turquía"/>
      </sharedItems>
    </cacheField>
    <cacheField name="PRECIO " numFmtId="166">
      <sharedItems containsSemiMixedTypes="0" containsString="0" containsNumber="1" minValue="3.6060726263026939" maxValue="1254.4805452381811"/>
    </cacheField>
    <cacheField name="Meses (FECHA)" numFmtId="0" databaseField="0">
      <fieldGroup base="2">
        <rangePr groupBy="months" startDate="2018-05-12T00:00:00" endDate="2019-01-30T00:00:00"/>
        <groupItems count="14">
          <s v="&lt;12/05/2018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0/01/2019"/>
        </groupItems>
      </fieldGroup>
    </cacheField>
    <cacheField name="Trimestres (FECHA)" numFmtId="0" databaseField="0">
      <fieldGroup base="2">
        <rangePr groupBy="quarters" startDate="2018-05-12T00:00:00" endDate="2019-01-30T00:00:00"/>
        <groupItems count="6">
          <s v="&lt;12/05/2018"/>
          <s v="Trim.1"/>
          <s v="Trim.2"/>
          <s v="Trim.3"/>
          <s v="Trim.4"/>
          <s v="&gt;30/01/2019"/>
        </groupItems>
      </fieldGroup>
    </cacheField>
    <cacheField name="Años (FECHA)" numFmtId="0" databaseField="0">
      <fieldGroup base="2">
        <rangePr groupBy="years" startDate="2018-05-12T00:00:00" endDate="2019-01-30T00:00:00"/>
        <groupItems count="4">
          <s v="&lt;12/05/2018"/>
          <s v="2018"/>
          <s v="2019"/>
          <s v="&gt;30/01/2019"/>
        </groupItems>
      </fieldGroup>
    </cacheField>
  </cacheFields>
  <extLst>
    <ext xmlns:x14="http://schemas.microsoft.com/office/spreadsheetml/2009/9/main" uri="{725AE2AE-9491-48be-B2B4-4EB974FC3084}">
      <x14:pivotCacheDefinition pivotCacheId="20908670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uario" refreshedDate="45169.72128391204" backgroundQuery="1" createdVersion="8" refreshedVersion="8" minRefreshableVersion="3" recordCount="0" supportSubquery="1" supportAdvancedDrill="1" xr:uid="{DE689711-96E1-4ABE-9811-AEDBBAD1A4DC}">
  <cacheSource type="external" connectionId="1"/>
  <cacheFields count="3">
    <cacheField name="[Measures].[Suma de PRECIO]" caption="Suma de PRECIO" numFmtId="0" hierarchy="10" level="32767"/>
    <cacheField name="[Tabla5].[NOMBRE ARTÍCULO].[NOMBRE ARTÍCULO]" caption="NOMBRE ARTÍCULO" numFmtId="0" hierarchy="1" level="1">
      <sharedItems count="37">
        <s v="Abrigo Caballero"/>
        <s v="Abrigo Sra"/>
        <s v="Alicates"/>
        <s v="Balón baloncesto"/>
        <s v="Balón Fútbol"/>
        <s v="Bicicleta de montaña"/>
        <s v="Blusa Sra."/>
        <s v="Camisa Caballero"/>
        <s v="Cazadora piel"/>
        <s v="Cenicero"/>
        <s v="Chándal"/>
        <s v="Cinturón de piel"/>
        <s v="Coche Teledirigido"/>
        <s v="Consola Video"/>
        <s v="Correpasillos"/>
        <s v="Destornillador"/>
        <s v="Fuerte de soldados"/>
        <s v="Jarra china"/>
        <s v="Juego de brocas"/>
        <s v="Juego de te"/>
        <s v="Lima Grande"/>
        <s v="Llave Inglesa"/>
        <s v="Maceta"/>
        <s v="Martillo"/>
        <s v="Monopatín"/>
        <s v="Muñeca Andadora"/>
        <s v="Pantalón Señora"/>
        <s v="Pie de lámpara"/>
        <s v="Pistola con sonidos"/>
        <s v="Pistola Olímpica"/>
        <s v="Plato Decorativo"/>
        <s v="Raqueta Tenis"/>
        <s v="Serrucho"/>
        <s v="Sudadera"/>
        <s v="Tarje Caballero"/>
        <s v="Tren Eléctrico"/>
        <s v="Tubos"/>
      </sharedItems>
    </cacheField>
    <cacheField name="[Tabla6].[DTO].[DTO]" caption="DTO" numFmtId="0" hierarchy="6" level="1">
      <sharedItems containsSemiMixedTypes="0" containsString="0" containsNumber="1" minValue="0.05" maxValue="0.2" count="3">
        <n v="0.05"/>
        <n v="0.15"/>
        <n v="0.2"/>
      </sharedItems>
    </cacheField>
  </cacheFields>
  <cacheHierarchies count="11">
    <cacheHierarchy uniqueName="[Tabla5].[SECCIÓN]" caption="SECCIÓN" attribute="1" defaultMemberUniqueName="[Tabla5].[SECCIÓN].[All]" allUniqueName="[Tabla5].[SECCIÓN].[All]" dimensionUniqueName="[Tabla5]" displayFolder="" count="0" memberValueDatatype="130" unbalanced="0"/>
    <cacheHierarchy uniqueName="[Tabla5].[NOMBRE ARTÍCULO]" caption="NOMBRE ARTÍCULO" attribute="1" defaultMemberUniqueName="[Tabla5].[NOMBRE ARTÍCULO].[All]" allUniqueName="[Tabla5].[NOMBRE ARTÍCULO].[All]" dimensionUniqueName="[Tabla5]" displayFolder="" count="2" memberValueDatatype="130" unbalanced="0">
      <fieldsUsage count="2">
        <fieldUsage x="-1"/>
        <fieldUsage x="1"/>
      </fieldsUsage>
    </cacheHierarchy>
    <cacheHierarchy uniqueName="[Tabla5].[FECHA]" caption="FECHA" attribute="1" time="1" defaultMemberUniqueName="[Tabla5].[FECHA].[All]" allUniqueName="[Tabla5].[FECHA].[All]" dimensionUniqueName="[Tabla5]" displayFolder="" count="0" memberValueDatatype="7" unbalanced="0"/>
    <cacheHierarchy uniqueName="[Tabla5].[PAÍS DE ORIGEN]" caption="PAÍS DE ORIGEN" attribute="1" defaultMemberUniqueName="[Tabla5].[PAÍS DE ORIGEN].[All]" allUniqueName="[Tabla5].[PAÍS DE ORIGEN].[All]" dimensionUniqueName="[Tabla5]" displayFolder="" count="0" memberValueDatatype="130" unbalanced="0"/>
    <cacheHierarchy uniqueName="[Tabla5].[PRECIO]" caption="PRECIO" attribute="1" defaultMemberUniqueName="[Tabla5].[PRECIO].[All]" allUniqueName="[Tabla5].[PRECIO].[All]" dimensionUniqueName="[Tabla5]" displayFolder="" count="0" memberValueDatatype="5" unbalanced="0"/>
    <cacheHierarchy uniqueName="[Tabla6].[NOMBRE ARTÍCULO]" caption="NOMBRE ARTÍCULO" attribute="1" defaultMemberUniqueName="[Tabla6].[NOMBRE ARTÍCULO].[All]" allUniqueName="[Tabla6].[NOMBRE ARTÍCULO].[All]" dimensionUniqueName="[Tabla6]" displayFolder="" count="0" memberValueDatatype="130" unbalanced="0"/>
    <cacheHierarchy uniqueName="[Tabla6].[DTO]" caption="DTO" attribute="1" defaultMemberUniqueName="[Tabla6].[DTO].[All]" allUniqueName="[Tabla6].[DTO].[All]" dimensionUniqueName="[Tabla6]" displayFolder="" count="2" memberValueDatatype="5" unbalanced="0">
      <fieldsUsage count="2">
        <fieldUsage x="-1"/>
        <fieldUsage x="2"/>
      </fieldsUsage>
    </cacheHierarchy>
    <cacheHierarchy uniqueName="[Measures].[__XL_Count Tabla5]" caption="__XL_Count Tabla5" measure="1" displayFolder="" measureGroup="Tabla5" count="0" hidden="1"/>
    <cacheHierarchy uniqueName="[Measures].[__XL_Count Tabla6]" caption="__XL_Count Tabla6" measure="1" displayFolder="" measureGroup="Tabla6" count="0" hidden="1"/>
    <cacheHierarchy uniqueName="[Measures].[__No measures defined]" caption="__No measures defined" measure="1" displayFolder="" count="0" hidden="1"/>
    <cacheHierarchy uniqueName="[Measures].[Suma de PRECIO]" caption="Suma de PRECIO" measure="1" displayFolder="" measureGroup="Tabla5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measure="1" name="Measures" uniqueName="[Measures]" caption="Measures"/>
    <dimension name="Tabla5" uniqueName="[Tabla5]" caption="Tabla5"/>
    <dimension name="Tabla6" uniqueName="[Tabla6]" caption="Tabla6"/>
  </dimensions>
  <measureGroups count="2">
    <measureGroup name="Tabla5" caption="Tabla5"/>
    <measureGroup name="Tabla6" caption="Tabla6"/>
  </measureGroups>
  <maps count="3">
    <map measureGroup="0" dimension="1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x v="0"/>
    <x v="0"/>
    <x v="0"/>
    <n v="140.35435673674468"/>
  </r>
  <r>
    <x v="0"/>
    <x v="1"/>
    <x v="1"/>
    <x v="0"/>
    <n v="45.07590782878367"/>
  </r>
  <r>
    <x v="0"/>
    <x v="2"/>
    <x v="2"/>
    <x v="0"/>
    <n v="36.06"/>
  </r>
  <r>
    <x v="0"/>
    <x v="3"/>
    <x v="3"/>
    <x v="1"/>
    <n v="16.45571141802796"/>
  </r>
  <r>
    <x v="0"/>
    <x v="4"/>
    <x v="4"/>
    <x v="2"/>
    <n v="24.202757443534914"/>
  </r>
  <r>
    <x v="0"/>
    <x v="5"/>
    <x v="5"/>
    <x v="0"/>
    <n v="106.47530441263088"/>
  </r>
  <r>
    <x v="1"/>
    <x v="6"/>
    <x v="6"/>
    <x v="3"/>
    <n v="237.14735614775282"/>
  </r>
  <r>
    <x v="1"/>
    <x v="7"/>
    <x v="7"/>
    <x v="4"/>
    <n v="145.19250417703412"/>
  </r>
  <r>
    <x v="1"/>
    <x v="8"/>
    <x v="8"/>
    <x v="2"/>
    <n v="55.94220667604246"/>
  </r>
  <r>
    <x v="1"/>
    <x v="9"/>
    <x v="9"/>
    <x v="0"/>
    <n v="84.213816066255575"/>
  </r>
  <r>
    <x v="1"/>
    <x v="10"/>
    <x v="10"/>
    <x v="3"/>
    <n v="435.5775125311024"/>
  </r>
  <r>
    <x v="1"/>
    <x v="11"/>
    <x v="11"/>
    <x v="3"/>
    <n v="203.268303823639"/>
  </r>
  <r>
    <x v="1"/>
    <x v="12"/>
    <x v="12"/>
    <x v="4"/>
    <n v="300.06130323464714"/>
  </r>
  <r>
    <x v="1"/>
    <x v="13"/>
    <x v="13"/>
    <x v="2"/>
    <n v="3.6060726263026939"/>
  </r>
  <r>
    <x v="2"/>
    <x v="14"/>
    <x v="14"/>
    <x v="5"/>
    <n v="77.891168728138183"/>
  </r>
  <r>
    <x v="2"/>
    <x v="15"/>
    <x v="15"/>
    <x v="5"/>
    <n v="193.39367494861347"/>
  </r>
  <r>
    <x v="2"/>
    <x v="16"/>
    <x v="16"/>
    <x v="1"/>
    <n v="1254.4805452381811"/>
  </r>
  <r>
    <x v="2"/>
    <x v="17"/>
    <x v="17"/>
    <x v="6"/>
    <n v="38.945584364069092"/>
  </r>
  <r>
    <x v="2"/>
    <x v="18"/>
    <x v="18"/>
    <x v="4"/>
    <n v="93.036673758609496"/>
  </r>
  <r>
    <x v="2"/>
    <x v="19"/>
    <x v="19"/>
    <x v="1"/>
    <n v="62.727633334535362"/>
  </r>
  <r>
    <x v="2"/>
    <x v="20"/>
    <x v="20"/>
    <x v="2"/>
    <n v="36.595627035928501"/>
  </r>
  <r>
    <x v="2"/>
    <x v="21"/>
    <x v="21"/>
    <x v="5"/>
    <n v="365.98031084346042"/>
  </r>
  <r>
    <x v="2"/>
    <x v="22"/>
    <x v="22"/>
    <x v="5"/>
    <n v="470.41818422223025"/>
  </r>
  <r>
    <x v="3"/>
    <x v="23"/>
    <x v="23"/>
    <x v="2"/>
    <n v="5.5233012392869592"/>
  </r>
  <r>
    <x v="3"/>
    <x v="24"/>
    <x v="24"/>
    <x v="7"/>
    <n v="25.170386931592802"/>
  </r>
  <r>
    <x v="3"/>
    <x v="25"/>
    <x v="2"/>
    <x v="5"/>
    <n v="20.332239491303355"/>
  </r>
  <r>
    <x v="3"/>
    <x v="26"/>
    <x v="25"/>
    <x v="3"/>
    <n v="5.613453054944527"/>
  </r>
  <r>
    <x v="3"/>
    <x v="27"/>
    <x v="26"/>
    <x v="2"/>
    <n v="9.4959912492637599"/>
  </r>
  <r>
    <x v="3"/>
    <x v="23"/>
    <x v="27"/>
    <x v="7"/>
    <n v="7.5487120310603055"/>
  </r>
  <r>
    <x v="3"/>
    <x v="28"/>
    <x v="28"/>
    <x v="2"/>
    <n v="18.390970394143739"/>
  </r>
  <r>
    <x v="3"/>
    <x v="29"/>
    <x v="29"/>
    <x v="8"/>
    <n v="12.579183344752563"/>
  </r>
  <r>
    <x v="4"/>
    <x v="30"/>
    <x v="30"/>
    <x v="4"/>
    <n v="132.87175603716659"/>
  </r>
  <r>
    <x v="4"/>
    <x v="31"/>
    <x v="31"/>
    <x v="1"/>
    <n v="86.113014316108334"/>
  </r>
  <r>
    <x v="4"/>
    <x v="32"/>
    <x v="32"/>
    <x v="5"/>
    <n v="368.78703737093264"/>
  </r>
  <r>
    <x v="4"/>
    <x v="33"/>
    <x v="33"/>
    <x v="2"/>
    <n v="87.549433245585561"/>
  </r>
  <r>
    <x v="4"/>
    <x v="34"/>
    <x v="34"/>
    <x v="1"/>
    <n v="119.75166179846862"/>
  </r>
  <r>
    <x v="4"/>
    <x v="35"/>
    <x v="35"/>
    <x v="2"/>
    <n v="47.708340845984637"/>
  </r>
  <r>
    <x v="4"/>
    <x v="36"/>
    <x v="36"/>
    <x v="9"/>
    <n v="33.1337973146779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08A76D-1AF2-47A7-AB19-D8012FAA4395}" name="TablaDiná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G43" firstHeaderRow="1" firstDataRow="2" firstDataCol="1" rowPageCount="1" colPageCount="1"/>
  <pivotFields count="8">
    <pivotField axis="axisCol" showAll="0">
      <items count="6">
        <item sd="0" x="0"/>
        <item x="1"/>
        <item x="2"/>
        <item x="3"/>
        <item x="4"/>
        <item t="default"/>
      </items>
    </pivotField>
    <pivotField axis="axisRow" showAll="0">
      <items count="38">
        <item x="11"/>
        <item x="12"/>
        <item x="26"/>
        <item x="19"/>
        <item x="20"/>
        <item x="22"/>
        <item x="9"/>
        <item x="8"/>
        <item x="10"/>
        <item x="3"/>
        <item x="15"/>
        <item x="13"/>
        <item x="30"/>
        <item x="32"/>
        <item x="31"/>
        <item x="23"/>
        <item x="34"/>
        <item x="5"/>
        <item x="29"/>
        <item x="2"/>
        <item x="28"/>
        <item x="25"/>
        <item x="4"/>
        <item x="27"/>
        <item x="18"/>
        <item x="33"/>
        <item x="7"/>
        <item x="36"/>
        <item x="35"/>
        <item x="17"/>
        <item x="1"/>
        <item x="14"/>
        <item x="24"/>
        <item x="21"/>
        <item x="6"/>
        <item x="16"/>
        <item x="0"/>
        <item t="default"/>
      </items>
    </pivotField>
    <pivotField numFmtId="14" multipleItemSelectionAllowed="1" showAll="0">
      <items count="38">
        <item x="3"/>
        <item x="36"/>
        <item x="16"/>
        <item x="35"/>
        <item x="15"/>
        <item x="10"/>
        <item x="7"/>
        <item x="14"/>
        <item x="23"/>
        <item x="34"/>
        <item x="33"/>
        <item x="26"/>
        <item x="6"/>
        <item x="24"/>
        <item x="29"/>
        <item x="22"/>
        <item x="28"/>
        <item x="5"/>
        <item x="30"/>
        <item x="20"/>
        <item x="21"/>
        <item x="31"/>
        <item x="9"/>
        <item x="1"/>
        <item x="13"/>
        <item x="17"/>
        <item x="4"/>
        <item x="8"/>
        <item x="11"/>
        <item x="2"/>
        <item x="19"/>
        <item x="27"/>
        <item x="32"/>
        <item x="18"/>
        <item x="25"/>
        <item x="0"/>
        <item x="12"/>
        <item t="default"/>
      </items>
    </pivotField>
    <pivotField axis="axisPage" multipleItemSelectionAllowed="1" showAll="0">
      <items count="11">
        <item x="0"/>
        <item x="2"/>
        <item x="7"/>
        <item x="3"/>
        <item x="1"/>
        <item x="4"/>
        <item x="6"/>
        <item x="8"/>
        <item x="9"/>
        <item x="5"/>
        <item t="default"/>
      </items>
    </pivotField>
    <pivotField dataField="1" numFmtId="166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3" hier="-1"/>
  </pageFields>
  <dataFields count="1">
    <dataField name="Promedio de PRECIO " fld="4" subtotal="average" baseField="1" baseItem="3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1F9174-6508-443A-8956-EFA4AE863C9C}" name="TablaDinámica13" cacheId="3" applyNumberFormats="0" applyBorderFormats="0" applyFontFormats="0" applyPatternFormats="0" applyAlignmentFormats="0" applyWidthHeightFormats="1" dataCaption="Valores" tag="bad6f7ea-481b-41e0-acd9-1d0470b938ab" updatedVersion="8" minRefreshableVersion="3" useAutoFormatting="1" itemPrintTitles="1" createdVersion="8" indent="0" outline="1" outlineData="1" multipleFieldFilters="0">
  <location ref="A3:E42" firstHeaderRow="1" firstDataRow="2" firstDataCol="1"/>
  <pivotFields count="3">
    <pivotField dataField="1" subtotalTop="0" showAll="0" defaultSubtotal="0"/>
    <pivotField axis="axisRow" allDrilled="1" showAll="0" dataSourceSort="1" defaultAttributeDrillState="1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a de PRECIO" fld="0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5]"/>
        <x15:activeTabTopLevelEntity name="[Tabla6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50D170-4E51-43EC-8B26-632FDB91098D}" name="Tabla2" displayName="Tabla2" ref="A1:F39" totalsRowShown="0" headerRowDxfId="41" headerRowBorderDxfId="40" tableBorderDxfId="39" totalsRowBorderDxfId="38">
  <tableColumns count="6">
    <tableColumn id="1" xr3:uid="{2930FDBF-B83B-4A4C-A05B-8CC128FFD14D}" name="SECCIÓN" dataDxfId="37"/>
    <tableColumn id="2" xr3:uid="{7C9F6BAC-D828-4162-A2CE-60EE05FDCB2A}" name="NOMBRE ARTÍCULO" dataDxfId="36"/>
    <tableColumn id="3" xr3:uid="{8FB47A68-D3DF-4600-8623-9E2DE8F012ED}" name="FECHA" dataDxfId="35"/>
    <tableColumn id="4" xr3:uid="{031130CE-24C7-4C58-81D1-8236CCC4B1F5}" name="PAÍS DE ORIGEN" dataDxfId="34"/>
    <tableColumn id="5" xr3:uid="{A333B9AC-FAEF-44F0-90D2-CA7BE3DB7262}" name="PRECIO " dataDxfId="33" dataCellStyle="Euro"/>
    <tableColumn id="6" xr3:uid="{47E3F5CA-B420-4E48-BCC3-8F746DBD51C5}" name="PRECIO CON IVA" dataDxfId="32">
      <calculatedColumnFormula>E2+(E2*H$1)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6D5A9-0BC5-47D9-B84E-2C8F2CB623F5}" name="Tabla3" displayName="Tabla3" ref="A98:E137" totalsRowShown="0" headerRowDxfId="31" headerRowBorderDxfId="30" tableBorderDxfId="29" totalsRowBorderDxfId="28">
  <autoFilter ref="A98:E137" xr:uid="{8CD6D5A9-0BC5-47D9-B84E-2C8F2CB623F5}"/>
  <tableColumns count="5">
    <tableColumn id="1" xr3:uid="{D8201F90-2E70-42C5-8174-BDD7D501D15B}" name="SECCIÓN" dataDxfId="27" totalsRowDxfId="26"/>
    <tableColumn id="2" xr3:uid="{72D0B567-1017-4ECF-BDA1-F4BAF380DCDB}" name="NOMBRE ARTÍCULO" dataDxfId="25" totalsRowDxfId="24"/>
    <tableColumn id="3" xr3:uid="{B5770AC9-8F85-4F5D-B2F9-D209773A7EFA}" name="FECHA" dataDxfId="23" totalsRowDxfId="22"/>
    <tableColumn id="4" xr3:uid="{45590911-2D4C-41F9-852B-F198CAA0977B}" name="PAÍS DE ORIGEN" totalsRowDxfId="21"/>
    <tableColumn id="5" xr3:uid="{B9E60682-2789-4568-B9A5-C2FB64171368}" name="PRECIO " dataDxfId="20" totalsRowDxfId="19" dataCellStyle="Euro" totalsRowCellStyle="Eur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21473-DF60-4BF4-A3DB-750E69A33A4E}" name="Tabla1" displayName="Tabla1" ref="A1:G44" totalsRowShown="0" headerRowDxfId="18" headerRowBorderDxfId="17">
  <autoFilter ref="A1:G44" xr:uid="{9D721473-DF60-4BF4-A3DB-750E69A33A4E}"/>
  <tableColumns count="7">
    <tableColumn id="1" xr3:uid="{0569B9CC-4696-40B6-92AE-8C1A918D2ABF}" name="Columna1"/>
    <tableColumn id="2" xr3:uid="{E762F564-7095-43BC-86E7-6436AD23C648}" name="Columna2"/>
    <tableColumn id="3" xr3:uid="{8A99CFB3-D9FA-4D25-9BFE-B9E657AEA685}" name="Columna3"/>
    <tableColumn id="4" xr3:uid="{20388B5C-B61A-48CB-8DF6-EF1D799B10E7}" name="Columna4" dataDxfId="16"/>
    <tableColumn id="5" xr3:uid="{3A8B97D5-3FE2-4625-81B0-27617DDF89BD}" name="Columna5" dataDxfId="15"/>
    <tableColumn id="6" xr3:uid="{037CE7E8-D4FC-4DB2-B777-E4ACAA2D2F3A}" name="Columna6"/>
    <tableColumn id="7" xr3:uid="{547394A1-D1D3-4A90-B66C-C62E7D486E2D}" name="Columna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25D67D-14C4-4C39-983E-CF4690F62623}" name="Tabla5" displayName="Tabla5" ref="A1:E39" totalsRowShown="0" headerRowDxfId="14" headerRowBorderDxfId="13" tableBorderDxfId="12" totalsRowBorderDxfId="11">
  <autoFilter ref="A1:E39" xr:uid="{1B25D67D-14C4-4C39-983E-CF4690F62623}"/>
  <tableColumns count="5">
    <tableColumn id="1" xr3:uid="{CA42B5A8-6FE4-4557-B54D-03E7749F94E6}" name="SECCIÓN" dataDxfId="10"/>
    <tableColumn id="2" xr3:uid="{88825D1E-B95A-4D55-BB13-B68E6AC52984}" name="NOMBRE ARTÍCULO" dataDxfId="9"/>
    <tableColumn id="3" xr3:uid="{0EA95AC8-7132-422A-8702-6AE36CEC2167}" name="FECHA" dataDxfId="8"/>
    <tableColumn id="4" xr3:uid="{698FED24-FD0A-430E-9AE8-7FACBF50B282}" name="PAÍS DE ORIGEN"/>
    <tableColumn id="5" xr3:uid="{89E6652A-A191-4684-88DE-6D0ABD23F4B1}" name="PRECIO " dataDxfId="7" dataCellStyle="Eur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AE86BC-0239-4F53-8F42-989486455D77}" name="Tabla6" displayName="Tabla6" ref="I1:J38" totalsRowShown="0" headerRowDxfId="6" headerRowBorderDxfId="5" tableBorderDxfId="4" totalsRowBorderDxfId="3">
  <autoFilter ref="I1:J38" xr:uid="{F2AE86BC-0239-4F53-8F42-989486455D77}"/>
  <tableColumns count="2">
    <tableColumn id="1" xr3:uid="{EDF41FEE-E038-4BD8-8564-31A970603186}" name="NOMBRE ARTÍCULO" dataDxfId="2"/>
    <tableColumn id="2" xr3:uid="{78B19324-2827-4350-A732-E5377E3A1AB4}" name="DTO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8A9250-414A-4C66-B7B4-71DFBF034157}" name="TB_CURSOS" displayName="TB_CURSOS" ref="A1:C7" totalsRowShown="0">
  <autoFilter ref="A1:C7" xr:uid="{EC8A9250-414A-4C66-B7B4-71DFBF034157}"/>
  <tableColumns count="3">
    <tableColumn id="1" xr3:uid="{CB46B6F6-26D4-4E06-9344-D26C67662B6C}" name="Producto"/>
    <tableColumn id="2" xr3:uid="{1666C320-4058-42CD-9555-5FE96E11B240}" name="Cód"/>
    <tableColumn id="3" xr3:uid="{7E746CC6-EB2B-4283-AA74-CD0F518FE169}" name="Precio 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96C29C-D914-4D00-BB28-92EF76C723D3}" name="Tabla7" displayName="Tabla7" ref="A1:F5" totalsRowShown="0">
  <autoFilter ref="A1:F5" xr:uid="{9196C29C-D914-4D00-BB28-92EF76C723D3}"/>
  <tableColumns count="6">
    <tableColumn id="1" xr3:uid="{1B4AF0C5-D9A2-4573-923E-4ED65094D6DE}" name="NOMBRE"/>
    <tableColumn id="2" xr3:uid="{51A564F6-FD85-4684-97B1-B97D62B4E9C6}" name="CIF"/>
    <tableColumn id="3" xr3:uid="{DF4FA2AC-21AB-4AA2-8BFC-161F1A16A980}" name="DIRECCIÓN"/>
    <tableColumn id="4" xr3:uid="{A42AFEFF-D58F-4601-A091-B616BD3057D1}" name="LOCALIDAD"/>
    <tableColumn id="5" xr3:uid="{5A1B38A5-D22D-4AE7-AC0B-0C9157B08389}" name="C.POSTAL"/>
    <tableColumn id="6" xr3:uid="{C96FDBF1-5CF1-4994-9997-4726D39A13AC}" name="TF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externalLinkPath" Target="LibroTrimestral2.xlsx" TargetMode="External"/><Relationship Id="rId1" Type="http://schemas.openxmlformats.org/officeDocument/2006/relationships/externalLinkPath" Target="LibroTrimestral1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9713-E533-4D47-BFFA-310E8E14AF4B}">
  <sheetPr codeName="Hoja1"/>
  <dimension ref="A1:E13"/>
  <sheetViews>
    <sheetView workbookViewId="0">
      <selection sqref="A1:E1"/>
    </sheetView>
  </sheetViews>
  <sheetFormatPr baseColWidth="10" defaultRowHeight="15" x14ac:dyDescent="0.25"/>
  <cols>
    <col min="3" max="3" width="12.28515625" bestFit="1" customWidth="1"/>
  </cols>
  <sheetData>
    <row r="1" spans="1:5" ht="21.75" thickBot="1" x14ac:dyDescent="0.4">
      <c r="A1" s="127" t="s">
        <v>3</v>
      </c>
      <c r="B1" s="127"/>
      <c r="C1" s="127"/>
      <c r="D1" s="127"/>
      <c r="E1" s="127"/>
    </row>
    <row r="2" spans="1:5" ht="15.75" thickTop="1" x14ac:dyDescent="0.25">
      <c r="B2" s="1" t="s">
        <v>0</v>
      </c>
      <c r="C2" s="1" t="s">
        <v>1</v>
      </c>
      <c r="D2" s="1" t="s">
        <v>2</v>
      </c>
    </row>
    <row r="3" spans="1:5" x14ac:dyDescent="0.25">
      <c r="A3" t="s">
        <v>4</v>
      </c>
      <c r="B3">
        <v>3</v>
      </c>
      <c r="C3">
        <v>1100</v>
      </c>
      <c r="D3" s="2"/>
    </row>
    <row r="4" spans="1:5" x14ac:dyDescent="0.25">
      <c r="A4" t="s">
        <v>5</v>
      </c>
      <c r="B4">
        <v>7</v>
      </c>
      <c r="C4">
        <v>1250</v>
      </c>
      <c r="D4" s="2"/>
    </row>
    <row r="5" spans="1:5" x14ac:dyDescent="0.25">
      <c r="A5" t="s">
        <v>6</v>
      </c>
      <c r="B5">
        <v>5</v>
      </c>
      <c r="C5">
        <v>875</v>
      </c>
      <c r="D5" s="2"/>
    </row>
    <row r="6" spans="1:5" x14ac:dyDescent="0.25">
      <c r="A6" t="s">
        <v>7</v>
      </c>
      <c r="B6">
        <v>9</v>
      </c>
      <c r="C6">
        <v>995</v>
      </c>
      <c r="D6" s="2"/>
    </row>
    <row r="7" spans="1:5" x14ac:dyDescent="0.25">
      <c r="A7" t="s">
        <v>8</v>
      </c>
      <c r="B7">
        <v>2</v>
      </c>
      <c r="C7">
        <v>775</v>
      </c>
      <c r="D7" s="2"/>
    </row>
    <row r="8" spans="1:5" x14ac:dyDescent="0.25">
      <c r="A8" t="s">
        <v>9</v>
      </c>
      <c r="B8">
        <v>4</v>
      </c>
      <c r="C8">
        <v>1785</v>
      </c>
      <c r="D8" s="2"/>
    </row>
    <row r="9" spans="1:5" x14ac:dyDescent="0.25">
      <c r="A9" t="s">
        <v>10</v>
      </c>
      <c r="B9">
        <v>3</v>
      </c>
      <c r="C9">
        <v>1925</v>
      </c>
      <c r="D9" s="2"/>
    </row>
    <row r="10" spans="1:5" x14ac:dyDescent="0.25">
      <c r="A10" t="s">
        <v>11</v>
      </c>
      <c r="B10">
        <v>6</v>
      </c>
      <c r="C10">
        <v>2145</v>
      </c>
      <c r="D10" s="2"/>
    </row>
    <row r="11" spans="1:5" x14ac:dyDescent="0.25">
      <c r="A11" t="s">
        <v>12</v>
      </c>
      <c r="B11">
        <v>10</v>
      </c>
      <c r="C11">
        <v>2225</v>
      </c>
      <c r="D11" s="2"/>
    </row>
    <row r="12" spans="1:5" x14ac:dyDescent="0.25">
      <c r="A12" t="s">
        <v>13</v>
      </c>
      <c r="B12">
        <v>8</v>
      </c>
      <c r="C12">
        <v>1900</v>
      </c>
      <c r="D12" s="2"/>
    </row>
    <row r="13" spans="1:5" x14ac:dyDescent="0.25">
      <c r="A13" t="s">
        <v>14</v>
      </c>
      <c r="B13">
        <v>7</v>
      </c>
      <c r="C13">
        <v>999</v>
      </c>
      <c r="D13" s="2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6F7C-E869-4F96-8B79-05871DED6D37}">
  <sheetPr codeName="Hoja2"/>
  <dimension ref="A1:J13"/>
  <sheetViews>
    <sheetView workbookViewId="0">
      <selection sqref="A1:E1"/>
    </sheetView>
  </sheetViews>
  <sheetFormatPr baseColWidth="10" defaultRowHeight="15" x14ac:dyDescent="0.25"/>
  <cols>
    <col min="3" max="3" width="13.42578125" bestFit="1" customWidth="1"/>
    <col min="6" max="6" width="12.85546875" bestFit="1" customWidth="1"/>
  </cols>
  <sheetData>
    <row r="1" spans="1:10" ht="21.75" thickBot="1" x14ac:dyDescent="0.4">
      <c r="A1" s="127" t="s">
        <v>3</v>
      </c>
      <c r="B1" s="127"/>
      <c r="C1" s="127"/>
      <c r="D1" s="127"/>
      <c r="E1" s="127"/>
      <c r="I1" t="s">
        <v>15</v>
      </c>
      <c r="J1" s="3">
        <v>0.21</v>
      </c>
    </row>
    <row r="2" spans="1:10" ht="15.75" thickTop="1" x14ac:dyDescent="0.25">
      <c r="B2" s="1" t="s">
        <v>0</v>
      </c>
      <c r="C2" s="1" t="s">
        <v>1</v>
      </c>
      <c r="D2" s="1" t="s">
        <v>2</v>
      </c>
      <c r="E2" s="1" t="s">
        <v>15</v>
      </c>
      <c r="F2" s="1" t="s">
        <v>16</v>
      </c>
    </row>
    <row r="3" spans="1:10" x14ac:dyDescent="0.25">
      <c r="A3" t="s">
        <v>4</v>
      </c>
      <c r="B3">
        <v>3</v>
      </c>
      <c r="C3">
        <v>1100</v>
      </c>
      <c r="D3" s="2">
        <f t="shared" ref="D3:D13" si="0">B3*C3</f>
        <v>3300</v>
      </c>
      <c r="E3" s="2">
        <f>D3*J$1</f>
        <v>693</v>
      </c>
      <c r="F3" s="2">
        <f t="shared" ref="F3:F13" si="1">D3+E3</f>
        <v>3993</v>
      </c>
    </row>
    <row r="4" spans="1:10" x14ac:dyDescent="0.25">
      <c r="A4" t="s">
        <v>5</v>
      </c>
      <c r="B4">
        <v>7</v>
      </c>
      <c r="C4">
        <v>1250</v>
      </c>
      <c r="D4" s="2">
        <f t="shared" si="0"/>
        <v>8750</v>
      </c>
      <c r="E4" s="2">
        <f t="shared" ref="E4:E13" si="2">D4*J$1</f>
        <v>1837.5</v>
      </c>
      <c r="F4" s="2">
        <f t="shared" si="1"/>
        <v>10587.5</v>
      </c>
    </row>
    <row r="5" spans="1:10" x14ac:dyDescent="0.25">
      <c r="A5" t="s">
        <v>6</v>
      </c>
      <c r="B5">
        <v>5</v>
      </c>
      <c r="C5">
        <v>875</v>
      </c>
      <c r="D5" s="2">
        <f t="shared" si="0"/>
        <v>4375</v>
      </c>
      <c r="E5" s="2">
        <f t="shared" si="2"/>
        <v>918.75</v>
      </c>
      <c r="F5" s="2">
        <f t="shared" si="1"/>
        <v>5293.75</v>
      </c>
    </row>
    <row r="6" spans="1:10" x14ac:dyDescent="0.25">
      <c r="A6" t="s">
        <v>7</v>
      </c>
      <c r="B6">
        <v>9</v>
      </c>
      <c r="C6">
        <v>995</v>
      </c>
      <c r="D6" s="2">
        <f t="shared" si="0"/>
        <v>8955</v>
      </c>
      <c r="E6" s="2">
        <f t="shared" si="2"/>
        <v>1880.55</v>
      </c>
      <c r="F6" s="2">
        <f t="shared" si="1"/>
        <v>10835.55</v>
      </c>
    </row>
    <row r="7" spans="1:10" x14ac:dyDescent="0.25">
      <c r="A7" t="s">
        <v>8</v>
      </c>
      <c r="B7">
        <v>2</v>
      </c>
      <c r="C7">
        <v>775</v>
      </c>
      <c r="D7" s="2">
        <f t="shared" si="0"/>
        <v>1550</v>
      </c>
      <c r="E7" s="2">
        <f t="shared" si="2"/>
        <v>325.5</v>
      </c>
      <c r="F7" s="2">
        <f t="shared" si="1"/>
        <v>1875.5</v>
      </c>
    </row>
    <row r="8" spans="1:10" x14ac:dyDescent="0.25">
      <c r="A8" t="s">
        <v>9</v>
      </c>
      <c r="B8">
        <v>4</v>
      </c>
      <c r="C8">
        <v>1785</v>
      </c>
      <c r="D8" s="2">
        <f t="shared" si="0"/>
        <v>7140</v>
      </c>
      <c r="E8" s="2">
        <f t="shared" si="2"/>
        <v>1499.3999999999999</v>
      </c>
      <c r="F8" s="2">
        <f t="shared" si="1"/>
        <v>8639.4</v>
      </c>
    </row>
    <row r="9" spans="1:10" x14ac:dyDescent="0.25">
      <c r="A9" t="s">
        <v>10</v>
      </c>
      <c r="B9">
        <v>3</v>
      </c>
      <c r="C9">
        <v>1925</v>
      </c>
      <c r="D9" s="2">
        <f t="shared" si="0"/>
        <v>5775</v>
      </c>
      <c r="E9" s="2">
        <f t="shared" si="2"/>
        <v>1212.75</v>
      </c>
      <c r="F9" s="2">
        <f t="shared" si="1"/>
        <v>6987.75</v>
      </c>
    </row>
    <row r="10" spans="1:10" x14ac:dyDescent="0.25">
      <c r="A10" t="s">
        <v>11</v>
      </c>
      <c r="B10">
        <v>6</v>
      </c>
      <c r="C10">
        <v>2145</v>
      </c>
      <c r="D10" s="2">
        <f t="shared" si="0"/>
        <v>12870</v>
      </c>
      <c r="E10" s="2">
        <f t="shared" si="2"/>
        <v>2702.7</v>
      </c>
      <c r="F10" s="2">
        <f t="shared" si="1"/>
        <v>15572.7</v>
      </c>
    </row>
    <row r="11" spans="1:10" x14ac:dyDescent="0.25">
      <c r="A11" t="s">
        <v>12</v>
      </c>
      <c r="B11">
        <v>10</v>
      </c>
      <c r="C11">
        <v>2225</v>
      </c>
      <c r="D11" s="2">
        <f t="shared" si="0"/>
        <v>22250</v>
      </c>
      <c r="E11" s="2">
        <f t="shared" si="2"/>
        <v>4672.5</v>
      </c>
      <c r="F11" s="2">
        <f t="shared" si="1"/>
        <v>26922.5</v>
      </c>
    </row>
    <row r="12" spans="1:10" x14ac:dyDescent="0.25">
      <c r="A12" t="s">
        <v>13</v>
      </c>
      <c r="B12">
        <v>8</v>
      </c>
      <c r="C12">
        <v>1900</v>
      </c>
      <c r="D12" s="2">
        <f t="shared" si="0"/>
        <v>15200</v>
      </c>
      <c r="E12" s="2">
        <f t="shared" si="2"/>
        <v>3192</v>
      </c>
      <c r="F12" s="2">
        <f t="shared" si="1"/>
        <v>18392</v>
      </c>
    </row>
    <row r="13" spans="1:10" x14ac:dyDescent="0.25">
      <c r="A13" t="s">
        <v>14</v>
      </c>
      <c r="B13">
        <v>7</v>
      </c>
      <c r="C13">
        <v>999</v>
      </c>
      <c r="D13" s="2">
        <f t="shared" si="0"/>
        <v>6993</v>
      </c>
      <c r="E13" s="2">
        <f t="shared" si="2"/>
        <v>1468.53</v>
      </c>
      <c r="F13" s="2">
        <f t="shared" si="1"/>
        <v>8461.5300000000007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C542-6D86-4BA7-9238-C726E42AEE4A}">
  <sheetPr codeName="Hoja3"/>
  <dimension ref="A1:L17"/>
  <sheetViews>
    <sheetView workbookViewId="0">
      <selection activeCell="B5" sqref="B5"/>
    </sheetView>
  </sheetViews>
  <sheetFormatPr baseColWidth="10" defaultRowHeight="15" x14ac:dyDescent="0.25"/>
  <sheetData>
    <row r="1" spans="1:12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 s="1" t="s">
        <v>0</v>
      </c>
      <c r="B2">
        <v>3</v>
      </c>
      <c r="C2">
        <v>7</v>
      </c>
      <c r="D2">
        <v>5</v>
      </c>
      <c r="E2">
        <v>9</v>
      </c>
      <c r="F2">
        <v>2</v>
      </c>
      <c r="G2">
        <v>4</v>
      </c>
      <c r="H2">
        <v>3</v>
      </c>
      <c r="I2">
        <v>6</v>
      </c>
      <c r="J2">
        <v>10</v>
      </c>
      <c r="K2">
        <v>8</v>
      </c>
      <c r="L2">
        <v>7</v>
      </c>
    </row>
    <row r="3" spans="1:12" x14ac:dyDescent="0.25">
      <c r="A3" s="1" t="s">
        <v>1</v>
      </c>
      <c r="B3">
        <v>1100</v>
      </c>
      <c r="C3">
        <v>1250</v>
      </c>
      <c r="D3">
        <v>875</v>
      </c>
      <c r="E3">
        <v>995</v>
      </c>
      <c r="F3">
        <v>775</v>
      </c>
      <c r="G3">
        <v>1785</v>
      </c>
      <c r="H3">
        <v>1925</v>
      </c>
      <c r="I3">
        <v>2145</v>
      </c>
      <c r="J3">
        <v>2225</v>
      </c>
      <c r="K3">
        <v>1900</v>
      </c>
      <c r="L3">
        <v>999</v>
      </c>
    </row>
    <row r="4" spans="1:12" x14ac:dyDescent="0.25">
      <c r="A4" s="1" t="s">
        <v>2</v>
      </c>
      <c r="B4" s="2">
        <f t="shared" ref="B4:L4" si="0">B2*B3</f>
        <v>3300</v>
      </c>
      <c r="C4" s="2">
        <f t="shared" si="0"/>
        <v>8750</v>
      </c>
      <c r="D4" s="2">
        <f t="shared" si="0"/>
        <v>4375</v>
      </c>
      <c r="E4" s="2">
        <f t="shared" si="0"/>
        <v>8955</v>
      </c>
      <c r="F4" s="2">
        <f t="shared" si="0"/>
        <v>1550</v>
      </c>
      <c r="G4" s="2">
        <f t="shared" si="0"/>
        <v>7140</v>
      </c>
      <c r="H4" s="2">
        <f t="shared" si="0"/>
        <v>5775</v>
      </c>
      <c r="I4" s="2">
        <f t="shared" si="0"/>
        <v>12870</v>
      </c>
      <c r="J4" s="2">
        <f t="shared" si="0"/>
        <v>22250</v>
      </c>
      <c r="K4" s="2">
        <f t="shared" si="0"/>
        <v>15200</v>
      </c>
      <c r="L4" s="2">
        <f t="shared" si="0"/>
        <v>6993</v>
      </c>
    </row>
    <row r="5" spans="1:12" x14ac:dyDescent="0.25">
      <c r="A5" s="1" t="s">
        <v>18</v>
      </c>
      <c r="B5" s="2">
        <f>B4*$B10</f>
        <v>693</v>
      </c>
      <c r="C5" s="2">
        <f t="shared" ref="C5:L5" si="1">C4*$B10</f>
        <v>1837.5</v>
      </c>
      <c r="D5" s="2">
        <f t="shared" si="1"/>
        <v>918.75</v>
      </c>
      <c r="E5" s="2">
        <f t="shared" si="1"/>
        <v>1880.55</v>
      </c>
      <c r="F5" s="2">
        <f t="shared" si="1"/>
        <v>325.5</v>
      </c>
      <c r="G5" s="2">
        <f t="shared" si="1"/>
        <v>1499.3999999999999</v>
      </c>
      <c r="H5" s="2">
        <f t="shared" si="1"/>
        <v>1212.75</v>
      </c>
      <c r="I5" s="2">
        <f t="shared" si="1"/>
        <v>2702.7</v>
      </c>
      <c r="J5" s="2">
        <f t="shared" si="1"/>
        <v>4672.5</v>
      </c>
      <c r="K5" s="2">
        <f t="shared" si="1"/>
        <v>3192</v>
      </c>
      <c r="L5" s="2">
        <f t="shared" si="1"/>
        <v>1468.53</v>
      </c>
    </row>
    <row r="6" spans="1:12" x14ac:dyDescent="0.25">
      <c r="A6" s="1" t="s">
        <v>19</v>
      </c>
      <c r="B6" s="2">
        <f>B4+B5</f>
        <v>3993</v>
      </c>
      <c r="C6" s="2">
        <f t="shared" ref="C6:L6" si="2">C4+C5</f>
        <v>10587.5</v>
      </c>
      <c r="D6" s="2">
        <f t="shared" si="2"/>
        <v>5293.75</v>
      </c>
      <c r="E6" s="2">
        <f t="shared" si="2"/>
        <v>10835.55</v>
      </c>
      <c r="F6" s="2">
        <f t="shared" si="2"/>
        <v>1875.5</v>
      </c>
      <c r="G6" s="2">
        <f t="shared" si="2"/>
        <v>8639.4</v>
      </c>
      <c r="H6" s="2">
        <f t="shared" si="2"/>
        <v>6987.75</v>
      </c>
      <c r="I6" s="2">
        <f t="shared" si="2"/>
        <v>15572.7</v>
      </c>
      <c r="J6" s="2">
        <f t="shared" si="2"/>
        <v>26922.5</v>
      </c>
      <c r="K6" s="2">
        <f t="shared" si="2"/>
        <v>18392</v>
      </c>
      <c r="L6" s="2">
        <f t="shared" si="2"/>
        <v>8461.5300000000007</v>
      </c>
    </row>
    <row r="10" spans="1:12" x14ac:dyDescent="0.25">
      <c r="A10" t="s">
        <v>15</v>
      </c>
      <c r="B10" s="3">
        <v>0.21</v>
      </c>
    </row>
    <row r="13" spans="1:12" x14ac:dyDescent="0.25">
      <c r="A13" s="4"/>
    </row>
    <row r="14" spans="1:12" x14ac:dyDescent="0.25">
      <c r="A14" s="4"/>
    </row>
    <row r="15" spans="1:12" x14ac:dyDescent="0.25">
      <c r="A15" s="4"/>
    </row>
    <row r="16" spans="1:12" x14ac:dyDescent="0.25">
      <c r="A16" s="4"/>
    </row>
    <row r="17" spans="1:1" x14ac:dyDescent="0.25">
      <c r="A17" s="4"/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BEF9-8F61-41C5-B1D5-1C4C2FED7F10}">
  <sheetPr codeName="Hoja4"/>
  <dimension ref="A1:O74"/>
  <sheetViews>
    <sheetView topLeftCell="A36" workbookViewId="0">
      <selection activeCell="K19" sqref="K19"/>
    </sheetView>
  </sheetViews>
  <sheetFormatPr baseColWidth="10" defaultRowHeight="15" x14ac:dyDescent="0.25"/>
  <cols>
    <col min="1" max="1" width="17.5703125" bestFit="1" customWidth="1"/>
    <col min="2" max="2" width="12.7109375" bestFit="1" customWidth="1"/>
    <col min="3" max="3" width="15.42578125" bestFit="1" customWidth="1"/>
    <col min="4" max="4" width="17" customWidth="1"/>
    <col min="5" max="5" width="24.7109375" customWidth="1"/>
    <col min="6" max="6" width="17.7109375" bestFit="1" customWidth="1"/>
    <col min="7" max="7" width="20.28515625" customWidth="1"/>
    <col min="8" max="8" width="16.85546875" bestFit="1" customWidth="1"/>
    <col min="9" max="9" width="13.42578125" bestFit="1" customWidth="1"/>
    <col min="11" max="11" width="15.42578125" bestFit="1" customWidth="1"/>
    <col min="12" max="12" width="13.42578125" bestFit="1" customWidth="1"/>
    <col min="13" max="13" width="15.28515625" bestFit="1" customWidth="1"/>
  </cols>
  <sheetData>
    <row r="1" spans="1:11" ht="15.75" thickBot="1" x14ac:dyDescent="0.3">
      <c r="A1" s="131" t="s">
        <v>20</v>
      </c>
      <c r="B1" s="131"/>
      <c r="C1" s="131"/>
      <c r="D1" t="s">
        <v>17</v>
      </c>
      <c r="E1" s="128" t="s">
        <v>29</v>
      </c>
      <c r="F1" s="128"/>
      <c r="G1" s="128"/>
      <c r="H1" s="128"/>
      <c r="J1" s="128" t="s">
        <v>35</v>
      </c>
      <c r="K1" s="128"/>
    </row>
    <row r="2" spans="1:11" ht="15.75" thickTop="1" x14ac:dyDescent="0.25">
      <c r="E2" t="s">
        <v>30</v>
      </c>
      <c r="F2" t="s">
        <v>31</v>
      </c>
      <c r="G2" t="s">
        <v>32</v>
      </c>
      <c r="H2" t="s">
        <v>33</v>
      </c>
      <c r="J2" t="s">
        <v>30</v>
      </c>
      <c r="K2" t="s">
        <v>33</v>
      </c>
    </row>
    <row r="3" spans="1:11" x14ac:dyDescent="0.25">
      <c r="A3" t="s">
        <v>21</v>
      </c>
      <c r="B3" s="3">
        <v>0.04</v>
      </c>
      <c r="C3" s="3">
        <v>0.08</v>
      </c>
      <c r="E3" t="s">
        <v>24</v>
      </c>
      <c r="F3" s="2">
        <v>1900</v>
      </c>
      <c r="G3" s="2">
        <v>260</v>
      </c>
      <c r="H3" s="2">
        <f>F3+G3</f>
        <v>2160</v>
      </c>
      <c r="J3" t="s">
        <v>24</v>
      </c>
      <c r="K3" s="2">
        <f>G8+H8</f>
        <v>2300</v>
      </c>
    </row>
    <row r="4" spans="1:11" x14ac:dyDescent="0.25">
      <c r="E4" t="s">
        <v>28</v>
      </c>
      <c r="F4" s="2">
        <v>1200</v>
      </c>
      <c r="G4" s="2">
        <v>450</v>
      </c>
      <c r="H4" s="2">
        <f>F4+G4</f>
        <v>1650</v>
      </c>
      <c r="J4" t="s">
        <v>28</v>
      </c>
      <c r="K4" s="2">
        <f>G9+H9</f>
        <v>2050</v>
      </c>
    </row>
    <row r="5" spans="1:11" x14ac:dyDescent="0.25">
      <c r="A5" t="s">
        <v>22</v>
      </c>
      <c r="B5" t="s">
        <v>23</v>
      </c>
      <c r="C5" t="s">
        <v>26</v>
      </c>
    </row>
    <row r="6" spans="1:11" x14ac:dyDescent="0.25">
      <c r="A6" t="s">
        <v>24</v>
      </c>
      <c r="B6" s="2">
        <v>4850</v>
      </c>
      <c r="C6" s="2">
        <v>2560</v>
      </c>
      <c r="F6" s="128" t="s">
        <v>34</v>
      </c>
      <c r="G6" s="128"/>
      <c r="H6" s="128"/>
      <c r="I6" s="128"/>
    </row>
    <row r="7" spans="1:11" x14ac:dyDescent="0.25">
      <c r="A7" t="s">
        <v>25</v>
      </c>
      <c r="B7" s="2">
        <v>5200</v>
      </c>
      <c r="C7" s="2">
        <v>4870</v>
      </c>
      <c r="F7" t="s">
        <v>30</v>
      </c>
      <c r="G7" t="s">
        <v>31</v>
      </c>
      <c r="H7" t="s">
        <v>21</v>
      </c>
      <c r="I7" t="s">
        <v>33</v>
      </c>
    </row>
    <row r="8" spans="1:11" x14ac:dyDescent="0.25">
      <c r="A8" t="s">
        <v>28</v>
      </c>
      <c r="B8" s="2">
        <v>3520</v>
      </c>
      <c r="C8" s="2">
        <v>5980</v>
      </c>
      <c r="F8" t="s">
        <v>24</v>
      </c>
      <c r="G8" s="2">
        <v>1850</v>
      </c>
      <c r="H8" s="2">
        <v>450</v>
      </c>
      <c r="I8" s="2">
        <f>G8+H8</f>
        <v>2300</v>
      </c>
    </row>
    <row r="9" spans="1:11" x14ac:dyDescent="0.25">
      <c r="F9" t="s">
        <v>28</v>
      </c>
      <c r="G9" s="2">
        <v>1700</v>
      </c>
      <c r="H9" s="2">
        <v>350</v>
      </c>
      <c r="I9" s="2">
        <f>G9+H9</f>
        <v>2050</v>
      </c>
    </row>
    <row r="10" spans="1:11" x14ac:dyDescent="0.25">
      <c r="A10" t="s">
        <v>27</v>
      </c>
      <c r="B10" t="s">
        <v>23</v>
      </c>
      <c r="C10" t="s">
        <v>26</v>
      </c>
    </row>
    <row r="11" spans="1:11" x14ac:dyDescent="0.25">
      <c r="A11" t="s">
        <v>24</v>
      </c>
      <c r="B11" s="2">
        <f>B6*B$3</f>
        <v>194</v>
      </c>
      <c r="C11" s="2">
        <f>C6*C$3</f>
        <v>204.8</v>
      </c>
    </row>
    <row r="12" spans="1:11" x14ac:dyDescent="0.25">
      <c r="A12" t="s">
        <v>25</v>
      </c>
      <c r="B12" s="2">
        <f t="shared" ref="B12:C13" si="0">B7*B$3</f>
        <v>208</v>
      </c>
      <c r="C12" s="2">
        <f t="shared" si="0"/>
        <v>389.6</v>
      </c>
    </row>
    <row r="13" spans="1:11" x14ac:dyDescent="0.25">
      <c r="A13" t="s">
        <v>28</v>
      </c>
      <c r="B13" s="2">
        <f t="shared" si="0"/>
        <v>140.80000000000001</v>
      </c>
      <c r="C13" s="2">
        <f t="shared" si="0"/>
        <v>478.40000000000003</v>
      </c>
    </row>
    <row r="16" spans="1:11" x14ac:dyDescent="0.25">
      <c r="A16" s="132" t="s">
        <v>123</v>
      </c>
      <c r="B16" s="132"/>
      <c r="C16" s="132"/>
      <c r="D16" s="132"/>
      <c r="E16" s="132"/>
      <c r="F16" s="132"/>
      <c r="G16" s="132"/>
      <c r="K16" s="33" t="s">
        <v>225</v>
      </c>
    </row>
    <row r="17" spans="1:15" ht="15.75" thickBot="1" x14ac:dyDescent="0.3">
      <c r="A17" s="22" t="s">
        <v>124</v>
      </c>
      <c r="B17" s="22" t="s">
        <v>132</v>
      </c>
      <c r="C17" s="22" t="s">
        <v>133</v>
      </c>
      <c r="D17" s="22" t="s">
        <v>137</v>
      </c>
      <c r="E17" s="22" t="s">
        <v>125</v>
      </c>
      <c r="F17" s="22" t="s">
        <v>138</v>
      </c>
      <c r="G17" s="22" t="s">
        <v>134</v>
      </c>
      <c r="H17" s="22" t="s">
        <v>135</v>
      </c>
      <c r="I17" s="22" t="s">
        <v>136</v>
      </c>
      <c r="J17" s="22" t="s">
        <v>129</v>
      </c>
      <c r="K17" s="22" t="s">
        <v>226</v>
      </c>
    </row>
    <row r="18" spans="1:15" ht="15.75" thickTop="1" x14ac:dyDescent="0.25">
      <c r="A18" t="s">
        <v>126</v>
      </c>
      <c r="B18" s="11">
        <v>5</v>
      </c>
      <c r="C18" s="11">
        <v>40</v>
      </c>
      <c r="D18" s="11">
        <f>AVERAGE(B18:C18)</f>
        <v>22.5</v>
      </c>
      <c r="E18" t="str">
        <f>IF(D18&lt;5,N$21,IF(D18&lt;6,N$22,IF(D18&lt;7,N$23,IF(D18&lt;9,N$24,N$25))))</f>
        <v>SOBRESALIENTE</v>
      </c>
      <c r="F18" s="11" t="str">
        <f>IF(AVERAGE(B18:C18)&gt;=5,M$21,M$22)</f>
        <v>APROBADO</v>
      </c>
      <c r="G18" s="11" t="str">
        <f>IF(AND(B18&gt;=5,C18&gt;=5),M$21,M$22)</f>
        <v>APROBADO</v>
      </c>
      <c r="H18" s="11" t="str">
        <f>IF(OR(B18&gt;=5,C18&gt;=5),M$21,M$22)</f>
        <v>APROBADO</v>
      </c>
      <c r="I18" s="11">
        <v>0</v>
      </c>
      <c r="J18" t="str">
        <f>IF(OR(AND(B18&gt;=5,C18&gt;=5),I18&gt;=2),"CON BECA","SIN BECA")</f>
        <v>CON BECA</v>
      </c>
      <c r="K18" t="str" cm="1">
        <f t="array" ref="K18">_xlfn.IFS(D18&lt;5,N$21,D18&lt;6,N$22,D18&lt;7,N$23,D18&lt;9,N$24,TRUE,N$25)</f>
        <v>SOBRESALIENTE</v>
      </c>
    </row>
    <row r="19" spans="1:15" x14ac:dyDescent="0.25">
      <c r="A19" t="s">
        <v>127</v>
      </c>
      <c r="B19" s="11">
        <v>10</v>
      </c>
      <c r="C19" s="11">
        <v>3</v>
      </c>
      <c r="D19" s="11">
        <f t="shared" ref="D19:D20" si="1">AVERAGE(B19:C19)</f>
        <v>6.5</v>
      </c>
      <c r="E19" t="str">
        <f>IF(D19&lt;5,N$21,IF(D19&lt;6,N$22,IF(D19&lt;7,N$23,IF(D19&lt;9,N$24,N$25))))</f>
        <v>BIEN</v>
      </c>
      <c r="F19" s="11" t="str">
        <f>IF(AVERAGE(B19:C19)&gt;=5,M$21,M$22)</f>
        <v>APROBADO</v>
      </c>
      <c r="G19" s="11" t="str">
        <f>IF(AND(B19&gt;=5,C19&gt;=5),M$21,M$22)</f>
        <v>SUSPENSO</v>
      </c>
      <c r="H19" s="11" t="str">
        <f>IF(OR(B19&gt;=5,C19&gt;=5),M$21,M$22)</f>
        <v>APROBADO</v>
      </c>
      <c r="I19" s="11">
        <v>5</v>
      </c>
      <c r="J19" t="str">
        <f>IF(OR(AND(B19&gt;=5,C19&gt;=5),I19&gt;=2),"CON BECA","SIN BECA")</f>
        <v>CON BECA</v>
      </c>
      <c r="K19" t="str" cm="1">
        <f t="array" ref="K19">_xlfn.IFS(D19&lt;5,N$21,D19&lt;6,N$22,D19&lt;7,N$23,D19&lt;9,N$24,TRUE,N$25)</f>
        <v>BIEN</v>
      </c>
    </row>
    <row r="20" spans="1:15" ht="15.75" thickBot="1" x14ac:dyDescent="0.3">
      <c r="A20" t="s">
        <v>128</v>
      </c>
      <c r="B20" s="11">
        <v>6</v>
      </c>
      <c r="C20" s="11">
        <v>8</v>
      </c>
      <c r="D20" s="11">
        <f t="shared" si="1"/>
        <v>7</v>
      </c>
      <c r="E20" t="str">
        <f>IF(D20&lt;5,N$21,IF(D20&lt;6,N$22,IF(D20&lt;7,N$23,IF(D20&lt;9,N$24,N$25))))</f>
        <v>NOTABLE</v>
      </c>
      <c r="F20" s="11" t="str">
        <f>IF(AVERAGE(B20:C20)&gt;=5,M$21,M$22)</f>
        <v>APROBADO</v>
      </c>
      <c r="G20" s="11" t="str">
        <f>IF(AND(B20&gt;=5,C20&gt;=5),M$21,M$22)</f>
        <v>APROBADO</v>
      </c>
      <c r="H20" s="11" t="str">
        <f>IF(OR(B20&gt;=5,C20&gt;=5),M$21,M$22)</f>
        <v>APROBADO</v>
      </c>
      <c r="I20" s="11">
        <v>2</v>
      </c>
      <c r="J20" t="str">
        <f>IF(OR(AND(B20&gt;=5,C20&gt;=5),I20&gt;=2),"CON BECA","SIN BECA")</f>
        <v>CON BECA</v>
      </c>
      <c r="K20" t="str" cm="1">
        <f t="array" ref="K20">_xlfn.IFS(D20&lt;5,N$21,D20&lt;6,N$22,D20&lt;7,N$23,D20&lt;9,N$24,TRUE,N$25)</f>
        <v>NOTABLE</v>
      </c>
      <c r="M20" s="22" t="s">
        <v>125</v>
      </c>
      <c r="N20" s="22" t="s">
        <v>139</v>
      </c>
    </row>
    <row r="21" spans="1:15" ht="15.75" thickTop="1" x14ac:dyDescent="0.25">
      <c r="H21" s="23"/>
      <c r="M21" s="11" t="s">
        <v>130</v>
      </c>
      <c r="N21" t="s">
        <v>140</v>
      </c>
      <c r="O21" s="11" t="s">
        <v>143</v>
      </c>
    </row>
    <row r="22" spans="1:15" x14ac:dyDescent="0.25">
      <c r="M22" s="11" t="s">
        <v>131</v>
      </c>
      <c r="N22" t="s">
        <v>144</v>
      </c>
      <c r="O22" s="11" t="s">
        <v>146</v>
      </c>
    </row>
    <row r="23" spans="1:15" x14ac:dyDescent="0.25">
      <c r="N23" t="s">
        <v>141</v>
      </c>
      <c r="O23" s="11" t="s">
        <v>147</v>
      </c>
    </row>
    <row r="24" spans="1:15" x14ac:dyDescent="0.25">
      <c r="N24" t="s">
        <v>142</v>
      </c>
      <c r="O24" s="11" t="s">
        <v>148</v>
      </c>
    </row>
    <row r="25" spans="1:15" ht="15.75" thickBot="1" x14ac:dyDescent="0.3">
      <c r="A25" s="27" t="s">
        <v>175</v>
      </c>
      <c r="B25" s="27" t="s">
        <v>124</v>
      </c>
      <c r="C25" s="27" t="s">
        <v>176</v>
      </c>
      <c r="D25" s="27" t="s">
        <v>177</v>
      </c>
      <c r="E25" s="27" t="s">
        <v>178</v>
      </c>
      <c r="G25" s="28" t="s">
        <v>188</v>
      </c>
      <c r="H25" s="29">
        <v>500</v>
      </c>
      <c r="N25" t="s">
        <v>145</v>
      </c>
      <c r="O25" s="11" t="s">
        <v>149</v>
      </c>
    </row>
    <row r="26" spans="1:15" ht="15.75" thickTop="1" x14ac:dyDescent="0.25">
      <c r="A26" s="11">
        <v>1005</v>
      </c>
      <c r="B26" s="11" t="s">
        <v>179</v>
      </c>
      <c r="C26" s="11" t="s">
        <v>182</v>
      </c>
      <c r="D26" s="11" t="s">
        <v>185</v>
      </c>
      <c r="E26" s="11">
        <v>9</v>
      </c>
      <c r="G26" s="28" t="s">
        <v>189</v>
      </c>
      <c r="H26" s="29" t="str">
        <f>VLOOKUP(H25,A26:E28,2,0)</f>
        <v>Dalila Juana</v>
      </c>
    </row>
    <row r="27" spans="1:15" x14ac:dyDescent="0.25">
      <c r="A27" s="11">
        <v>500</v>
      </c>
      <c r="B27" s="11" t="s">
        <v>180</v>
      </c>
      <c r="C27" s="11" t="s">
        <v>183</v>
      </c>
      <c r="D27" s="11" t="s">
        <v>186</v>
      </c>
      <c r="E27" s="11">
        <v>5</v>
      </c>
      <c r="G27" s="28" t="s">
        <v>190</v>
      </c>
      <c r="H27" s="29" t="str">
        <f>VLOOKUP(H25,A26:E28,3,0)</f>
        <v>P Prado</v>
      </c>
    </row>
    <row r="28" spans="1:15" x14ac:dyDescent="0.25">
      <c r="A28" s="11">
        <v>300</v>
      </c>
      <c r="B28" s="11" t="s">
        <v>181</v>
      </c>
      <c r="C28" s="11" t="s">
        <v>184</v>
      </c>
      <c r="D28" s="11" t="s">
        <v>187</v>
      </c>
      <c r="E28" s="11">
        <v>4</v>
      </c>
      <c r="G28" s="28" t="s">
        <v>191</v>
      </c>
      <c r="H28" s="29" t="str">
        <f>VLOOKUP(H25,A26:E28,4,0)</f>
        <v>CUARTO</v>
      </c>
    </row>
    <row r="29" spans="1:15" x14ac:dyDescent="0.25">
      <c r="G29" s="28" t="s">
        <v>192</v>
      </c>
      <c r="H29" s="29">
        <f>VLOOKUP(H25,A26:E28,5,0)</f>
        <v>5</v>
      </c>
    </row>
    <row r="31" spans="1:15" ht="15.75" thickBot="1" x14ac:dyDescent="0.3">
      <c r="A31" s="27" t="s">
        <v>193</v>
      </c>
      <c r="B31" s="27" t="s">
        <v>194</v>
      </c>
      <c r="C31" s="27" t="s">
        <v>195</v>
      </c>
    </row>
    <row r="32" spans="1:15" ht="16.5" thickTop="1" thickBot="1" x14ac:dyDescent="0.3">
      <c r="A32" s="11" t="s">
        <v>25</v>
      </c>
      <c r="B32" s="11">
        <v>88</v>
      </c>
      <c r="C32" t="str">
        <f>VLOOKUP(B32,E$33:F$37,2,1)</f>
        <v>B</v>
      </c>
      <c r="E32" s="27" t="s">
        <v>198</v>
      </c>
      <c r="F32" s="27" t="s">
        <v>195</v>
      </c>
    </row>
    <row r="33" spans="1:6" ht="15.75" thickTop="1" x14ac:dyDescent="0.25">
      <c r="A33" s="11" t="s">
        <v>196</v>
      </c>
      <c r="B33" s="11">
        <v>75</v>
      </c>
      <c r="C33" t="str">
        <f t="shared" ref="C33:C36" si="2">VLOOKUP(B33,E$33:F$37,2,1)</f>
        <v>C</v>
      </c>
      <c r="E33" s="11">
        <v>0</v>
      </c>
      <c r="F33" s="11" t="s">
        <v>199</v>
      </c>
    </row>
    <row r="34" spans="1:6" x14ac:dyDescent="0.25">
      <c r="A34" s="11" t="s">
        <v>197</v>
      </c>
      <c r="B34" s="11">
        <v>93</v>
      </c>
      <c r="C34" t="str">
        <f t="shared" si="2"/>
        <v>A</v>
      </c>
      <c r="E34" s="11">
        <v>65</v>
      </c>
      <c r="F34" s="11" t="s">
        <v>200</v>
      </c>
    </row>
    <row r="35" spans="1:6" x14ac:dyDescent="0.25">
      <c r="B35" s="11">
        <v>80</v>
      </c>
      <c r="C35" t="str">
        <f t="shared" si="2"/>
        <v>C</v>
      </c>
      <c r="E35" s="11">
        <v>70</v>
      </c>
      <c r="F35" s="11" t="s">
        <v>201</v>
      </c>
    </row>
    <row r="36" spans="1:6" x14ac:dyDescent="0.25">
      <c r="B36" s="11">
        <v>90</v>
      </c>
      <c r="C36" t="str">
        <f t="shared" si="2"/>
        <v>B</v>
      </c>
      <c r="E36" s="11">
        <v>85</v>
      </c>
      <c r="F36" s="11" t="s">
        <v>202</v>
      </c>
    </row>
    <row r="37" spans="1:6" x14ac:dyDescent="0.25">
      <c r="C37" s="30"/>
      <c r="E37" s="11">
        <v>92</v>
      </c>
      <c r="F37" s="11" t="s">
        <v>203</v>
      </c>
    </row>
    <row r="41" spans="1:6" ht="15.75" thickBot="1" x14ac:dyDescent="0.3">
      <c r="A41" s="129" t="s">
        <v>208</v>
      </c>
      <c r="B41" s="129"/>
      <c r="C41" s="129"/>
      <c r="D41" s="129"/>
      <c r="E41" s="129"/>
      <c r="F41" s="129"/>
    </row>
    <row r="42" spans="1:6" ht="15.75" thickTop="1" x14ac:dyDescent="0.25">
      <c r="A42" t="s">
        <v>204</v>
      </c>
      <c r="B42" t="s">
        <v>205</v>
      </c>
      <c r="C42" t="s">
        <v>44</v>
      </c>
      <c r="D42" t="s">
        <v>160</v>
      </c>
      <c r="E42" t="s">
        <v>206</v>
      </c>
      <c r="F42" t="s">
        <v>207</v>
      </c>
    </row>
    <row r="43" spans="1:6" x14ac:dyDescent="0.25">
      <c r="A43" t="s">
        <v>209</v>
      </c>
      <c r="B43">
        <v>2</v>
      </c>
      <c r="C43">
        <v>584</v>
      </c>
      <c r="D43" s="31">
        <f>C43*E$49</f>
        <v>3504</v>
      </c>
      <c r="E43" s="2">
        <f>VLOOKUP(B43,D$53:E$55,2,) * D43</f>
        <v>210.23999999999998</v>
      </c>
      <c r="F43" s="31">
        <f>D43 + E43</f>
        <v>3714.24</v>
      </c>
    </row>
    <row r="44" spans="1:6" x14ac:dyDescent="0.25">
      <c r="A44" t="s">
        <v>210</v>
      </c>
      <c r="B44">
        <v>2</v>
      </c>
      <c r="C44">
        <v>254</v>
      </c>
      <c r="D44" s="31">
        <f t="shared" ref="D44:D46" si="3">C44*E$49</f>
        <v>1524</v>
      </c>
      <c r="E44" s="2">
        <f t="shared" ref="E44:E46" si="4">VLOOKUP(B44,D$53:E$55,2,) * D44</f>
        <v>91.44</v>
      </c>
      <c r="F44" s="31">
        <f t="shared" ref="F44:F46" si="5">D44 + E44</f>
        <v>1615.44</v>
      </c>
    </row>
    <row r="45" spans="1:6" x14ac:dyDescent="0.25">
      <c r="A45" t="s">
        <v>211</v>
      </c>
      <c r="B45">
        <v>3</v>
      </c>
      <c r="C45">
        <v>987</v>
      </c>
      <c r="D45" s="31">
        <f t="shared" si="3"/>
        <v>5922</v>
      </c>
      <c r="E45" s="2">
        <f t="shared" si="4"/>
        <v>414.54</v>
      </c>
      <c r="F45" s="31">
        <f t="shared" si="5"/>
        <v>6336.54</v>
      </c>
    </row>
    <row r="46" spans="1:6" x14ac:dyDescent="0.25">
      <c r="A46" t="s">
        <v>212</v>
      </c>
      <c r="B46">
        <v>1</v>
      </c>
      <c r="C46">
        <v>584</v>
      </c>
      <c r="D46" s="31">
        <f t="shared" si="3"/>
        <v>3504</v>
      </c>
      <c r="E46" s="2">
        <f t="shared" si="4"/>
        <v>175.20000000000002</v>
      </c>
      <c r="F46" s="31">
        <f t="shared" si="5"/>
        <v>3679.2</v>
      </c>
    </row>
    <row r="49" spans="1:7" x14ac:dyDescent="0.25">
      <c r="C49" s="128" t="s">
        <v>213</v>
      </c>
      <c r="D49" s="128"/>
      <c r="E49" s="31">
        <v>6</v>
      </c>
    </row>
    <row r="52" spans="1:7" x14ac:dyDescent="0.25">
      <c r="C52" s="128" t="s">
        <v>214</v>
      </c>
      <c r="D52" s="128"/>
      <c r="E52" s="128"/>
    </row>
    <row r="53" spans="1:7" x14ac:dyDescent="0.25">
      <c r="C53" s="130" t="s">
        <v>215</v>
      </c>
      <c r="D53">
        <v>1</v>
      </c>
      <c r="E53" s="3">
        <v>0.05</v>
      </c>
    </row>
    <row r="54" spans="1:7" x14ac:dyDescent="0.25">
      <c r="C54" s="130"/>
      <c r="D54">
        <v>2</v>
      </c>
      <c r="E54" s="3">
        <v>0.06</v>
      </c>
    </row>
    <row r="55" spans="1:7" x14ac:dyDescent="0.25">
      <c r="C55" s="130"/>
      <c r="D55">
        <v>3</v>
      </c>
      <c r="E55" s="3">
        <v>7.0000000000000007E-2</v>
      </c>
    </row>
    <row r="58" spans="1:7" x14ac:dyDescent="0.25">
      <c r="A58" s="128" t="s">
        <v>216</v>
      </c>
      <c r="B58" s="128"/>
      <c r="C58" s="128"/>
      <c r="D58" s="128" t="s">
        <v>220</v>
      </c>
      <c r="E58" s="128"/>
      <c r="F58" s="128"/>
      <c r="G58" t="s">
        <v>224</v>
      </c>
    </row>
    <row r="59" spans="1:7" x14ac:dyDescent="0.25">
      <c r="A59" t="s">
        <v>217</v>
      </c>
      <c r="D59" t="s">
        <v>221</v>
      </c>
      <c r="G59" t="str">
        <f>IFERROR(VLOOKUP(D59,A$59:A$62,1,FALSE),"ES NUEVO")</f>
        <v>Luis Agudo</v>
      </c>
    </row>
    <row r="60" spans="1:7" x14ac:dyDescent="0.25">
      <c r="A60" t="s">
        <v>218</v>
      </c>
      <c r="D60" t="s">
        <v>222</v>
      </c>
      <c r="G60" t="str">
        <f t="shared" ref="G60:G62" si="6">IFERROR(VLOOKUP(D60,A$59:A$62,1,FALSE),"ES NUEVO")</f>
        <v>ES NUEVO</v>
      </c>
    </row>
    <row r="61" spans="1:7" x14ac:dyDescent="0.25">
      <c r="A61" t="s">
        <v>219</v>
      </c>
      <c r="D61" t="s">
        <v>223</v>
      </c>
      <c r="G61" t="str">
        <f t="shared" si="6"/>
        <v>ES NUEVO</v>
      </c>
    </row>
    <row r="62" spans="1:7" x14ac:dyDescent="0.25">
      <c r="A62" t="s">
        <v>221</v>
      </c>
      <c r="D62" t="s">
        <v>217</v>
      </c>
      <c r="G62" t="str">
        <f t="shared" si="6"/>
        <v>Ana Lopez</v>
      </c>
    </row>
    <row r="66" spans="2:5" x14ac:dyDescent="0.25">
      <c r="D66" s="30"/>
    </row>
    <row r="67" spans="2:5" x14ac:dyDescent="0.25">
      <c r="B67" s="40"/>
      <c r="C67" s="40"/>
      <c r="D67" s="40"/>
      <c r="E67" s="40"/>
    </row>
    <row r="68" spans="2:5" x14ac:dyDescent="0.25">
      <c r="B68" s="40"/>
      <c r="C68" s="40"/>
      <c r="D68" s="40"/>
      <c r="E68" s="40"/>
    </row>
    <row r="69" spans="2:5" x14ac:dyDescent="0.25">
      <c r="B69" s="40"/>
      <c r="C69" s="40"/>
      <c r="D69" s="40"/>
      <c r="E69" s="40"/>
    </row>
    <row r="70" spans="2:5" x14ac:dyDescent="0.25">
      <c r="B70" s="40"/>
      <c r="C70" s="40"/>
      <c r="D70" s="40"/>
      <c r="E70" s="40"/>
    </row>
    <row r="71" spans="2:5" x14ac:dyDescent="0.25">
      <c r="B71" s="11"/>
    </row>
    <row r="74" spans="2:5" x14ac:dyDescent="0.25">
      <c r="D74" s="30"/>
    </row>
  </sheetData>
  <autoFilter ref="A58:G62" xr:uid="{612ABEF9-8F61-41C5-B1D5-1C4C2FED7F10}">
    <filterColumn colId="0" showButton="0"/>
    <filterColumn colId="1" showButton="0"/>
    <filterColumn colId="3" showButton="0"/>
    <filterColumn colId="4" showButton="0"/>
  </autoFilter>
  <mergeCells count="11">
    <mergeCell ref="A1:C1"/>
    <mergeCell ref="E1:H1"/>
    <mergeCell ref="F6:I6"/>
    <mergeCell ref="J1:K1"/>
    <mergeCell ref="A16:G16"/>
    <mergeCell ref="A58:C58"/>
    <mergeCell ref="D58:F58"/>
    <mergeCell ref="A41:F41"/>
    <mergeCell ref="C49:D49"/>
    <mergeCell ref="C52:E52"/>
    <mergeCell ref="C53:C55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75EE-5BCF-43FE-9A90-CA007756B33F}">
  <sheetPr codeName="Hoja5"/>
  <dimension ref="A1:I21"/>
  <sheetViews>
    <sheetView workbookViewId="0">
      <selection activeCell="D8" sqref="D8"/>
    </sheetView>
  </sheetViews>
  <sheetFormatPr baseColWidth="10" defaultRowHeight="15" x14ac:dyDescent="0.25"/>
  <cols>
    <col min="9" max="9" width="11.85546875" bestFit="1" customWidth="1"/>
  </cols>
  <sheetData>
    <row r="1" spans="1:9" ht="15.75" thickBot="1" x14ac:dyDescent="0.3">
      <c r="A1" t="s">
        <v>36</v>
      </c>
    </row>
    <row r="2" spans="1:9" x14ac:dyDescent="0.25">
      <c r="A2" t="s">
        <v>37</v>
      </c>
      <c r="H2" s="5" t="s">
        <v>38</v>
      </c>
      <c r="I2">
        <f>SUM(F7:F21)</f>
        <v>37830.931000000004</v>
      </c>
    </row>
    <row r="3" spans="1:9" x14ac:dyDescent="0.25">
      <c r="A3" t="s">
        <v>39</v>
      </c>
      <c r="H3" s="6" t="s">
        <v>40</v>
      </c>
      <c r="I3" s="7">
        <v>0.08</v>
      </c>
    </row>
    <row r="4" spans="1:9" x14ac:dyDescent="0.25">
      <c r="A4" t="s">
        <v>41</v>
      </c>
      <c r="H4" s="6" t="s">
        <v>42</v>
      </c>
      <c r="I4" s="7">
        <v>0.21</v>
      </c>
    </row>
    <row r="6" spans="1:9" x14ac:dyDescent="0.25">
      <c r="A6" s="8" t="s">
        <v>43</v>
      </c>
      <c r="B6" s="8" t="s">
        <v>44</v>
      </c>
      <c r="C6" s="8" t="s">
        <v>45</v>
      </c>
      <c r="D6" s="8" t="s">
        <v>46</v>
      </c>
      <c r="E6" s="8" t="s">
        <v>15</v>
      </c>
      <c r="F6" s="8" t="s">
        <v>38</v>
      </c>
      <c r="G6" s="9"/>
    </row>
    <row r="7" spans="1:9" x14ac:dyDescent="0.25">
      <c r="A7" t="s">
        <v>47</v>
      </c>
      <c r="B7">
        <v>1</v>
      </c>
      <c r="C7">
        <v>1021.72</v>
      </c>
      <c r="D7" s="12">
        <f>C7*I$3</f>
        <v>81.7376</v>
      </c>
      <c r="E7">
        <f>C7*I$4</f>
        <v>214.56119999999999</v>
      </c>
      <c r="F7">
        <f>(C7-D7+E7)*B7</f>
        <v>1154.5436</v>
      </c>
      <c r="G7" s="10"/>
    </row>
    <row r="8" spans="1:9" x14ac:dyDescent="0.25">
      <c r="A8" t="s">
        <v>48</v>
      </c>
      <c r="B8">
        <v>2</v>
      </c>
      <c r="C8">
        <v>414.7</v>
      </c>
      <c r="D8" s="98">
        <f t="shared" ref="D8:D21" si="0">C8*I$3</f>
        <v>33.176000000000002</v>
      </c>
      <c r="E8">
        <f t="shared" ref="E8:E21" si="1">C8*I$4</f>
        <v>87.086999999999989</v>
      </c>
      <c r="F8">
        <f t="shared" ref="F8:F21" si="2">(C8-D8+E8)*B8</f>
        <v>937.22199999999998</v>
      </c>
      <c r="G8" s="10"/>
    </row>
    <row r="9" spans="1:9" x14ac:dyDescent="0.25">
      <c r="A9" t="s">
        <v>49</v>
      </c>
      <c r="B9">
        <v>5</v>
      </c>
      <c r="C9">
        <v>180.3</v>
      </c>
      <c r="D9" s="12">
        <f t="shared" si="0"/>
        <v>14.424000000000001</v>
      </c>
      <c r="E9">
        <f t="shared" si="1"/>
        <v>37.863</v>
      </c>
      <c r="F9">
        <f t="shared" si="2"/>
        <v>1018.6950000000001</v>
      </c>
      <c r="G9" s="10"/>
    </row>
    <row r="10" spans="1:9" x14ac:dyDescent="0.25">
      <c r="A10" t="s">
        <v>50</v>
      </c>
      <c r="B10">
        <v>8</v>
      </c>
      <c r="C10">
        <v>570.96</v>
      </c>
      <c r="D10" s="12">
        <f t="shared" si="0"/>
        <v>45.676800000000007</v>
      </c>
      <c r="E10">
        <f t="shared" si="1"/>
        <v>119.9016</v>
      </c>
      <c r="F10">
        <f t="shared" si="2"/>
        <v>5161.4784000000009</v>
      </c>
      <c r="G10" s="10"/>
    </row>
    <row r="11" spans="1:9" x14ac:dyDescent="0.25">
      <c r="A11" t="s">
        <v>51</v>
      </c>
      <c r="B11">
        <v>8</v>
      </c>
      <c r="C11">
        <v>420.71</v>
      </c>
      <c r="D11" s="12">
        <f t="shared" si="0"/>
        <v>33.656799999999997</v>
      </c>
      <c r="E11">
        <f t="shared" si="1"/>
        <v>88.349099999999993</v>
      </c>
      <c r="F11">
        <f t="shared" si="2"/>
        <v>3803.2183999999997</v>
      </c>
      <c r="G11" s="10"/>
    </row>
    <row r="12" spans="1:9" x14ac:dyDescent="0.25">
      <c r="A12" t="s">
        <v>52</v>
      </c>
      <c r="B12">
        <v>860</v>
      </c>
      <c r="C12">
        <v>0.54</v>
      </c>
      <c r="D12" s="12">
        <f t="shared" si="0"/>
        <v>4.3200000000000002E-2</v>
      </c>
      <c r="E12">
        <f t="shared" si="1"/>
        <v>0.1134</v>
      </c>
      <c r="F12">
        <f t="shared" si="2"/>
        <v>524.77200000000005</v>
      </c>
      <c r="G12" s="10"/>
    </row>
    <row r="13" spans="1:9" x14ac:dyDescent="0.25">
      <c r="A13" t="s">
        <v>53</v>
      </c>
      <c r="B13">
        <v>9</v>
      </c>
      <c r="C13">
        <v>280.07</v>
      </c>
      <c r="D13" s="12">
        <f t="shared" si="0"/>
        <v>22.4056</v>
      </c>
      <c r="E13">
        <f t="shared" si="1"/>
        <v>58.814699999999995</v>
      </c>
      <c r="F13">
        <f t="shared" si="2"/>
        <v>2848.3119000000002</v>
      </c>
      <c r="G13" s="10"/>
    </row>
    <row r="14" spans="1:9" x14ac:dyDescent="0.25">
      <c r="A14" t="s">
        <v>54</v>
      </c>
      <c r="B14">
        <v>23</v>
      </c>
      <c r="C14">
        <v>33.659999999999997</v>
      </c>
      <c r="D14" s="12">
        <f t="shared" si="0"/>
        <v>2.6927999999999996</v>
      </c>
      <c r="E14">
        <f t="shared" si="1"/>
        <v>7.0685999999999991</v>
      </c>
      <c r="F14">
        <f t="shared" si="2"/>
        <v>874.82339999999988</v>
      </c>
      <c r="G14" s="10"/>
    </row>
    <row r="15" spans="1:9" x14ac:dyDescent="0.25">
      <c r="A15" t="s">
        <v>55</v>
      </c>
      <c r="B15">
        <v>11</v>
      </c>
      <c r="C15">
        <v>28.25</v>
      </c>
      <c r="D15" s="12">
        <f t="shared" si="0"/>
        <v>2.2600000000000002</v>
      </c>
      <c r="E15">
        <f t="shared" si="1"/>
        <v>5.9325000000000001</v>
      </c>
      <c r="F15">
        <f t="shared" si="2"/>
        <v>351.14749999999998</v>
      </c>
      <c r="G15" s="10"/>
    </row>
    <row r="16" spans="1:9" x14ac:dyDescent="0.25">
      <c r="A16" t="s">
        <v>56</v>
      </c>
      <c r="B16">
        <v>34</v>
      </c>
      <c r="C16">
        <v>32.450000000000003</v>
      </c>
      <c r="D16" s="12">
        <f t="shared" si="0"/>
        <v>2.5960000000000001</v>
      </c>
      <c r="E16">
        <f t="shared" si="1"/>
        <v>6.8145000000000007</v>
      </c>
      <c r="F16">
        <f t="shared" si="2"/>
        <v>1246.729</v>
      </c>
      <c r="G16" s="10"/>
    </row>
    <row r="17" spans="1:7" x14ac:dyDescent="0.25">
      <c r="A17" t="s">
        <v>57</v>
      </c>
      <c r="B17">
        <v>56</v>
      </c>
      <c r="C17">
        <v>66.11</v>
      </c>
      <c r="D17" s="12">
        <f t="shared" si="0"/>
        <v>5.2888000000000002</v>
      </c>
      <c r="E17">
        <f t="shared" si="1"/>
        <v>13.883099999999999</v>
      </c>
      <c r="F17">
        <f t="shared" si="2"/>
        <v>4183.4407999999994</v>
      </c>
      <c r="G17" s="10"/>
    </row>
    <row r="18" spans="1:7" x14ac:dyDescent="0.25">
      <c r="A18" t="s">
        <v>58</v>
      </c>
      <c r="B18">
        <v>67</v>
      </c>
      <c r="C18">
        <v>23.44</v>
      </c>
      <c r="D18" s="12">
        <f t="shared" si="0"/>
        <v>1.8752000000000002</v>
      </c>
      <c r="E18">
        <f t="shared" si="1"/>
        <v>4.9223999999999997</v>
      </c>
      <c r="F18">
        <f t="shared" si="2"/>
        <v>1774.6424000000002</v>
      </c>
      <c r="G18" s="10"/>
    </row>
    <row r="19" spans="1:7" x14ac:dyDescent="0.25">
      <c r="A19" t="s">
        <v>59</v>
      </c>
      <c r="B19">
        <v>9</v>
      </c>
      <c r="C19">
        <v>5.89</v>
      </c>
      <c r="D19" s="12">
        <f t="shared" si="0"/>
        <v>0.47120000000000001</v>
      </c>
      <c r="E19">
        <f t="shared" si="1"/>
        <v>1.2368999999999999</v>
      </c>
      <c r="F19">
        <f t="shared" si="2"/>
        <v>59.901299999999992</v>
      </c>
      <c r="G19" s="10"/>
    </row>
    <row r="20" spans="1:7" x14ac:dyDescent="0.25">
      <c r="A20" t="s">
        <v>60</v>
      </c>
      <c r="B20">
        <v>123</v>
      </c>
      <c r="C20">
        <v>31.25</v>
      </c>
      <c r="D20" s="12">
        <f t="shared" si="0"/>
        <v>2.5</v>
      </c>
      <c r="E20">
        <f t="shared" si="1"/>
        <v>6.5625</v>
      </c>
      <c r="F20">
        <f t="shared" si="2"/>
        <v>4343.4375</v>
      </c>
      <c r="G20" s="10"/>
    </row>
    <row r="21" spans="1:7" x14ac:dyDescent="0.25">
      <c r="A21" t="s">
        <v>61</v>
      </c>
      <c r="B21">
        <v>74</v>
      </c>
      <c r="C21">
        <v>114.19</v>
      </c>
      <c r="D21" s="12">
        <f t="shared" si="0"/>
        <v>9.1351999999999993</v>
      </c>
      <c r="E21">
        <f t="shared" si="1"/>
        <v>23.979899999999997</v>
      </c>
      <c r="F21">
        <f t="shared" si="2"/>
        <v>9548.5677999999989</v>
      </c>
      <c r="G21" s="10"/>
    </row>
  </sheetData>
  <pageMargins left="0.7" right="0.7" top="0.75" bottom="0.75" header="0.3" footer="0.3"/>
  <cellWatches>
    <cellWatch r="I2"/>
  </cellWatch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F19A-A967-4DE0-8094-6D553F4BD8C5}">
  <sheetPr codeName="Hoja6"/>
  <dimension ref="A2:G43"/>
  <sheetViews>
    <sheetView workbookViewId="0">
      <selection activeCell="A8" sqref="A8:G8"/>
      <pivotSelection pane="bottomRight" showHeader="1" extendable="1" axis="axisRow" start="2" max="38" activeRow="7" previousRow="7" click="1" r:id="rId1">
        <pivotArea dataOnly="0" fieldPosition="0">
          <references count="1">
            <reference field="1" count="1">
              <x v="2"/>
            </reference>
          </references>
        </pivotArea>
      </pivotSelection>
    </sheetView>
  </sheetViews>
  <sheetFormatPr baseColWidth="10" defaultRowHeight="15" x14ac:dyDescent="0.25"/>
  <cols>
    <col min="1" max="1" width="19.85546875" bestFit="1" customWidth="1"/>
    <col min="2" max="2" width="22.42578125" bestFit="1" customWidth="1"/>
    <col min="3" max="3" width="12.7109375" bestFit="1" customWidth="1"/>
    <col min="4" max="6" width="12" bestFit="1" customWidth="1"/>
    <col min="7" max="7" width="12.5703125" bestFit="1" customWidth="1"/>
    <col min="8" max="10" width="12" bestFit="1" customWidth="1"/>
    <col min="11" max="11" width="17.7109375" bestFit="1" customWidth="1"/>
    <col min="12" max="20" width="12" bestFit="1" customWidth="1"/>
    <col min="21" max="21" width="13.85546875" bestFit="1" customWidth="1"/>
    <col min="22" max="22" width="13.140625" bestFit="1" customWidth="1"/>
    <col min="23" max="29" width="12" bestFit="1" customWidth="1"/>
    <col min="30" max="30" width="16.28515625" bestFit="1" customWidth="1"/>
    <col min="31" max="31" width="13.85546875" bestFit="1" customWidth="1"/>
    <col min="32" max="34" width="12" bestFit="1" customWidth="1"/>
    <col min="35" max="35" width="11" bestFit="1" customWidth="1"/>
    <col min="36" max="37" width="12" bestFit="1" customWidth="1"/>
    <col min="38" max="38" width="17" bestFit="1" customWidth="1"/>
    <col min="39" max="39" width="12.5703125" bestFit="1" customWidth="1"/>
    <col min="40" max="55" width="12" bestFit="1" customWidth="1"/>
    <col min="56" max="56" width="13.85546875" bestFit="1" customWidth="1"/>
    <col min="57" max="57" width="13.140625" bestFit="1" customWidth="1"/>
    <col min="58" max="71" width="12" bestFit="1" customWidth="1"/>
    <col min="72" max="72" width="16.28515625" bestFit="1" customWidth="1"/>
    <col min="73" max="73" width="13.85546875" bestFit="1" customWidth="1"/>
    <col min="74" max="81" width="12" bestFit="1" customWidth="1"/>
    <col min="82" max="82" width="11" bestFit="1" customWidth="1"/>
    <col min="83" max="90" width="12" bestFit="1" customWidth="1"/>
    <col min="91" max="91" width="17" bestFit="1" customWidth="1"/>
    <col min="92" max="92" width="12.5703125" bestFit="1" customWidth="1"/>
  </cols>
  <sheetData>
    <row r="2" spans="1:7" x14ac:dyDescent="0.25">
      <c r="A2" s="65" t="s">
        <v>65</v>
      </c>
      <c r="B2" t="s">
        <v>432</v>
      </c>
    </row>
    <row r="4" spans="1:7" x14ac:dyDescent="0.25">
      <c r="A4" s="65" t="s">
        <v>431</v>
      </c>
      <c r="B4" s="65" t="s">
        <v>427</v>
      </c>
    </row>
    <row r="5" spans="1:7" x14ac:dyDescent="0.25">
      <c r="A5" s="65" t="s">
        <v>429</v>
      </c>
      <c r="B5" t="s">
        <v>71</v>
      </c>
      <c r="C5" t="s">
        <v>81</v>
      </c>
      <c r="D5" t="s">
        <v>92</v>
      </c>
      <c r="E5" t="s">
        <v>104</v>
      </c>
      <c r="F5" t="s">
        <v>114</v>
      </c>
      <c r="G5" t="s">
        <v>428</v>
      </c>
    </row>
    <row r="6" spans="1:7" x14ac:dyDescent="0.25">
      <c r="A6" s="23" t="s">
        <v>89</v>
      </c>
      <c r="C6">
        <v>203.268303823639</v>
      </c>
      <c r="G6">
        <v>203.268303823639</v>
      </c>
    </row>
    <row r="7" spans="1:7" x14ac:dyDescent="0.25">
      <c r="A7" s="23" t="s">
        <v>90</v>
      </c>
      <c r="C7">
        <v>300.06130323464714</v>
      </c>
      <c r="G7">
        <v>300.06130323464714</v>
      </c>
    </row>
    <row r="8" spans="1:7" x14ac:dyDescent="0.25">
      <c r="A8" s="23" t="s">
        <v>109</v>
      </c>
      <c r="E8">
        <v>5.613453054944527</v>
      </c>
      <c r="G8">
        <v>5.613453054944527</v>
      </c>
    </row>
    <row r="9" spans="1:7" x14ac:dyDescent="0.25">
      <c r="A9" s="23" t="s">
        <v>100</v>
      </c>
      <c r="D9">
        <v>62.727633334535362</v>
      </c>
      <c r="G9">
        <v>62.727633334535362</v>
      </c>
    </row>
    <row r="10" spans="1:7" x14ac:dyDescent="0.25">
      <c r="A10" s="23" t="s">
        <v>101</v>
      </c>
      <c r="D10">
        <v>36.595627035928501</v>
      </c>
      <c r="G10">
        <v>36.595627035928501</v>
      </c>
    </row>
    <row r="11" spans="1:7" x14ac:dyDescent="0.25">
      <c r="A11" s="23" t="s">
        <v>103</v>
      </c>
      <c r="D11">
        <v>470.41818422223025</v>
      </c>
      <c r="G11">
        <v>470.41818422223025</v>
      </c>
    </row>
    <row r="12" spans="1:7" x14ac:dyDescent="0.25">
      <c r="A12" s="23" t="s">
        <v>87</v>
      </c>
      <c r="C12">
        <v>84.213816066255575</v>
      </c>
      <c r="G12">
        <v>84.213816066255575</v>
      </c>
    </row>
    <row r="13" spans="1:7" x14ac:dyDescent="0.25">
      <c r="A13" s="23" t="s">
        <v>86</v>
      </c>
      <c r="C13">
        <v>55.94220667604246</v>
      </c>
      <c r="G13">
        <v>55.94220667604246</v>
      </c>
    </row>
    <row r="14" spans="1:7" x14ac:dyDescent="0.25">
      <c r="A14" s="23" t="s">
        <v>88</v>
      </c>
      <c r="C14">
        <v>435.5775125311024</v>
      </c>
      <c r="G14">
        <v>435.5775125311024</v>
      </c>
    </row>
    <row r="15" spans="1:7" x14ac:dyDescent="0.25">
      <c r="A15" s="23" t="s">
        <v>76</v>
      </c>
      <c r="B15">
        <v>16.45571141802796</v>
      </c>
      <c r="G15">
        <v>16.45571141802796</v>
      </c>
    </row>
    <row r="16" spans="1:7" x14ac:dyDescent="0.25">
      <c r="A16" s="23" t="s">
        <v>95</v>
      </c>
      <c r="D16">
        <v>193.39367494861347</v>
      </c>
      <c r="G16">
        <v>193.39367494861347</v>
      </c>
    </row>
    <row r="17" spans="1:7" x14ac:dyDescent="0.25">
      <c r="A17" s="23" t="s">
        <v>91</v>
      </c>
      <c r="C17">
        <v>3.6060726263026939</v>
      </c>
      <c r="G17">
        <v>3.6060726263026939</v>
      </c>
    </row>
    <row r="18" spans="1:7" x14ac:dyDescent="0.25">
      <c r="A18" s="23" t="s">
        <v>115</v>
      </c>
      <c r="F18">
        <v>132.87175603716659</v>
      </c>
      <c r="G18">
        <v>132.87175603716659</v>
      </c>
    </row>
    <row r="19" spans="1:7" x14ac:dyDescent="0.25">
      <c r="A19" s="23" t="s">
        <v>117</v>
      </c>
      <c r="F19">
        <v>368.78703737093264</v>
      </c>
      <c r="G19">
        <v>368.78703737093264</v>
      </c>
    </row>
    <row r="20" spans="1:7" x14ac:dyDescent="0.25">
      <c r="A20" s="23" t="s">
        <v>116</v>
      </c>
      <c r="F20">
        <v>86.113014316108334</v>
      </c>
      <c r="G20">
        <v>86.113014316108334</v>
      </c>
    </row>
    <row r="21" spans="1:7" x14ac:dyDescent="0.25">
      <c r="A21" s="23" t="s">
        <v>105</v>
      </c>
      <c r="E21">
        <v>6.5360066351736323</v>
      </c>
      <c r="G21">
        <v>6.5360066351736323</v>
      </c>
    </row>
    <row r="22" spans="1:7" x14ac:dyDescent="0.25">
      <c r="A22" s="23" t="s">
        <v>119</v>
      </c>
      <c r="F22">
        <v>119.75166179846862</v>
      </c>
      <c r="G22">
        <v>119.75166179846862</v>
      </c>
    </row>
    <row r="23" spans="1:7" x14ac:dyDescent="0.25">
      <c r="A23" s="23" t="s">
        <v>80</v>
      </c>
      <c r="B23">
        <v>106.47530441263088</v>
      </c>
      <c r="G23">
        <v>106.47530441263088</v>
      </c>
    </row>
    <row r="24" spans="1:7" x14ac:dyDescent="0.25">
      <c r="A24" s="23" t="s">
        <v>112</v>
      </c>
      <c r="E24">
        <v>12.579183344752563</v>
      </c>
      <c r="G24">
        <v>12.579183344752563</v>
      </c>
    </row>
    <row r="25" spans="1:7" x14ac:dyDescent="0.25">
      <c r="A25" s="23" t="s">
        <v>75</v>
      </c>
      <c r="B25">
        <v>36.06</v>
      </c>
      <c r="G25">
        <v>36.06</v>
      </c>
    </row>
    <row r="26" spans="1:7" x14ac:dyDescent="0.25">
      <c r="A26" s="23" t="s">
        <v>111</v>
      </c>
      <c r="E26">
        <v>18.390970394143739</v>
      </c>
      <c r="G26">
        <v>18.390970394143739</v>
      </c>
    </row>
    <row r="27" spans="1:7" x14ac:dyDescent="0.25">
      <c r="A27" s="23" t="s">
        <v>108</v>
      </c>
      <c r="E27">
        <v>20.332239491303355</v>
      </c>
      <c r="G27">
        <v>20.332239491303355</v>
      </c>
    </row>
    <row r="28" spans="1:7" x14ac:dyDescent="0.25">
      <c r="A28" s="23" t="s">
        <v>78</v>
      </c>
      <c r="B28">
        <v>24.202757443534914</v>
      </c>
      <c r="G28">
        <v>24.202757443534914</v>
      </c>
    </row>
    <row r="29" spans="1:7" x14ac:dyDescent="0.25">
      <c r="A29" s="23" t="s">
        <v>110</v>
      </c>
      <c r="E29">
        <v>9.4959912492637599</v>
      </c>
      <c r="G29">
        <v>9.4959912492637599</v>
      </c>
    </row>
    <row r="30" spans="1:7" x14ac:dyDescent="0.25">
      <c r="A30" s="23" t="s">
        <v>99</v>
      </c>
      <c r="D30">
        <v>93.036673758609496</v>
      </c>
      <c r="G30">
        <v>93.036673758609496</v>
      </c>
    </row>
    <row r="31" spans="1:7" x14ac:dyDescent="0.25">
      <c r="A31" s="23" t="s">
        <v>118</v>
      </c>
      <c r="F31">
        <v>87.549433245585561</v>
      </c>
      <c r="G31">
        <v>87.549433245585561</v>
      </c>
    </row>
    <row r="32" spans="1:7" x14ac:dyDescent="0.25">
      <c r="A32" s="23" t="s">
        <v>84</v>
      </c>
      <c r="C32">
        <v>145.19250417703412</v>
      </c>
      <c r="G32">
        <v>145.19250417703412</v>
      </c>
    </row>
    <row r="33" spans="1:7" x14ac:dyDescent="0.25">
      <c r="A33" s="23" t="s">
        <v>121</v>
      </c>
      <c r="F33">
        <v>33.133797314677921</v>
      </c>
      <c r="G33">
        <v>33.133797314677921</v>
      </c>
    </row>
    <row r="34" spans="1:7" x14ac:dyDescent="0.25">
      <c r="A34" s="23" t="s">
        <v>120</v>
      </c>
      <c r="F34">
        <v>47.708340845984637</v>
      </c>
      <c r="G34">
        <v>47.708340845984637</v>
      </c>
    </row>
    <row r="35" spans="1:7" x14ac:dyDescent="0.25">
      <c r="A35" s="23" t="s">
        <v>97</v>
      </c>
      <c r="D35">
        <v>38.945584364069092</v>
      </c>
      <c r="G35">
        <v>38.945584364069092</v>
      </c>
    </row>
    <row r="36" spans="1:7" x14ac:dyDescent="0.25">
      <c r="A36" s="23" t="s">
        <v>74</v>
      </c>
      <c r="B36">
        <v>45.07590782878367</v>
      </c>
      <c r="G36">
        <v>45.07590782878367</v>
      </c>
    </row>
    <row r="37" spans="1:7" x14ac:dyDescent="0.25">
      <c r="A37" s="23" t="s">
        <v>93</v>
      </c>
      <c r="D37">
        <v>77.891168728138183</v>
      </c>
      <c r="G37">
        <v>77.891168728138183</v>
      </c>
    </row>
    <row r="38" spans="1:7" x14ac:dyDescent="0.25">
      <c r="A38" s="23" t="s">
        <v>106</v>
      </c>
      <c r="E38">
        <v>25.170386931592802</v>
      </c>
      <c r="G38">
        <v>25.170386931592802</v>
      </c>
    </row>
    <row r="39" spans="1:7" x14ac:dyDescent="0.25">
      <c r="A39" s="23" t="s">
        <v>102</v>
      </c>
      <c r="D39">
        <v>365.98031084346042</v>
      </c>
      <c r="G39">
        <v>365.98031084346042</v>
      </c>
    </row>
    <row r="40" spans="1:7" x14ac:dyDescent="0.25">
      <c r="A40" s="23" t="s">
        <v>82</v>
      </c>
      <c r="C40">
        <v>237.14735614775282</v>
      </c>
      <c r="G40">
        <v>237.14735614775282</v>
      </c>
    </row>
    <row r="41" spans="1:7" x14ac:dyDescent="0.25">
      <c r="A41" s="23" t="s">
        <v>96</v>
      </c>
      <c r="D41">
        <v>1254.4805452381811</v>
      </c>
      <c r="G41">
        <v>1254.4805452381811</v>
      </c>
    </row>
    <row r="42" spans="1:7" x14ac:dyDescent="0.25">
      <c r="A42" s="23" t="s">
        <v>72</v>
      </c>
      <c r="B42">
        <v>140.35435673674468</v>
      </c>
      <c r="G42">
        <v>140.35435673674468</v>
      </c>
    </row>
    <row r="43" spans="1:7" x14ac:dyDescent="0.25">
      <c r="A43" s="23" t="s">
        <v>428</v>
      </c>
      <c r="B43">
        <v>61.437339639953684</v>
      </c>
      <c r="C43">
        <v>183.12613441034702</v>
      </c>
      <c r="D43">
        <v>288.16326694152951</v>
      </c>
      <c r="E43">
        <v>13.081779717043501</v>
      </c>
      <c r="F43">
        <v>125.13072013270346</v>
      </c>
      <c r="G43">
        <v>142.30715248056677</v>
      </c>
    </row>
  </sheetData>
  <autoFilter ref="A5:G43" xr:uid="{CADEF19A-A967-4DE0-8094-6D553F4BD8C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65BF-CA8F-4235-910D-123007948476}">
  <sheetPr codeName="Hoja7"/>
  <dimension ref="A1:O138"/>
  <sheetViews>
    <sheetView topLeftCell="A18" workbookViewId="0">
      <selection sqref="A1:E39"/>
    </sheetView>
  </sheetViews>
  <sheetFormatPr baseColWidth="10" defaultRowHeight="15" x14ac:dyDescent="0.25"/>
  <cols>
    <col min="1" max="1" width="13.5703125" bestFit="1" customWidth="1"/>
    <col min="2" max="2" width="22.140625" customWidth="1"/>
    <col min="3" max="3" width="11.85546875" bestFit="1" customWidth="1"/>
    <col min="4" max="4" width="18.85546875" customWidth="1"/>
    <col min="5" max="5" width="12.7109375" bestFit="1" customWidth="1"/>
    <col min="6" max="6" width="18.85546875" customWidth="1"/>
    <col min="7" max="7" width="15.42578125" bestFit="1" customWidth="1"/>
    <col min="8" max="8" width="11.85546875" bestFit="1" customWidth="1"/>
    <col min="9" max="9" width="12" bestFit="1" customWidth="1"/>
    <col min="10" max="10" width="13.42578125" customWidth="1"/>
    <col min="11" max="11" width="20.140625" bestFit="1" customWidth="1"/>
    <col min="12" max="12" width="11.85546875" bestFit="1" customWidth="1"/>
    <col min="13" max="13" width="13.5703125" bestFit="1" customWidth="1"/>
  </cols>
  <sheetData>
    <row r="1" spans="1:14" ht="15.75" x14ac:dyDescent="0.25">
      <c r="A1" s="52" t="s">
        <v>62</v>
      </c>
      <c r="B1" s="53" t="s">
        <v>63</v>
      </c>
      <c r="C1" s="53" t="s">
        <v>64</v>
      </c>
      <c r="D1" s="54" t="s">
        <v>65</v>
      </c>
      <c r="E1" s="53" t="s">
        <v>66</v>
      </c>
      <c r="F1" s="55" t="s">
        <v>150</v>
      </c>
      <c r="H1" s="3">
        <v>0.21</v>
      </c>
    </row>
    <row r="2" spans="1:14" ht="15.75" x14ac:dyDescent="0.25">
      <c r="A2" s="51" t="s">
        <v>71</v>
      </c>
      <c r="B2" s="16" t="s">
        <v>72</v>
      </c>
      <c r="C2" s="17">
        <v>43492</v>
      </c>
      <c r="D2" s="18" t="s">
        <v>73</v>
      </c>
      <c r="E2" s="19">
        <v>140.35435673674468</v>
      </c>
      <c r="F2" s="56">
        <f t="shared" ref="F2:F11" si="0">E2+(E2*H$1)</f>
        <v>169.82877165146107</v>
      </c>
    </row>
    <row r="3" spans="1:14" ht="15.75" x14ac:dyDescent="0.25">
      <c r="A3" s="51" t="s">
        <v>71</v>
      </c>
      <c r="B3" s="16" t="s">
        <v>74</v>
      </c>
      <c r="C3" s="17">
        <v>43458</v>
      </c>
      <c r="D3" s="18" t="s">
        <v>73</v>
      </c>
      <c r="E3" s="19">
        <v>45.07590782878367</v>
      </c>
      <c r="F3" s="56">
        <f t="shared" si="0"/>
        <v>54.541848472828242</v>
      </c>
      <c r="H3" s="20"/>
      <c r="J3" s="15" t="s">
        <v>67</v>
      </c>
      <c r="K3" s="15" t="s">
        <v>68</v>
      </c>
      <c r="L3" s="15" t="s">
        <v>69</v>
      </c>
      <c r="M3" s="15" t="s">
        <v>70</v>
      </c>
    </row>
    <row r="4" spans="1:14" ht="15.75" x14ac:dyDescent="0.25">
      <c r="A4" s="51" t="s">
        <v>71</v>
      </c>
      <c r="B4" s="16" t="s">
        <v>75</v>
      </c>
      <c r="C4" s="17">
        <v>43480</v>
      </c>
      <c r="D4" s="18" t="s">
        <v>73</v>
      </c>
      <c r="E4" s="19">
        <v>36.06</v>
      </c>
      <c r="F4" s="56">
        <f t="shared" si="0"/>
        <v>43.632600000000004</v>
      </c>
      <c r="J4" s="20">
        <f>SUM(E2:E39)</f>
        <v>5407.671794261536</v>
      </c>
      <c r="K4" s="21">
        <f>AVERAGE(E2:E39)</f>
        <v>142.30715248056674</v>
      </c>
      <c r="L4" s="20">
        <f>MAX(E2:E39)</f>
        <v>1254.4805452381811</v>
      </c>
      <c r="M4" s="20">
        <f>MIN(E2:E39)</f>
        <v>3.6060726263026939</v>
      </c>
    </row>
    <row r="5" spans="1:14" ht="15.75" x14ac:dyDescent="0.25">
      <c r="A5" s="51" t="s">
        <v>71</v>
      </c>
      <c r="B5" s="16" t="s">
        <v>76</v>
      </c>
      <c r="C5" s="17">
        <v>43232</v>
      </c>
      <c r="D5" s="18" t="s">
        <v>77</v>
      </c>
      <c r="E5" s="19">
        <v>16.45571141802796</v>
      </c>
      <c r="F5" s="56">
        <f t="shared" si="0"/>
        <v>19.911410815813831</v>
      </c>
    </row>
    <row r="6" spans="1:14" ht="15.75" x14ac:dyDescent="0.25">
      <c r="A6" s="51" t="s">
        <v>71</v>
      </c>
      <c r="B6" s="16" t="s">
        <v>78</v>
      </c>
      <c r="C6" s="17">
        <v>43470</v>
      </c>
      <c r="D6" s="18" t="s">
        <v>79</v>
      </c>
      <c r="E6" s="19">
        <v>24.202757443534914</v>
      </c>
      <c r="F6" s="56">
        <f t="shared" si="0"/>
        <v>29.285336506677247</v>
      </c>
    </row>
    <row r="7" spans="1:14" ht="15.75" x14ac:dyDescent="0.25">
      <c r="A7" s="51" t="s">
        <v>71</v>
      </c>
      <c r="B7" s="16" t="s">
        <v>80</v>
      </c>
      <c r="C7" s="17">
        <v>43427</v>
      </c>
      <c r="D7" s="18" t="s">
        <v>73</v>
      </c>
      <c r="E7" s="19">
        <v>106.47530441263088</v>
      </c>
      <c r="F7" s="56">
        <f t="shared" si="0"/>
        <v>128.83511833928335</v>
      </c>
    </row>
    <row r="8" spans="1:14" ht="15.75" x14ac:dyDescent="0.25">
      <c r="A8" s="51" t="s">
        <v>81</v>
      </c>
      <c r="B8" s="16" t="s">
        <v>82</v>
      </c>
      <c r="C8" s="17">
        <v>43396</v>
      </c>
      <c r="D8" s="18" t="s">
        <v>83</v>
      </c>
      <c r="E8" s="19">
        <v>237.14735614775282</v>
      </c>
      <c r="F8" s="56">
        <f t="shared" si="0"/>
        <v>286.9483009387809</v>
      </c>
    </row>
    <row r="9" spans="1:14" ht="15.75" x14ac:dyDescent="0.25">
      <c r="A9" s="51" t="s">
        <v>81</v>
      </c>
      <c r="B9" s="16" t="s">
        <v>84</v>
      </c>
      <c r="C9" s="17">
        <v>43353</v>
      </c>
      <c r="D9" s="18" t="s">
        <v>85</v>
      </c>
      <c r="E9" s="19">
        <v>145.19250417703412</v>
      </c>
      <c r="F9" s="56">
        <f t="shared" si="0"/>
        <v>175.68293005421128</v>
      </c>
    </row>
    <row r="10" spans="1:14" ht="15.75" x14ac:dyDescent="0.25">
      <c r="A10" s="51" t="s">
        <v>81</v>
      </c>
      <c r="B10" s="16" t="s">
        <v>86</v>
      </c>
      <c r="C10" s="17">
        <v>43472</v>
      </c>
      <c r="D10" s="18" t="s">
        <v>79</v>
      </c>
      <c r="E10" s="19">
        <v>55.94220667604246</v>
      </c>
      <c r="F10" s="56">
        <f t="shared" si="0"/>
        <v>67.690070078011374</v>
      </c>
      <c r="J10" s="13" t="s">
        <v>62</v>
      </c>
      <c r="K10" s="13" t="s">
        <v>63</v>
      </c>
      <c r="L10" s="13" t="s">
        <v>64</v>
      </c>
      <c r="M10" s="14" t="s">
        <v>65</v>
      </c>
      <c r="N10" s="13" t="s">
        <v>66</v>
      </c>
    </row>
    <row r="11" spans="1:14" ht="15.75" x14ac:dyDescent="0.25">
      <c r="A11" s="51" t="s">
        <v>81</v>
      </c>
      <c r="B11" s="16" t="s">
        <v>87</v>
      </c>
      <c r="C11" s="17">
        <v>43454</v>
      </c>
      <c r="D11" s="18" t="s">
        <v>73</v>
      </c>
      <c r="E11" s="19">
        <v>84.213816066255575</v>
      </c>
      <c r="F11" s="56">
        <f t="shared" si="0"/>
        <v>101.89871744016925</v>
      </c>
      <c r="M11" t="s">
        <v>73</v>
      </c>
    </row>
    <row r="12" spans="1:14" ht="15.75" x14ac:dyDescent="0.25">
      <c r="A12" s="51" t="s">
        <v>81</v>
      </c>
      <c r="B12" s="16" t="s">
        <v>88</v>
      </c>
      <c r="C12" s="17">
        <v>43352</v>
      </c>
      <c r="D12" s="18" t="s">
        <v>83</v>
      </c>
      <c r="E12" s="19">
        <v>435.5775125311024</v>
      </c>
      <c r="F12" s="57" t="e">
        <f>E12+(E12*H12)</f>
        <v>#VALUE!</v>
      </c>
      <c r="H12" t="s">
        <v>151</v>
      </c>
    </row>
    <row r="13" spans="1:14" ht="15.75" x14ac:dyDescent="0.25">
      <c r="A13" s="51" t="s">
        <v>81</v>
      </c>
      <c r="B13" s="16" t="s">
        <v>89</v>
      </c>
      <c r="C13" s="17">
        <v>43479</v>
      </c>
      <c r="D13" s="18" t="s">
        <v>83</v>
      </c>
      <c r="E13" s="19">
        <v>203.268303823639</v>
      </c>
      <c r="F13" s="56">
        <f t="shared" ref="F13:F39" si="1">E13+(E13*H$1)</f>
        <v>245.95464762660319</v>
      </c>
      <c r="J13" s="30"/>
    </row>
    <row r="14" spans="1:14" ht="15.75" x14ac:dyDescent="0.25">
      <c r="A14" s="51" t="s">
        <v>81</v>
      </c>
      <c r="B14" s="16" t="s">
        <v>90</v>
      </c>
      <c r="C14" s="17">
        <v>43494</v>
      </c>
      <c r="D14" s="18" t="s">
        <v>85</v>
      </c>
      <c r="E14" s="19">
        <v>300.06130323464714</v>
      </c>
      <c r="F14" s="56">
        <f t="shared" si="1"/>
        <v>363.07417691392305</v>
      </c>
    </row>
    <row r="15" spans="1:14" ht="15.75" x14ac:dyDescent="0.25">
      <c r="A15" s="51" t="s">
        <v>81</v>
      </c>
      <c r="B15" s="16" t="s">
        <v>91</v>
      </c>
      <c r="C15" s="17">
        <v>43468</v>
      </c>
      <c r="D15" s="18" t="s">
        <v>79</v>
      </c>
      <c r="E15" s="19">
        <v>3.6060726263026939</v>
      </c>
      <c r="F15" s="56">
        <f t="shared" si="1"/>
        <v>4.3633478778262598</v>
      </c>
      <c r="H15" t="s">
        <v>425</v>
      </c>
    </row>
    <row r="16" spans="1:14" ht="15.75" x14ac:dyDescent="0.25">
      <c r="A16" s="51" t="s">
        <v>92</v>
      </c>
      <c r="B16" s="16" t="s">
        <v>93</v>
      </c>
      <c r="C16" s="17">
        <v>43357</v>
      </c>
      <c r="D16" s="18" t="s">
        <v>94</v>
      </c>
      <c r="E16" s="19">
        <v>77.891168728138183</v>
      </c>
      <c r="F16" s="56">
        <f t="shared" si="1"/>
        <v>94.248314161047205</v>
      </c>
    </row>
    <row r="17" spans="1:11" ht="15.75" x14ac:dyDescent="0.25">
      <c r="A17" s="51" t="s">
        <v>92</v>
      </c>
      <c r="B17" s="16" t="s">
        <v>95</v>
      </c>
      <c r="C17" s="17">
        <v>43328</v>
      </c>
      <c r="D17" s="18" t="s">
        <v>94</v>
      </c>
      <c r="E17" s="19">
        <v>193.39367494861347</v>
      </c>
      <c r="F17" s="56">
        <f t="shared" si="1"/>
        <v>234.00634668782229</v>
      </c>
    </row>
    <row r="18" spans="1:11" ht="15.75" x14ac:dyDescent="0.25">
      <c r="A18" s="51" t="s">
        <v>92</v>
      </c>
      <c r="B18" s="16" t="s">
        <v>96</v>
      </c>
      <c r="C18" s="17">
        <v>43284</v>
      </c>
      <c r="D18" s="18" t="s">
        <v>77</v>
      </c>
      <c r="E18" s="19">
        <v>1254.4805452381811</v>
      </c>
      <c r="F18" s="56">
        <f t="shared" si="1"/>
        <v>1517.9214597381992</v>
      </c>
      <c r="J18" s="63" t="s">
        <v>62</v>
      </c>
      <c r="K18" s="63" t="s">
        <v>63</v>
      </c>
    </row>
    <row r="19" spans="1:11" ht="15.75" x14ac:dyDescent="0.25">
      <c r="A19" s="51" t="s">
        <v>92</v>
      </c>
      <c r="B19" s="16" t="s">
        <v>97</v>
      </c>
      <c r="C19" s="17">
        <v>43469</v>
      </c>
      <c r="D19" s="18" t="s">
        <v>98</v>
      </c>
      <c r="E19" s="19">
        <v>38.945584364069092</v>
      </c>
      <c r="F19" s="56">
        <f t="shared" si="1"/>
        <v>47.124157080523602</v>
      </c>
      <c r="J19" s="51" t="s">
        <v>81</v>
      </c>
      <c r="K19" s="16" t="s">
        <v>82</v>
      </c>
    </row>
    <row r="20" spans="1:11" ht="15.75" x14ac:dyDescent="0.25">
      <c r="A20" s="51" t="s">
        <v>92</v>
      </c>
      <c r="B20" s="16" t="s">
        <v>99</v>
      </c>
      <c r="C20" s="17">
        <v>43486</v>
      </c>
      <c r="D20" s="18" t="s">
        <v>85</v>
      </c>
      <c r="E20" s="19">
        <v>93.036673758609496</v>
      </c>
      <c r="F20" s="56">
        <f t="shared" si="1"/>
        <v>112.57437524791749</v>
      </c>
      <c r="J20" s="51" t="s">
        <v>81</v>
      </c>
      <c r="K20" s="16" t="s">
        <v>84</v>
      </c>
    </row>
    <row r="21" spans="1:11" ht="15.75" x14ac:dyDescent="0.25">
      <c r="A21" s="51" t="s">
        <v>92</v>
      </c>
      <c r="B21" s="16" t="s">
        <v>100</v>
      </c>
      <c r="C21" s="17">
        <v>43481</v>
      </c>
      <c r="D21" s="18" t="s">
        <v>77</v>
      </c>
      <c r="E21" s="19">
        <v>62.727633334535362</v>
      </c>
      <c r="F21" s="56">
        <f t="shared" si="1"/>
        <v>75.900436334787784</v>
      </c>
      <c r="J21" s="51" t="s">
        <v>81</v>
      </c>
      <c r="K21" s="16" t="s">
        <v>88</v>
      </c>
    </row>
    <row r="22" spans="1:11" ht="15.75" x14ac:dyDescent="0.25">
      <c r="A22" s="51" t="s">
        <v>92</v>
      </c>
      <c r="B22" s="16" t="s">
        <v>101</v>
      </c>
      <c r="C22" s="17">
        <v>43442</v>
      </c>
      <c r="D22" s="18" t="s">
        <v>79</v>
      </c>
      <c r="E22" s="19">
        <v>36.595627035928501</v>
      </c>
      <c r="F22" s="56">
        <f t="shared" si="1"/>
        <v>44.280708713473487</v>
      </c>
      <c r="I22" t="b">
        <f>E2&gt;AVERAGE(E:E)</f>
        <v>0</v>
      </c>
      <c r="J22" s="51" t="s">
        <v>81</v>
      </c>
      <c r="K22" s="16" t="s">
        <v>89</v>
      </c>
    </row>
    <row r="23" spans="1:11" ht="15.75" x14ac:dyDescent="0.25">
      <c r="A23" s="51" t="s">
        <v>92</v>
      </c>
      <c r="B23" s="16" t="s">
        <v>102</v>
      </c>
      <c r="C23" s="17">
        <v>43446</v>
      </c>
      <c r="D23" s="18" t="s">
        <v>94</v>
      </c>
      <c r="E23" s="19">
        <v>365.98031084346042</v>
      </c>
      <c r="F23" s="56">
        <f t="shared" si="1"/>
        <v>442.83617612058708</v>
      </c>
      <c r="J23" s="51" t="s">
        <v>81</v>
      </c>
      <c r="K23" s="16" t="s">
        <v>90</v>
      </c>
    </row>
    <row r="24" spans="1:11" ht="15.75" x14ac:dyDescent="0.25">
      <c r="A24" s="51" t="s">
        <v>92</v>
      </c>
      <c r="B24" s="16" t="s">
        <v>103</v>
      </c>
      <c r="C24" s="17">
        <v>43411</v>
      </c>
      <c r="D24" s="18" t="s">
        <v>94</v>
      </c>
      <c r="E24" s="19">
        <v>470.41818422223025</v>
      </c>
      <c r="F24" s="56">
        <f t="shared" si="1"/>
        <v>569.20600290889865</v>
      </c>
      <c r="J24" s="51" t="s">
        <v>92</v>
      </c>
      <c r="K24" s="16" t="s">
        <v>95</v>
      </c>
    </row>
    <row r="25" spans="1:11" ht="15.75" x14ac:dyDescent="0.25">
      <c r="A25" s="51" t="s">
        <v>104</v>
      </c>
      <c r="B25" s="16" t="s">
        <v>105</v>
      </c>
      <c r="C25" s="17">
        <v>43378</v>
      </c>
      <c r="D25" s="18" t="s">
        <v>79</v>
      </c>
      <c r="E25" s="19">
        <v>5.5233012392869592</v>
      </c>
      <c r="F25" s="56">
        <f t="shared" si="1"/>
        <v>6.6831944995372208</v>
      </c>
      <c r="J25" s="51" t="s">
        <v>92</v>
      </c>
      <c r="K25" s="16" t="s">
        <v>96</v>
      </c>
    </row>
    <row r="26" spans="1:11" ht="15.75" x14ac:dyDescent="0.25">
      <c r="A26" s="51" t="s">
        <v>104</v>
      </c>
      <c r="B26" s="16" t="s">
        <v>106</v>
      </c>
      <c r="C26" s="17">
        <v>43401</v>
      </c>
      <c r="D26" s="18" t="s">
        <v>107</v>
      </c>
      <c r="E26" s="19">
        <v>25.170386931592802</v>
      </c>
      <c r="F26" s="56">
        <f t="shared" si="1"/>
        <v>30.456168187227291</v>
      </c>
      <c r="I26">
        <f>AVERAGE(E:E)</f>
        <v>149.35145508898074</v>
      </c>
      <c r="J26" s="51" t="s">
        <v>92</v>
      </c>
      <c r="K26" s="16" t="s">
        <v>102</v>
      </c>
    </row>
    <row r="27" spans="1:11" ht="15.75" x14ac:dyDescent="0.25">
      <c r="A27" s="51" t="s">
        <v>104</v>
      </c>
      <c r="B27" s="16" t="s">
        <v>108</v>
      </c>
      <c r="C27" s="17">
        <v>43480</v>
      </c>
      <c r="D27" s="18" t="s">
        <v>94</v>
      </c>
      <c r="E27" s="19">
        <v>20.332239491303355</v>
      </c>
      <c r="F27" s="56">
        <f t="shared" si="1"/>
        <v>24.602009784477058</v>
      </c>
      <c r="J27" s="51" t="s">
        <v>92</v>
      </c>
      <c r="K27" s="16" t="s">
        <v>103</v>
      </c>
    </row>
    <row r="28" spans="1:11" ht="15.75" x14ac:dyDescent="0.25">
      <c r="A28" s="51" t="s">
        <v>104</v>
      </c>
      <c r="B28" s="16" t="s">
        <v>109</v>
      </c>
      <c r="C28" s="17">
        <v>43491</v>
      </c>
      <c r="D28" s="18" t="s">
        <v>83</v>
      </c>
      <c r="E28" s="19">
        <v>5.613453054944527</v>
      </c>
      <c r="F28" s="56">
        <f t="shared" si="1"/>
        <v>6.7922781964828776</v>
      </c>
      <c r="J28" s="51" t="s">
        <v>114</v>
      </c>
      <c r="K28" s="16" t="s">
        <v>117</v>
      </c>
    </row>
    <row r="29" spans="1:11" ht="15.75" x14ac:dyDescent="0.25">
      <c r="A29" s="51" t="s">
        <v>104</v>
      </c>
      <c r="B29" s="16" t="s">
        <v>110</v>
      </c>
      <c r="C29" s="17">
        <v>43390</v>
      </c>
      <c r="D29" s="18" t="s">
        <v>79</v>
      </c>
      <c r="E29" s="19">
        <v>9.4959912492637599</v>
      </c>
      <c r="F29" s="56">
        <f t="shared" si="1"/>
        <v>11.490149411609149</v>
      </c>
    </row>
    <row r="30" spans="1:11" ht="15.75" x14ac:dyDescent="0.25">
      <c r="A30" s="51" t="s">
        <v>104</v>
      </c>
      <c r="B30" s="16" t="s">
        <v>105</v>
      </c>
      <c r="C30" s="17">
        <v>43483</v>
      </c>
      <c r="D30" s="18" t="s">
        <v>107</v>
      </c>
      <c r="E30" s="19">
        <v>7.5487120310603055</v>
      </c>
      <c r="F30" s="56">
        <f t="shared" si="1"/>
        <v>9.1339415575829701</v>
      </c>
      <c r="H30">
        <f>I37</f>
        <v>0</v>
      </c>
    </row>
    <row r="31" spans="1:11" ht="15.75" x14ac:dyDescent="0.25">
      <c r="A31" s="51" t="s">
        <v>104</v>
      </c>
      <c r="B31" s="16" t="s">
        <v>111</v>
      </c>
      <c r="C31" s="17">
        <v>43423</v>
      </c>
      <c r="D31" s="18" t="s">
        <v>79</v>
      </c>
      <c r="E31" s="19">
        <v>18.390970394143739</v>
      </c>
      <c r="F31" s="56">
        <f t="shared" si="1"/>
        <v>22.253074176913923</v>
      </c>
    </row>
    <row r="32" spans="1:11" ht="15.75" x14ac:dyDescent="0.25">
      <c r="A32" s="51" t="s">
        <v>104</v>
      </c>
      <c r="B32" s="16" t="s">
        <v>112</v>
      </c>
      <c r="C32" s="17">
        <v>43410</v>
      </c>
      <c r="D32" s="18" t="s">
        <v>113</v>
      </c>
      <c r="E32" s="19">
        <v>12.579183344752563</v>
      </c>
      <c r="F32" s="56">
        <f t="shared" si="1"/>
        <v>15.220811847150602</v>
      </c>
    </row>
    <row r="33" spans="1:15" ht="15.75" x14ac:dyDescent="0.25">
      <c r="A33" s="51" t="s">
        <v>114</v>
      </c>
      <c r="B33" s="16" t="s">
        <v>115</v>
      </c>
      <c r="C33" s="17">
        <v>43441</v>
      </c>
      <c r="D33" s="18" t="s">
        <v>85</v>
      </c>
      <c r="E33" s="19">
        <v>132.87175603716659</v>
      </c>
      <c r="F33" s="56">
        <f t="shared" si="1"/>
        <v>160.77482480497156</v>
      </c>
      <c r="J33" s="63" t="s">
        <v>62</v>
      </c>
      <c r="K33" s="63" t="s">
        <v>63</v>
      </c>
      <c r="L33" s="63" t="s">
        <v>64</v>
      </c>
      <c r="M33" s="64" t="s">
        <v>65</v>
      </c>
      <c r="N33" s="63" t="s">
        <v>66</v>
      </c>
      <c r="O33" s="63" t="s">
        <v>150</v>
      </c>
    </row>
    <row r="34" spans="1:15" ht="15.75" x14ac:dyDescent="0.25">
      <c r="A34" s="51" t="s">
        <v>114</v>
      </c>
      <c r="B34" s="16" t="s">
        <v>116</v>
      </c>
      <c r="C34" s="17">
        <v>43448</v>
      </c>
      <c r="D34" s="18" t="s">
        <v>77</v>
      </c>
      <c r="E34" s="19">
        <v>86.113014316108334</v>
      </c>
      <c r="F34" s="56">
        <f t="shared" si="1"/>
        <v>104.19674732249109</v>
      </c>
      <c r="J34" s="51" t="s">
        <v>71</v>
      </c>
      <c r="K34" s="16" t="s">
        <v>72</v>
      </c>
      <c r="L34" s="17">
        <v>43492</v>
      </c>
      <c r="M34" s="18" t="s">
        <v>73</v>
      </c>
      <c r="N34" s="19">
        <v>140.35435673674468</v>
      </c>
      <c r="O34" s="56">
        <v>169.82877165146107</v>
      </c>
    </row>
    <row r="35" spans="1:15" ht="15.75" x14ac:dyDescent="0.25">
      <c r="A35" s="51" t="s">
        <v>114</v>
      </c>
      <c r="B35" s="16" t="s">
        <v>117</v>
      </c>
      <c r="C35" s="17">
        <v>43484</v>
      </c>
      <c r="D35" s="18" t="s">
        <v>94</v>
      </c>
      <c r="E35" s="19">
        <v>368.78703737093264</v>
      </c>
      <c r="F35" s="56">
        <f t="shared" si="1"/>
        <v>446.23231521882849</v>
      </c>
      <c r="J35" s="51" t="s">
        <v>71</v>
      </c>
      <c r="K35" s="16" t="s">
        <v>74</v>
      </c>
      <c r="L35" s="17">
        <v>43458</v>
      </c>
      <c r="M35" s="18" t="s">
        <v>73</v>
      </c>
      <c r="N35" s="19">
        <v>45.07590782878367</v>
      </c>
      <c r="O35" s="56">
        <v>54.541848472828242</v>
      </c>
    </row>
    <row r="36" spans="1:15" ht="15.75" x14ac:dyDescent="0.25">
      <c r="A36" s="51" t="s">
        <v>114</v>
      </c>
      <c r="B36" s="16" t="s">
        <v>118</v>
      </c>
      <c r="C36" s="17">
        <v>43387</v>
      </c>
      <c r="D36" s="18" t="s">
        <v>79</v>
      </c>
      <c r="E36" s="19">
        <v>87.549433245585561</v>
      </c>
      <c r="F36" s="56">
        <f t="shared" si="1"/>
        <v>105.93481422715853</v>
      </c>
      <c r="J36" s="51" t="s">
        <v>71</v>
      </c>
      <c r="K36" s="16" t="s">
        <v>75</v>
      </c>
      <c r="L36" s="17">
        <v>43480</v>
      </c>
      <c r="M36" s="18" t="s">
        <v>73</v>
      </c>
      <c r="N36" s="19">
        <v>36.06</v>
      </c>
      <c r="O36" s="56">
        <v>43.632600000000004</v>
      </c>
    </row>
    <row r="37" spans="1:15" ht="15.75" x14ac:dyDescent="0.25">
      <c r="A37" s="51" t="s">
        <v>114</v>
      </c>
      <c r="B37" s="16" t="s">
        <v>119</v>
      </c>
      <c r="C37" s="17">
        <v>43382</v>
      </c>
      <c r="D37" s="18" t="s">
        <v>77</v>
      </c>
      <c r="E37" s="19">
        <v>119.75166179846862</v>
      </c>
      <c r="F37" s="56">
        <f t="shared" si="1"/>
        <v>144.89951077614703</v>
      </c>
      <c r="J37" s="51" t="s">
        <v>71</v>
      </c>
      <c r="K37" s="16" t="s">
        <v>76</v>
      </c>
      <c r="L37" s="17">
        <v>43232</v>
      </c>
      <c r="M37" s="18" t="s">
        <v>77</v>
      </c>
      <c r="N37" s="19">
        <v>16.45571141802796</v>
      </c>
      <c r="O37" s="56">
        <v>19.911410815813831</v>
      </c>
    </row>
    <row r="38" spans="1:15" ht="15.75" x14ac:dyDescent="0.25">
      <c r="A38" s="51" t="s">
        <v>114</v>
      </c>
      <c r="B38" s="16" t="s">
        <v>120</v>
      </c>
      <c r="C38" s="17">
        <v>43317</v>
      </c>
      <c r="D38" s="18" t="s">
        <v>79</v>
      </c>
      <c r="E38" s="19">
        <v>47.708340845984637</v>
      </c>
      <c r="F38" s="56">
        <f t="shared" si="1"/>
        <v>57.727092423641409</v>
      </c>
      <c r="J38" s="51" t="s">
        <v>71</v>
      </c>
      <c r="K38" s="16" t="s">
        <v>78</v>
      </c>
      <c r="L38" s="17">
        <v>43470</v>
      </c>
      <c r="M38" s="18" t="s">
        <v>79</v>
      </c>
      <c r="N38" s="19">
        <v>24.202757443534914</v>
      </c>
      <c r="O38" s="56">
        <v>29.285336506677247</v>
      </c>
    </row>
    <row r="39" spans="1:15" ht="15.75" x14ac:dyDescent="0.25">
      <c r="A39" s="58" t="s">
        <v>114</v>
      </c>
      <c r="B39" s="59" t="s">
        <v>121</v>
      </c>
      <c r="C39" s="60">
        <v>43257</v>
      </c>
      <c r="D39" s="59" t="s">
        <v>122</v>
      </c>
      <c r="E39" s="61">
        <v>33.133797314677921</v>
      </c>
      <c r="F39" s="62">
        <f t="shared" si="1"/>
        <v>40.091894750760282</v>
      </c>
      <c r="J39" s="51" t="s">
        <v>71</v>
      </c>
      <c r="K39" s="16" t="s">
        <v>80</v>
      </c>
      <c r="L39" s="17">
        <v>43427</v>
      </c>
      <c r="M39" s="18" t="s">
        <v>73</v>
      </c>
      <c r="N39" s="19">
        <v>106.47530441263088</v>
      </c>
      <c r="O39" s="56">
        <v>128.83511833928335</v>
      </c>
    </row>
    <row r="40" spans="1:15" ht="15.75" x14ac:dyDescent="0.25">
      <c r="F40" s="21"/>
      <c r="J40" s="51" t="s">
        <v>81</v>
      </c>
      <c r="K40" s="16" t="s">
        <v>86</v>
      </c>
      <c r="L40" s="17">
        <v>43472</v>
      </c>
      <c r="M40" s="18" t="s">
        <v>79</v>
      </c>
      <c r="N40" s="19">
        <v>55.94220667604246</v>
      </c>
      <c r="O40" s="56">
        <v>67.690070078011374</v>
      </c>
    </row>
    <row r="41" spans="1:15" ht="15.75" x14ac:dyDescent="0.25">
      <c r="E41">
        <f>AVERAGE(Tabla2[[PRECIO ]])</f>
        <v>142.30715248056674</v>
      </c>
      <c r="F41" s="21">
        <f>_xlfn.AGGREGATE(9,6,F2:F39)</f>
        <v>6016.234080893827</v>
      </c>
      <c r="J41" s="51" t="s">
        <v>81</v>
      </c>
      <c r="K41" s="16" t="s">
        <v>87</v>
      </c>
      <c r="L41" s="17">
        <v>43454</v>
      </c>
      <c r="M41" s="18" t="s">
        <v>73</v>
      </c>
      <c r="N41" s="19">
        <v>84.213816066255575</v>
      </c>
      <c r="O41" s="56">
        <v>101.89871744016925</v>
      </c>
    </row>
    <row r="42" spans="1:15" ht="15.75" x14ac:dyDescent="0.25">
      <c r="J42" s="51" t="s">
        <v>81</v>
      </c>
      <c r="K42" s="16" t="s">
        <v>91</v>
      </c>
      <c r="L42" s="17">
        <v>43468</v>
      </c>
      <c r="M42" s="18" t="s">
        <v>79</v>
      </c>
      <c r="N42" s="19">
        <v>3.6060726263026939</v>
      </c>
      <c r="O42" s="56">
        <v>4.3633478778262598</v>
      </c>
    </row>
    <row r="43" spans="1:15" ht="15.75" x14ac:dyDescent="0.25">
      <c r="B43" s="128" t="s">
        <v>426</v>
      </c>
      <c r="C43" s="128"/>
      <c r="D43" s="128"/>
      <c r="E43" s="128"/>
      <c r="J43" s="51" t="s">
        <v>92</v>
      </c>
      <c r="K43" s="16" t="s">
        <v>93</v>
      </c>
      <c r="L43" s="17">
        <v>43357</v>
      </c>
      <c r="M43" s="18" t="s">
        <v>94</v>
      </c>
      <c r="N43" s="19">
        <v>77.891168728138183</v>
      </c>
      <c r="O43" s="56">
        <v>94.248314161047205</v>
      </c>
    </row>
    <row r="44" spans="1:15" ht="15.75" x14ac:dyDescent="0.25">
      <c r="C44" t="s">
        <v>64</v>
      </c>
      <c r="D44" t="s">
        <v>65</v>
      </c>
      <c r="E44" t="s">
        <v>66</v>
      </c>
      <c r="J44" s="51" t="s">
        <v>92</v>
      </c>
      <c r="K44" s="16" t="s">
        <v>97</v>
      </c>
      <c r="L44" s="17">
        <v>43469</v>
      </c>
      <c r="M44" s="18" t="s">
        <v>98</v>
      </c>
      <c r="N44" s="19">
        <v>38.945584364069092</v>
      </c>
      <c r="O44" s="56">
        <v>47.124157080523602</v>
      </c>
    </row>
    <row r="45" spans="1:15" ht="15.75" x14ac:dyDescent="0.25">
      <c r="B45" t="s">
        <v>72</v>
      </c>
      <c r="C45" s="50">
        <v>43492</v>
      </c>
      <c r="E45" s="20">
        <v>140.35435673674468</v>
      </c>
      <c r="J45" s="51" t="s">
        <v>92</v>
      </c>
      <c r="K45" s="16" t="s">
        <v>99</v>
      </c>
      <c r="L45" s="17">
        <v>43486</v>
      </c>
      <c r="M45" s="18" t="s">
        <v>85</v>
      </c>
      <c r="N45" s="19">
        <v>93.036673758609496</v>
      </c>
      <c r="O45" s="56">
        <v>112.57437524791749</v>
      </c>
    </row>
    <row r="46" spans="1:15" ht="15.75" x14ac:dyDescent="0.25">
      <c r="B46" t="s">
        <v>74</v>
      </c>
      <c r="C46" s="50">
        <v>43458</v>
      </c>
      <c r="E46" s="20">
        <v>45.07590782878367</v>
      </c>
      <c r="J46" s="51" t="s">
        <v>92</v>
      </c>
      <c r="K46" s="16" t="s">
        <v>100</v>
      </c>
      <c r="L46" s="17">
        <v>43481</v>
      </c>
      <c r="M46" s="18" t="s">
        <v>77</v>
      </c>
      <c r="N46" s="19">
        <v>62.727633334535362</v>
      </c>
      <c r="O46" s="56">
        <v>75.900436334787784</v>
      </c>
    </row>
    <row r="47" spans="1:15" ht="15.75" x14ac:dyDescent="0.25">
      <c r="B47" t="s">
        <v>75</v>
      </c>
      <c r="C47" s="50">
        <v>43480</v>
      </c>
      <c r="E47" s="20">
        <v>36.06</v>
      </c>
      <c r="J47" s="51" t="s">
        <v>92</v>
      </c>
      <c r="K47" s="16" t="s">
        <v>101</v>
      </c>
      <c r="L47" s="17">
        <v>43442</v>
      </c>
      <c r="M47" s="18" t="s">
        <v>79</v>
      </c>
      <c r="N47" s="19">
        <v>36.595627035928501</v>
      </c>
      <c r="O47" s="56">
        <v>44.280708713473487</v>
      </c>
    </row>
    <row r="48" spans="1:15" ht="15.75" x14ac:dyDescent="0.25">
      <c r="B48" t="s">
        <v>76</v>
      </c>
      <c r="C48" s="50">
        <v>43232</v>
      </c>
      <c r="E48" s="20">
        <v>16.45571141802796</v>
      </c>
      <c r="J48" s="51" t="s">
        <v>104</v>
      </c>
      <c r="K48" s="16" t="s">
        <v>105</v>
      </c>
      <c r="L48" s="17">
        <v>43378</v>
      </c>
      <c r="M48" s="18" t="s">
        <v>79</v>
      </c>
      <c r="N48" s="19">
        <v>5.5233012392869592</v>
      </c>
      <c r="O48" s="56">
        <v>6.6831944995372208</v>
      </c>
    </row>
    <row r="49" spans="2:15" ht="15.75" x14ac:dyDescent="0.25">
      <c r="B49" t="s">
        <v>78</v>
      </c>
      <c r="C49" s="50">
        <v>43470</v>
      </c>
      <c r="E49" s="20">
        <v>24.202757443534914</v>
      </c>
      <c r="J49" s="51" t="s">
        <v>104</v>
      </c>
      <c r="K49" s="16" t="s">
        <v>106</v>
      </c>
      <c r="L49" s="17">
        <v>43401</v>
      </c>
      <c r="M49" s="18" t="s">
        <v>107</v>
      </c>
      <c r="N49" s="19">
        <v>25.170386931592802</v>
      </c>
      <c r="O49" s="56">
        <v>30.456168187227291</v>
      </c>
    </row>
    <row r="50" spans="2:15" ht="15.75" x14ac:dyDescent="0.25">
      <c r="B50" t="s">
        <v>80</v>
      </c>
      <c r="C50" s="50">
        <v>43427</v>
      </c>
      <c r="E50" s="20">
        <v>106.47530441263088</v>
      </c>
      <c r="J50" s="51" t="s">
        <v>104</v>
      </c>
      <c r="K50" s="16" t="s">
        <v>108</v>
      </c>
      <c r="L50" s="17">
        <v>43480</v>
      </c>
      <c r="M50" s="18" t="s">
        <v>94</v>
      </c>
      <c r="N50" s="19">
        <v>20.332239491303355</v>
      </c>
      <c r="O50" s="56">
        <v>24.602009784477058</v>
      </c>
    </row>
    <row r="51" spans="2:15" ht="15.75" x14ac:dyDescent="0.25">
      <c r="B51" t="s">
        <v>82</v>
      </c>
      <c r="C51" s="50">
        <v>43396</v>
      </c>
      <c r="E51" s="20">
        <v>237.14735614775282</v>
      </c>
      <c r="J51" s="51" t="s">
        <v>104</v>
      </c>
      <c r="K51" s="16" t="s">
        <v>109</v>
      </c>
      <c r="L51" s="17">
        <v>43491</v>
      </c>
      <c r="M51" s="18" t="s">
        <v>83</v>
      </c>
      <c r="N51" s="19">
        <v>5.613453054944527</v>
      </c>
      <c r="O51" s="56">
        <v>6.7922781964828776</v>
      </c>
    </row>
    <row r="52" spans="2:15" ht="15.75" x14ac:dyDescent="0.25">
      <c r="B52" t="s">
        <v>84</v>
      </c>
      <c r="C52" s="50">
        <v>43353</v>
      </c>
      <c r="E52" s="20">
        <v>145.19250417703412</v>
      </c>
      <c r="J52" s="51" t="s">
        <v>104</v>
      </c>
      <c r="K52" s="16" t="s">
        <v>110</v>
      </c>
      <c r="L52" s="17">
        <v>43390</v>
      </c>
      <c r="M52" s="18" t="s">
        <v>79</v>
      </c>
      <c r="N52" s="19">
        <v>9.4959912492637599</v>
      </c>
      <c r="O52" s="56">
        <v>11.490149411609149</v>
      </c>
    </row>
    <row r="53" spans="2:15" ht="15.75" x14ac:dyDescent="0.25">
      <c r="B53" t="s">
        <v>86</v>
      </c>
      <c r="C53" s="50">
        <v>43472</v>
      </c>
      <c r="E53" s="20">
        <v>55.94220667604246</v>
      </c>
      <c r="J53" s="51" t="s">
        <v>104</v>
      </c>
      <c r="K53" s="16" t="s">
        <v>105</v>
      </c>
      <c r="L53" s="17">
        <v>43483</v>
      </c>
      <c r="M53" s="18" t="s">
        <v>107</v>
      </c>
      <c r="N53" s="19">
        <v>7.5487120310603055</v>
      </c>
      <c r="O53" s="56">
        <v>9.1339415575829701</v>
      </c>
    </row>
    <row r="54" spans="2:15" ht="15.75" x14ac:dyDescent="0.25">
      <c r="B54" t="s">
        <v>87</v>
      </c>
      <c r="C54" s="50">
        <v>43454</v>
      </c>
      <c r="E54" s="20">
        <v>84.213816066255575</v>
      </c>
      <c r="J54" s="51" t="s">
        <v>104</v>
      </c>
      <c r="K54" s="16" t="s">
        <v>111</v>
      </c>
      <c r="L54" s="17">
        <v>43423</v>
      </c>
      <c r="M54" s="18" t="s">
        <v>79</v>
      </c>
      <c r="N54" s="19">
        <v>18.390970394143739</v>
      </c>
      <c r="O54" s="56">
        <v>22.253074176913923</v>
      </c>
    </row>
    <row r="55" spans="2:15" ht="15.75" x14ac:dyDescent="0.25">
      <c r="B55" t="s">
        <v>88</v>
      </c>
      <c r="C55" s="50">
        <v>43352</v>
      </c>
      <c r="E55" s="20">
        <v>435.5775125311024</v>
      </c>
      <c r="J55" s="51" t="s">
        <v>104</v>
      </c>
      <c r="K55" s="16" t="s">
        <v>112</v>
      </c>
      <c r="L55" s="17">
        <v>43410</v>
      </c>
      <c r="M55" s="18" t="s">
        <v>113</v>
      </c>
      <c r="N55" s="19">
        <v>12.579183344752563</v>
      </c>
      <c r="O55" s="56">
        <v>15.220811847150602</v>
      </c>
    </row>
    <row r="56" spans="2:15" ht="15.75" x14ac:dyDescent="0.25">
      <c r="B56" t="s">
        <v>89</v>
      </c>
      <c r="C56" s="50">
        <v>43479</v>
      </c>
      <c r="E56" s="20">
        <v>203.268303823639</v>
      </c>
      <c r="J56" s="51" t="s">
        <v>114</v>
      </c>
      <c r="K56" s="16" t="s">
        <v>115</v>
      </c>
      <c r="L56" s="17">
        <v>43441</v>
      </c>
      <c r="M56" s="18" t="s">
        <v>85</v>
      </c>
      <c r="N56" s="19">
        <v>132.87175603716659</v>
      </c>
      <c r="O56" s="56">
        <v>160.77482480497156</v>
      </c>
    </row>
    <row r="57" spans="2:15" ht="15.75" x14ac:dyDescent="0.25">
      <c r="B57" t="s">
        <v>90</v>
      </c>
      <c r="C57" s="50">
        <v>43494</v>
      </c>
      <c r="E57" s="20">
        <v>300.06130323464714</v>
      </c>
      <c r="J57" s="51" t="s">
        <v>114</v>
      </c>
      <c r="K57" s="16" t="s">
        <v>116</v>
      </c>
      <c r="L57" s="17">
        <v>43448</v>
      </c>
      <c r="M57" s="18" t="s">
        <v>77</v>
      </c>
      <c r="N57" s="19">
        <v>86.113014316108334</v>
      </c>
      <c r="O57" s="56">
        <v>104.19674732249109</v>
      </c>
    </row>
    <row r="58" spans="2:15" ht="15.75" x14ac:dyDescent="0.25">
      <c r="B58" t="s">
        <v>91</v>
      </c>
      <c r="C58" s="50">
        <v>43468</v>
      </c>
      <c r="E58" s="20">
        <v>3.6060726263026939</v>
      </c>
      <c r="J58" s="51" t="s">
        <v>114</v>
      </c>
      <c r="K58" s="16" t="s">
        <v>118</v>
      </c>
      <c r="L58" s="17">
        <v>43387</v>
      </c>
      <c r="M58" s="18" t="s">
        <v>79</v>
      </c>
      <c r="N58" s="19">
        <v>87.549433245585561</v>
      </c>
      <c r="O58" s="56">
        <v>105.93481422715853</v>
      </c>
    </row>
    <row r="59" spans="2:15" ht="15.75" x14ac:dyDescent="0.25">
      <c r="B59" t="s">
        <v>93</v>
      </c>
      <c r="C59" s="50">
        <v>43357</v>
      </c>
      <c r="E59" s="20">
        <v>77.891168728138183</v>
      </c>
      <c r="J59" s="51" t="s">
        <v>114</v>
      </c>
      <c r="K59" s="16" t="s">
        <v>119</v>
      </c>
      <c r="L59" s="17">
        <v>43382</v>
      </c>
      <c r="M59" s="18" t="s">
        <v>77</v>
      </c>
      <c r="N59" s="19">
        <v>119.75166179846862</v>
      </c>
      <c r="O59" s="56">
        <v>144.89951077614703</v>
      </c>
    </row>
    <row r="60" spans="2:15" ht="15.75" x14ac:dyDescent="0.25">
      <c r="B60" t="s">
        <v>95</v>
      </c>
      <c r="C60" s="50">
        <v>43328</v>
      </c>
      <c r="E60" s="20">
        <v>193.39367494861347</v>
      </c>
      <c r="J60" s="51" t="s">
        <v>114</v>
      </c>
      <c r="K60" s="16" t="s">
        <v>120</v>
      </c>
      <c r="L60" s="17">
        <v>43317</v>
      </c>
      <c r="M60" s="18" t="s">
        <v>79</v>
      </c>
      <c r="N60" s="19">
        <v>47.708340845984637</v>
      </c>
      <c r="O60" s="56">
        <v>57.727092423641409</v>
      </c>
    </row>
    <row r="61" spans="2:15" ht="15.75" x14ac:dyDescent="0.25">
      <c r="B61" t="s">
        <v>96</v>
      </c>
      <c r="C61" s="50">
        <v>43284</v>
      </c>
      <c r="E61" s="20">
        <v>1254.4805452381811</v>
      </c>
      <c r="J61" s="58" t="s">
        <v>114</v>
      </c>
      <c r="K61" s="59" t="s">
        <v>121</v>
      </c>
      <c r="L61" s="60">
        <v>43257</v>
      </c>
      <c r="M61" s="59" t="s">
        <v>122</v>
      </c>
      <c r="N61" s="61">
        <v>33.133797314677921</v>
      </c>
      <c r="O61" s="62">
        <v>40.091894750760282</v>
      </c>
    </row>
    <row r="62" spans="2:15" x14ac:dyDescent="0.25">
      <c r="B62" t="s">
        <v>97</v>
      </c>
      <c r="C62" s="50">
        <v>43469</v>
      </c>
      <c r="E62" s="20">
        <v>38.945584364069092</v>
      </c>
    </row>
    <row r="63" spans="2:15" x14ac:dyDescent="0.25">
      <c r="B63" t="s">
        <v>99</v>
      </c>
      <c r="C63" s="50">
        <v>43486</v>
      </c>
      <c r="E63" s="20">
        <v>93.036673758609496</v>
      </c>
    </row>
    <row r="64" spans="2:15" x14ac:dyDescent="0.25">
      <c r="B64" t="s">
        <v>100</v>
      </c>
      <c r="C64" s="50">
        <v>43481</v>
      </c>
      <c r="E64" s="20">
        <v>62.727633334535362</v>
      </c>
    </row>
    <row r="65" spans="2:5" x14ac:dyDescent="0.25">
      <c r="B65" t="s">
        <v>101</v>
      </c>
      <c r="C65" s="50">
        <v>43442</v>
      </c>
      <c r="E65" s="20">
        <v>36.595627035928501</v>
      </c>
    </row>
    <row r="66" spans="2:5" x14ac:dyDescent="0.25">
      <c r="B66" t="s">
        <v>102</v>
      </c>
      <c r="C66" s="50">
        <v>43446</v>
      </c>
      <c r="E66" s="20">
        <v>365.98031084346042</v>
      </c>
    </row>
    <row r="67" spans="2:5" x14ac:dyDescent="0.25">
      <c r="B67" t="s">
        <v>103</v>
      </c>
      <c r="C67" s="50">
        <v>43411</v>
      </c>
      <c r="E67" s="20">
        <v>470.41818422223025</v>
      </c>
    </row>
    <row r="68" spans="2:5" x14ac:dyDescent="0.25">
      <c r="B68" t="s">
        <v>105</v>
      </c>
      <c r="C68" s="50">
        <v>86861</v>
      </c>
      <c r="E68" s="20">
        <v>13.072013270347265</v>
      </c>
    </row>
    <row r="69" spans="2:5" x14ac:dyDescent="0.25">
      <c r="B69" t="s">
        <v>106</v>
      </c>
      <c r="C69" s="50">
        <v>43401</v>
      </c>
      <c r="E69" s="20">
        <v>25.170386931592802</v>
      </c>
    </row>
    <row r="70" spans="2:5" x14ac:dyDescent="0.25">
      <c r="B70" t="s">
        <v>108</v>
      </c>
      <c r="C70" s="50">
        <v>43480</v>
      </c>
      <c r="E70" s="20">
        <v>20.332239491303355</v>
      </c>
    </row>
    <row r="71" spans="2:5" x14ac:dyDescent="0.25">
      <c r="B71" t="s">
        <v>109</v>
      </c>
      <c r="C71" s="50">
        <v>43491</v>
      </c>
      <c r="E71" s="20">
        <v>5.613453054944527</v>
      </c>
    </row>
    <row r="72" spans="2:5" x14ac:dyDescent="0.25">
      <c r="B72" t="s">
        <v>110</v>
      </c>
      <c r="C72" s="50">
        <v>43390</v>
      </c>
      <c r="E72" s="20">
        <v>9.4959912492637599</v>
      </c>
    </row>
    <row r="73" spans="2:5" x14ac:dyDescent="0.25">
      <c r="B73" t="s">
        <v>111</v>
      </c>
      <c r="C73" s="50">
        <v>43423</v>
      </c>
      <c r="E73" s="20">
        <v>18.390970394143739</v>
      </c>
    </row>
    <row r="74" spans="2:5" x14ac:dyDescent="0.25">
      <c r="B74" t="s">
        <v>112</v>
      </c>
      <c r="C74" s="50">
        <v>43410</v>
      </c>
      <c r="E74" s="20">
        <v>12.579183344752563</v>
      </c>
    </row>
    <row r="75" spans="2:5" x14ac:dyDescent="0.25">
      <c r="B75" t="s">
        <v>115</v>
      </c>
      <c r="C75" s="50">
        <v>43441</v>
      </c>
      <c r="E75" s="20">
        <v>132.87175603716659</v>
      </c>
    </row>
    <row r="76" spans="2:5" x14ac:dyDescent="0.25">
      <c r="B76" t="s">
        <v>116</v>
      </c>
      <c r="C76" s="50">
        <v>43448</v>
      </c>
      <c r="E76" s="20">
        <v>86.113014316108334</v>
      </c>
    </row>
    <row r="77" spans="2:5" x14ac:dyDescent="0.25">
      <c r="B77" t="s">
        <v>117</v>
      </c>
      <c r="C77" s="50">
        <v>43484</v>
      </c>
      <c r="E77" s="20">
        <v>368.78703737093264</v>
      </c>
    </row>
    <row r="78" spans="2:5" x14ac:dyDescent="0.25">
      <c r="B78" t="s">
        <v>118</v>
      </c>
      <c r="C78" s="50">
        <v>43387</v>
      </c>
      <c r="E78" s="20">
        <v>87.549433245585561</v>
      </c>
    </row>
    <row r="79" spans="2:5" x14ac:dyDescent="0.25">
      <c r="B79" t="s">
        <v>119</v>
      </c>
      <c r="C79" s="50">
        <v>43382</v>
      </c>
      <c r="E79" s="20">
        <v>119.75166179846862</v>
      </c>
    </row>
    <row r="80" spans="2:5" x14ac:dyDescent="0.25">
      <c r="B80" t="s">
        <v>120</v>
      </c>
      <c r="C80" s="50">
        <v>43317</v>
      </c>
      <c r="E80" s="20">
        <v>47.708340845984637</v>
      </c>
    </row>
    <row r="81" spans="2:5" x14ac:dyDescent="0.25">
      <c r="B81" t="s">
        <v>121</v>
      </c>
      <c r="C81" s="50">
        <v>43257</v>
      </c>
      <c r="E81" s="20">
        <v>33.133797314677921</v>
      </c>
    </row>
    <row r="98" spans="1:5" ht="15.75" x14ac:dyDescent="0.25">
      <c r="A98" s="72" t="s">
        <v>62</v>
      </c>
      <c r="B98" s="73" t="s">
        <v>63</v>
      </c>
      <c r="C98" s="73" t="s">
        <v>64</v>
      </c>
      <c r="D98" s="74" t="s">
        <v>65</v>
      </c>
      <c r="E98" s="75" t="s">
        <v>66</v>
      </c>
    </row>
    <row r="99" spans="1:5" ht="15.75" x14ac:dyDescent="0.25">
      <c r="A99" s="69" t="s">
        <v>71</v>
      </c>
      <c r="B99" s="66" t="s">
        <v>72</v>
      </c>
      <c r="C99" s="67">
        <v>43492</v>
      </c>
      <c r="D99" s="68" t="s">
        <v>73</v>
      </c>
      <c r="E99" s="70">
        <v>140.35435673674468</v>
      </c>
    </row>
    <row r="100" spans="1:5" ht="15.75" x14ac:dyDescent="0.25">
      <c r="A100" s="51" t="s">
        <v>71</v>
      </c>
      <c r="B100" s="16" t="s">
        <v>74</v>
      </c>
      <c r="C100" s="17">
        <v>43458</v>
      </c>
      <c r="D100" s="18" t="s">
        <v>73</v>
      </c>
      <c r="E100" s="71">
        <v>45.07590782878367</v>
      </c>
    </row>
    <row r="101" spans="1:5" ht="15.75" x14ac:dyDescent="0.25">
      <c r="A101" s="69" t="s">
        <v>71</v>
      </c>
      <c r="B101" s="66" t="s">
        <v>75</v>
      </c>
      <c r="C101" s="67">
        <v>43480</v>
      </c>
      <c r="D101" s="68" t="s">
        <v>73</v>
      </c>
      <c r="E101" s="70">
        <v>36.06</v>
      </c>
    </row>
    <row r="102" spans="1:5" ht="15.75" x14ac:dyDescent="0.25">
      <c r="A102" s="51" t="s">
        <v>71</v>
      </c>
      <c r="B102" s="16" t="s">
        <v>76</v>
      </c>
      <c r="C102" s="17">
        <v>43232</v>
      </c>
      <c r="D102" s="18" t="s">
        <v>77</v>
      </c>
      <c r="E102" s="71">
        <v>16.45571141802796</v>
      </c>
    </row>
    <row r="103" spans="1:5" ht="15.75" x14ac:dyDescent="0.25">
      <c r="A103" s="69" t="s">
        <v>71</v>
      </c>
      <c r="B103" s="66" t="s">
        <v>78</v>
      </c>
      <c r="C103" s="67">
        <v>43470</v>
      </c>
      <c r="D103" s="68" t="s">
        <v>79</v>
      </c>
      <c r="E103" s="70">
        <v>24.202757443534914</v>
      </c>
    </row>
    <row r="104" spans="1:5" ht="15.75" x14ac:dyDescent="0.25">
      <c r="A104" s="51" t="s">
        <v>71</v>
      </c>
      <c r="B104" s="16" t="s">
        <v>80</v>
      </c>
      <c r="C104" s="17">
        <v>43427</v>
      </c>
      <c r="D104" s="18" t="s">
        <v>73</v>
      </c>
      <c r="E104" s="71">
        <v>106.47530441263088</v>
      </c>
    </row>
    <row r="105" spans="1:5" ht="15.75" x14ac:dyDescent="0.25">
      <c r="A105" s="69" t="s">
        <v>81</v>
      </c>
      <c r="B105" s="66" t="s">
        <v>82</v>
      </c>
      <c r="C105" s="67">
        <v>43396</v>
      </c>
      <c r="D105" s="68" t="s">
        <v>83</v>
      </c>
      <c r="E105" s="70">
        <v>237.14735614775282</v>
      </c>
    </row>
    <row r="106" spans="1:5" ht="15.75" x14ac:dyDescent="0.25">
      <c r="A106" s="51" t="s">
        <v>81</v>
      </c>
      <c r="B106" s="16" t="s">
        <v>84</v>
      </c>
      <c r="C106" s="17">
        <v>43353</v>
      </c>
      <c r="D106" s="18" t="s">
        <v>85</v>
      </c>
      <c r="E106" s="71">
        <v>145.19250417703412</v>
      </c>
    </row>
    <row r="107" spans="1:5" ht="15.75" x14ac:dyDescent="0.25">
      <c r="A107" s="69" t="s">
        <v>81</v>
      </c>
      <c r="B107" s="66" t="s">
        <v>86</v>
      </c>
      <c r="C107" s="67">
        <v>43472</v>
      </c>
      <c r="D107" s="68" t="s">
        <v>79</v>
      </c>
      <c r="E107" s="70">
        <v>55.94220667604246</v>
      </c>
    </row>
    <row r="108" spans="1:5" ht="15.75" x14ac:dyDescent="0.25">
      <c r="A108" s="51" t="s">
        <v>81</v>
      </c>
      <c r="B108" s="16" t="s">
        <v>87</v>
      </c>
      <c r="C108" s="17">
        <v>43454</v>
      </c>
      <c r="D108" s="18" t="s">
        <v>73</v>
      </c>
      <c r="E108" s="71">
        <v>84.213816066255575</v>
      </c>
    </row>
    <row r="109" spans="1:5" ht="15.75" x14ac:dyDescent="0.25">
      <c r="A109" s="69" t="s">
        <v>81</v>
      </c>
      <c r="B109" s="66" t="s">
        <v>88</v>
      </c>
      <c r="C109" s="67">
        <v>43352</v>
      </c>
      <c r="D109" s="68" t="s">
        <v>83</v>
      </c>
      <c r="E109" s="70">
        <v>435.5775125311024</v>
      </c>
    </row>
    <row r="110" spans="1:5" ht="15.75" x14ac:dyDescent="0.25">
      <c r="A110" s="51" t="s">
        <v>81</v>
      </c>
      <c r="B110" s="16" t="s">
        <v>89</v>
      </c>
      <c r="C110" s="17">
        <v>43479</v>
      </c>
      <c r="D110" s="18" t="s">
        <v>83</v>
      </c>
      <c r="E110" s="71">
        <v>203.268303823639</v>
      </c>
    </row>
    <row r="111" spans="1:5" ht="15.75" x14ac:dyDescent="0.25">
      <c r="A111" s="69" t="s">
        <v>81</v>
      </c>
      <c r="B111" s="66" t="s">
        <v>90</v>
      </c>
      <c r="C111" s="67">
        <v>43494</v>
      </c>
      <c r="D111" s="68" t="s">
        <v>85</v>
      </c>
      <c r="E111" s="70">
        <v>300.06130323464714</v>
      </c>
    </row>
    <row r="112" spans="1:5" ht="15.75" x14ac:dyDescent="0.25">
      <c r="A112" s="51" t="s">
        <v>81</v>
      </c>
      <c r="B112" s="16" t="s">
        <v>91</v>
      </c>
      <c r="C112" s="17">
        <v>43468</v>
      </c>
      <c r="D112" s="18" t="s">
        <v>79</v>
      </c>
      <c r="E112" s="71">
        <v>3.6060726263026939</v>
      </c>
    </row>
    <row r="113" spans="1:5" ht="15.75" x14ac:dyDescent="0.25">
      <c r="A113" s="69" t="s">
        <v>92</v>
      </c>
      <c r="B113" s="66" t="s">
        <v>93</v>
      </c>
      <c r="C113" s="67">
        <v>43357</v>
      </c>
      <c r="D113" s="68" t="s">
        <v>94</v>
      </c>
      <c r="E113" s="70">
        <v>77.891168728138183</v>
      </c>
    </row>
    <row r="114" spans="1:5" ht="15.75" x14ac:dyDescent="0.25">
      <c r="A114" s="51" t="s">
        <v>92</v>
      </c>
      <c r="B114" s="16" t="s">
        <v>95</v>
      </c>
      <c r="C114" s="17">
        <v>43328</v>
      </c>
      <c r="D114" s="18" t="s">
        <v>94</v>
      </c>
      <c r="E114" s="71">
        <v>193.39367494861347</v>
      </c>
    </row>
    <row r="115" spans="1:5" ht="15.75" x14ac:dyDescent="0.25">
      <c r="A115" s="69" t="s">
        <v>92</v>
      </c>
      <c r="B115" s="66" t="s">
        <v>96</v>
      </c>
      <c r="C115" s="67">
        <v>43284</v>
      </c>
      <c r="D115" s="68" t="s">
        <v>77</v>
      </c>
      <c r="E115" s="70">
        <v>1254.4805452381811</v>
      </c>
    </row>
    <row r="116" spans="1:5" ht="15.75" x14ac:dyDescent="0.25">
      <c r="A116" s="51" t="s">
        <v>92</v>
      </c>
      <c r="B116" s="16" t="s">
        <v>97</v>
      </c>
      <c r="C116" s="17">
        <v>43469</v>
      </c>
      <c r="D116" s="18" t="s">
        <v>98</v>
      </c>
      <c r="E116" s="71">
        <v>38.945584364069092</v>
      </c>
    </row>
    <row r="117" spans="1:5" ht="15.75" x14ac:dyDescent="0.25">
      <c r="A117" s="69" t="s">
        <v>92</v>
      </c>
      <c r="B117" s="66" t="s">
        <v>99</v>
      </c>
      <c r="C117" s="67">
        <v>43486</v>
      </c>
      <c r="D117" s="68" t="s">
        <v>85</v>
      </c>
      <c r="E117" s="70">
        <v>93.036673758609496</v>
      </c>
    </row>
    <row r="118" spans="1:5" ht="15.75" x14ac:dyDescent="0.25">
      <c r="A118" s="51" t="s">
        <v>92</v>
      </c>
      <c r="B118" s="16" t="s">
        <v>100</v>
      </c>
      <c r="C118" s="17">
        <v>43481</v>
      </c>
      <c r="D118" s="18" t="s">
        <v>77</v>
      </c>
      <c r="E118" s="71">
        <v>62.727633334535362</v>
      </c>
    </row>
    <row r="119" spans="1:5" ht="15.75" x14ac:dyDescent="0.25">
      <c r="A119" s="69" t="s">
        <v>92</v>
      </c>
      <c r="B119" s="66" t="s">
        <v>101</v>
      </c>
      <c r="C119" s="67">
        <v>43442</v>
      </c>
      <c r="D119" s="68" t="s">
        <v>79</v>
      </c>
      <c r="E119" s="70">
        <v>36.595627035928501</v>
      </c>
    </row>
    <row r="120" spans="1:5" ht="15.75" x14ac:dyDescent="0.25">
      <c r="A120" s="51" t="s">
        <v>92</v>
      </c>
      <c r="B120" s="16" t="s">
        <v>102</v>
      </c>
      <c r="C120" s="17">
        <v>43446</v>
      </c>
      <c r="D120" s="18" t="s">
        <v>94</v>
      </c>
      <c r="E120" s="71">
        <v>365.98031084346042</v>
      </c>
    </row>
    <row r="121" spans="1:5" ht="15.75" x14ac:dyDescent="0.25">
      <c r="A121" s="69" t="s">
        <v>92</v>
      </c>
      <c r="B121" s="66" t="s">
        <v>103</v>
      </c>
      <c r="C121" s="67">
        <v>43411</v>
      </c>
      <c r="D121" s="68" t="s">
        <v>94</v>
      </c>
      <c r="E121" s="70">
        <v>470.41818422223025</v>
      </c>
    </row>
    <row r="122" spans="1:5" ht="15.75" x14ac:dyDescent="0.25">
      <c r="A122" s="51" t="s">
        <v>104</v>
      </c>
      <c r="B122" s="16" t="s">
        <v>105</v>
      </c>
      <c r="C122" s="17">
        <v>43378</v>
      </c>
      <c r="D122" s="18" t="s">
        <v>79</v>
      </c>
      <c r="E122" s="71">
        <v>5.5233012392869592</v>
      </c>
    </row>
    <row r="123" spans="1:5" ht="15.75" x14ac:dyDescent="0.25">
      <c r="A123" s="69" t="s">
        <v>104</v>
      </c>
      <c r="B123" s="66" t="s">
        <v>106</v>
      </c>
      <c r="C123" s="67">
        <v>43401</v>
      </c>
      <c r="D123" s="68" t="s">
        <v>107</v>
      </c>
      <c r="E123" s="70">
        <v>25.170386931592802</v>
      </c>
    </row>
    <row r="124" spans="1:5" ht="15.75" x14ac:dyDescent="0.25">
      <c r="A124" s="51" t="s">
        <v>104</v>
      </c>
      <c r="B124" s="16" t="s">
        <v>108</v>
      </c>
      <c r="C124" s="17">
        <v>43480</v>
      </c>
      <c r="D124" s="18" t="s">
        <v>94</v>
      </c>
      <c r="E124" s="71">
        <v>20.332239491303355</v>
      </c>
    </row>
    <row r="125" spans="1:5" ht="15.75" x14ac:dyDescent="0.25">
      <c r="A125" s="69" t="s">
        <v>104</v>
      </c>
      <c r="B125" s="66" t="s">
        <v>109</v>
      </c>
      <c r="C125" s="67">
        <v>43491</v>
      </c>
      <c r="D125" s="68" t="s">
        <v>83</v>
      </c>
      <c r="E125" s="70">
        <v>5.613453054944527</v>
      </c>
    </row>
    <row r="126" spans="1:5" ht="15.75" x14ac:dyDescent="0.25">
      <c r="A126" s="51" t="s">
        <v>104</v>
      </c>
      <c r="B126" s="16" t="s">
        <v>110</v>
      </c>
      <c r="C126" s="17">
        <v>43390</v>
      </c>
      <c r="D126" s="18" t="s">
        <v>79</v>
      </c>
      <c r="E126" s="71">
        <v>9.4959912492637599</v>
      </c>
    </row>
    <row r="127" spans="1:5" ht="15.75" x14ac:dyDescent="0.25">
      <c r="A127" s="69" t="s">
        <v>104</v>
      </c>
      <c r="B127" s="66" t="s">
        <v>105</v>
      </c>
      <c r="C127" s="67">
        <v>43483</v>
      </c>
      <c r="D127" s="68" t="s">
        <v>107</v>
      </c>
      <c r="E127" s="70">
        <v>7.5487120310603055</v>
      </c>
    </row>
    <row r="128" spans="1:5" ht="15.75" x14ac:dyDescent="0.25">
      <c r="A128" s="51" t="s">
        <v>104</v>
      </c>
      <c r="B128" s="16" t="s">
        <v>111</v>
      </c>
      <c r="C128" s="17">
        <v>43423</v>
      </c>
      <c r="D128" s="18" t="s">
        <v>79</v>
      </c>
      <c r="E128" s="71">
        <v>18.390970394143739</v>
      </c>
    </row>
    <row r="129" spans="1:5" ht="15.75" x14ac:dyDescent="0.25">
      <c r="A129" s="69" t="s">
        <v>104</v>
      </c>
      <c r="B129" s="66" t="s">
        <v>112</v>
      </c>
      <c r="C129" s="67">
        <v>43410</v>
      </c>
      <c r="D129" s="68" t="s">
        <v>113</v>
      </c>
      <c r="E129" s="70">
        <v>12.579183344752563</v>
      </c>
    </row>
    <row r="130" spans="1:5" ht="15.75" x14ac:dyDescent="0.25">
      <c r="A130" s="51" t="s">
        <v>114</v>
      </c>
      <c r="B130" s="16" t="s">
        <v>115</v>
      </c>
      <c r="C130" s="17">
        <v>43441</v>
      </c>
      <c r="D130" s="18" t="s">
        <v>85</v>
      </c>
      <c r="E130" s="71">
        <v>132.87175603716659</v>
      </c>
    </row>
    <row r="131" spans="1:5" ht="15.75" x14ac:dyDescent="0.25">
      <c r="A131" s="69" t="s">
        <v>114</v>
      </c>
      <c r="B131" s="66" t="s">
        <v>116</v>
      </c>
      <c r="C131" s="67">
        <v>43448</v>
      </c>
      <c r="D131" s="68" t="s">
        <v>77</v>
      </c>
      <c r="E131" s="70">
        <v>86.113014316108334</v>
      </c>
    </row>
    <row r="132" spans="1:5" ht="15.75" x14ac:dyDescent="0.25">
      <c r="A132" s="51" t="s">
        <v>114</v>
      </c>
      <c r="B132" s="16" t="s">
        <v>117</v>
      </c>
      <c r="C132" s="17">
        <v>43484</v>
      </c>
      <c r="D132" s="18" t="s">
        <v>94</v>
      </c>
      <c r="E132" s="71">
        <v>368.78703737093264</v>
      </c>
    </row>
    <row r="133" spans="1:5" ht="15.75" x14ac:dyDescent="0.25">
      <c r="A133" s="69" t="s">
        <v>114</v>
      </c>
      <c r="B133" s="66" t="s">
        <v>118</v>
      </c>
      <c r="C133" s="67">
        <v>43387</v>
      </c>
      <c r="D133" s="68" t="s">
        <v>79</v>
      </c>
      <c r="E133" s="70">
        <v>87.549433245585561</v>
      </c>
    </row>
    <row r="134" spans="1:5" ht="15.75" x14ac:dyDescent="0.25">
      <c r="A134" s="51" t="s">
        <v>114</v>
      </c>
      <c r="B134" s="16" t="s">
        <v>119</v>
      </c>
      <c r="C134" s="17">
        <v>43382</v>
      </c>
      <c r="D134" s="18" t="s">
        <v>77</v>
      </c>
      <c r="E134" s="71">
        <v>119.75166179846862</v>
      </c>
    </row>
    <row r="135" spans="1:5" ht="15.75" x14ac:dyDescent="0.25">
      <c r="A135" s="69" t="s">
        <v>114</v>
      </c>
      <c r="B135" s="66" t="s">
        <v>120</v>
      </c>
      <c r="C135" s="67">
        <v>43317</v>
      </c>
      <c r="D135" s="68" t="s">
        <v>79</v>
      </c>
      <c r="E135" s="70">
        <v>47.708340845984637</v>
      </c>
    </row>
    <row r="136" spans="1:5" ht="15.75" x14ac:dyDescent="0.25">
      <c r="A136" s="58" t="s">
        <v>114</v>
      </c>
      <c r="B136" s="59" t="s">
        <v>121</v>
      </c>
      <c r="C136" s="60">
        <v>43257</v>
      </c>
      <c r="D136" s="59" t="s">
        <v>122</v>
      </c>
      <c r="E136" s="76">
        <v>33.133797314677921</v>
      </c>
    </row>
    <row r="137" spans="1:5" ht="15.75" x14ac:dyDescent="0.25">
      <c r="A137" s="77" t="s">
        <v>81</v>
      </c>
      <c r="B137" s="78" t="s">
        <v>89</v>
      </c>
      <c r="C137" s="79">
        <v>43479</v>
      </c>
      <c r="D137" s="60" t="s">
        <v>85</v>
      </c>
      <c r="E137" s="80">
        <v>800.26830382363903</v>
      </c>
    </row>
    <row r="138" spans="1:5" x14ac:dyDescent="0.25">
      <c r="E138">
        <f>AVERAGE(Tabla3[[PRECIO ]])</f>
        <v>159.17795123295321</v>
      </c>
    </row>
  </sheetData>
  <autoFilter ref="I18:K28" xr:uid="{5B6C65BF-CA8F-4235-910D-123007948476}"/>
  <dataConsolidate topLabels="1">
    <dataRefs count="1">
      <dataRef ref="B1:E39" sheet="Pagina4"/>
    </dataRefs>
  </dataConsolidate>
  <mergeCells count="1">
    <mergeCell ref="B43:E43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A5B6-C7A6-419A-B338-6FB5820AB69F}">
  <sheetPr codeName="Hoja8"/>
  <dimension ref="A1:F22"/>
  <sheetViews>
    <sheetView workbookViewId="0">
      <selection activeCell="A19" sqref="A19"/>
    </sheetView>
  </sheetViews>
  <sheetFormatPr baseColWidth="10" defaultRowHeight="15" x14ac:dyDescent="0.25"/>
  <cols>
    <col min="1" max="1" width="13.5703125" bestFit="1" customWidth="1"/>
    <col min="2" max="2" width="19.85546875" bestFit="1" customWidth="1"/>
    <col min="3" max="3" width="7.140625" bestFit="1" customWidth="1"/>
    <col min="4" max="4" width="16.28515625" bestFit="1" customWidth="1"/>
    <col min="5" max="5" width="8.5703125" bestFit="1" customWidth="1"/>
    <col min="6" max="6" width="16.7109375" bestFit="1" customWidth="1"/>
    <col min="8" max="8" width="13.5703125" bestFit="1" customWidth="1"/>
    <col min="9" max="9" width="19.85546875" bestFit="1" customWidth="1"/>
    <col min="10" max="10" width="11.85546875" bestFit="1" customWidth="1"/>
    <col min="11" max="11" width="16.28515625" bestFit="1" customWidth="1"/>
    <col min="12" max="12" width="8.7109375" bestFit="1" customWidth="1"/>
    <col min="13" max="13" width="16.7109375" bestFit="1" customWidth="1"/>
  </cols>
  <sheetData>
    <row r="1" spans="1:6" ht="15.75" x14ac:dyDescent="0.25">
      <c r="A1" s="13" t="s">
        <v>62</v>
      </c>
      <c r="B1" s="13" t="s">
        <v>63</v>
      </c>
      <c r="C1" s="13" t="s">
        <v>64</v>
      </c>
      <c r="D1" s="14" t="s">
        <v>65</v>
      </c>
      <c r="E1" s="13" t="s">
        <v>66</v>
      </c>
      <c r="F1" s="13" t="s">
        <v>150</v>
      </c>
    </row>
    <row r="2" spans="1:6" x14ac:dyDescent="0.25">
      <c r="D2" t="s">
        <v>79</v>
      </c>
    </row>
    <row r="4" spans="1:6" ht="15.75" x14ac:dyDescent="0.25">
      <c r="A4" s="13" t="s">
        <v>62</v>
      </c>
      <c r="B4" s="13" t="s">
        <v>63</v>
      </c>
      <c r="C4" s="13" t="s">
        <v>64</v>
      </c>
      <c r="D4" s="14" t="s">
        <v>65</v>
      </c>
      <c r="E4" s="13" t="s">
        <v>66</v>
      </c>
      <c r="F4" s="13" t="s">
        <v>150</v>
      </c>
    </row>
    <row r="5" spans="1:6" ht="15.75" x14ac:dyDescent="0.25">
      <c r="D5" s="18" t="s">
        <v>73</v>
      </c>
    </row>
    <row r="6" spans="1:6" ht="15.75" x14ac:dyDescent="0.25">
      <c r="D6" s="18" t="s">
        <v>77</v>
      </c>
    </row>
    <row r="7" spans="1:6" ht="15.75" x14ac:dyDescent="0.25">
      <c r="D7" s="18" t="s">
        <v>79</v>
      </c>
    </row>
    <row r="8" spans="1:6" ht="15.75" x14ac:dyDescent="0.25">
      <c r="D8" s="18" t="s">
        <v>83</v>
      </c>
    </row>
    <row r="9" spans="1:6" ht="15.75" x14ac:dyDescent="0.25">
      <c r="D9" s="18" t="s">
        <v>85</v>
      </c>
    </row>
    <row r="10" spans="1:6" ht="15.75" x14ac:dyDescent="0.25">
      <c r="D10" s="18" t="s">
        <v>94</v>
      </c>
    </row>
    <row r="11" spans="1:6" ht="15.75" x14ac:dyDescent="0.25">
      <c r="D11" s="18" t="s">
        <v>98</v>
      </c>
    </row>
    <row r="12" spans="1:6" ht="15.75" x14ac:dyDescent="0.25">
      <c r="D12" s="18" t="s">
        <v>107</v>
      </c>
    </row>
    <row r="13" spans="1:6" ht="15.75" x14ac:dyDescent="0.25">
      <c r="D13" s="18" t="s">
        <v>113</v>
      </c>
    </row>
    <row r="14" spans="1:6" ht="15.75" x14ac:dyDescent="0.25">
      <c r="D14" s="59" t="s">
        <v>122</v>
      </c>
    </row>
    <row r="17" spans="1:6" ht="15.75" x14ac:dyDescent="0.25">
      <c r="A17" s="13" t="s">
        <v>62</v>
      </c>
      <c r="B17" s="13" t="s">
        <v>63</v>
      </c>
      <c r="C17" s="13" t="s">
        <v>64</v>
      </c>
      <c r="D17" s="14" t="s">
        <v>65</v>
      </c>
      <c r="E17" s="13" t="s">
        <v>66</v>
      </c>
      <c r="F17" s="13" t="s">
        <v>150</v>
      </c>
    </row>
    <row r="18" spans="1:6" ht="15.75" x14ac:dyDescent="0.25">
      <c r="A18" s="51" t="s">
        <v>71</v>
      </c>
    </row>
    <row r="19" spans="1:6" ht="15.75" x14ac:dyDescent="0.25">
      <c r="A19" s="51" t="s">
        <v>81</v>
      </c>
    </row>
    <row r="20" spans="1:6" ht="15.75" x14ac:dyDescent="0.25">
      <c r="A20" s="51" t="s">
        <v>92</v>
      </c>
    </row>
    <row r="21" spans="1:6" ht="15.75" x14ac:dyDescent="0.25">
      <c r="A21" s="51" t="s">
        <v>104</v>
      </c>
    </row>
    <row r="22" spans="1:6" ht="15.75" x14ac:dyDescent="0.25">
      <c r="A22" s="5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41FF-D3BC-4918-95CA-D1490491447A}">
  <sheetPr codeName="Hoja9"/>
  <dimension ref="A1:G69"/>
  <sheetViews>
    <sheetView topLeftCell="A19" workbookViewId="0">
      <selection activeCell="D27" sqref="D27"/>
    </sheetView>
  </sheetViews>
  <sheetFormatPr baseColWidth="10" defaultRowHeight="15" x14ac:dyDescent="0.25"/>
  <cols>
    <col min="1" max="1" width="17.140625" customWidth="1"/>
    <col min="2" max="2" width="16.140625" bestFit="1" customWidth="1"/>
    <col min="3" max="3" width="18" bestFit="1" customWidth="1"/>
    <col min="5" max="5" width="26.85546875" customWidth="1"/>
    <col min="6" max="6" width="38.85546875" bestFit="1" customWidth="1"/>
    <col min="7" max="7" width="11.85546875" bestFit="1" customWidth="1"/>
  </cols>
  <sheetData>
    <row r="1" spans="1:6" x14ac:dyDescent="0.25">
      <c r="A1" s="24" t="s">
        <v>152</v>
      </c>
      <c r="B1" s="24"/>
      <c r="C1" s="24"/>
      <c r="D1" s="24"/>
      <c r="E1" s="24"/>
      <c r="F1" s="24"/>
    </row>
    <row r="3" spans="1:6" x14ac:dyDescent="0.25">
      <c r="A3" s="24" t="s">
        <v>153</v>
      </c>
      <c r="B3" s="24"/>
      <c r="C3" s="24"/>
      <c r="D3" s="24"/>
      <c r="E3" s="24"/>
      <c r="F3" s="24"/>
    </row>
    <row r="4" spans="1:6" x14ac:dyDescent="0.25">
      <c r="A4" s="24" t="s">
        <v>154</v>
      </c>
      <c r="B4" s="24"/>
      <c r="C4" s="24"/>
      <c r="D4" s="24"/>
      <c r="E4" s="24"/>
      <c r="F4" s="24"/>
    </row>
    <row r="5" spans="1:6" x14ac:dyDescent="0.25">
      <c r="A5" s="24" t="s">
        <v>155</v>
      </c>
      <c r="B5" s="24"/>
      <c r="C5" s="24"/>
      <c r="D5" s="24"/>
      <c r="E5" s="24"/>
      <c r="F5" s="24"/>
    </row>
    <row r="8" spans="1:6" x14ac:dyDescent="0.25">
      <c r="A8" s="24" t="s">
        <v>156</v>
      </c>
      <c r="B8" s="24" t="s">
        <v>157</v>
      </c>
      <c r="C8" s="24" t="s">
        <v>158</v>
      </c>
      <c r="D8" s="24" t="s">
        <v>159</v>
      </c>
      <c r="E8" s="24" t="s">
        <v>160</v>
      </c>
      <c r="F8" s="24" t="s">
        <v>161</v>
      </c>
    </row>
    <row r="9" spans="1:6" x14ac:dyDescent="0.25">
      <c r="A9" s="24" t="s">
        <v>162</v>
      </c>
      <c r="B9" s="25">
        <v>36558</v>
      </c>
      <c r="C9" s="25">
        <v>36568</v>
      </c>
      <c r="D9" s="24">
        <f>C9-B9</f>
        <v>10</v>
      </c>
      <c r="E9" s="26" t="s">
        <v>174</v>
      </c>
      <c r="F9" s="26" t="str">
        <f>IFERROR(IF(D9&lt;10,E9-(E9*10%),IF(D9&lt;15,E9-(E9*5%),E9-(E9*2%)))," ")</f>
        <v xml:space="preserve"> </v>
      </c>
    </row>
    <row r="10" spans="1:6" x14ac:dyDescent="0.25">
      <c r="A10" s="24" t="s">
        <v>163</v>
      </c>
      <c r="B10" s="25">
        <v>36590</v>
      </c>
      <c r="C10" s="25">
        <v>36605</v>
      </c>
      <c r="D10" s="24">
        <f t="shared" ref="D10:D20" si="0">C10-B10</f>
        <v>15</v>
      </c>
      <c r="E10" s="26">
        <v>545</v>
      </c>
      <c r="F10" s="26">
        <f>IFERROR(IF(D10&lt;10,E10-(E10*10%),IF(D10&lt;15,E10-(E10*5%),E10-(E10*2%))),"NADA")</f>
        <v>534.1</v>
      </c>
    </row>
    <row r="11" spans="1:6" x14ac:dyDescent="0.25">
      <c r="A11" s="24" t="s">
        <v>164</v>
      </c>
      <c r="B11" s="25">
        <v>36623</v>
      </c>
      <c r="C11" s="25">
        <v>36626</v>
      </c>
      <c r="D11" s="24">
        <f t="shared" si="0"/>
        <v>3</v>
      </c>
      <c r="E11" s="26">
        <v>1200</v>
      </c>
      <c r="F11" s="26">
        <f t="shared" ref="F11:F20" si="1">IFERROR(IF(D11&lt;10,E11-(E11*10%),IF(D11&lt;15,E11-(E11*5%),E11-(E11*2%))),"NADA")</f>
        <v>1080</v>
      </c>
    </row>
    <row r="12" spans="1:6" x14ac:dyDescent="0.25">
      <c r="A12" s="24" t="s">
        <v>165</v>
      </c>
      <c r="B12" s="25">
        <v>36641</v>
      </c>
      <c r="C12" s="25">
        <v>36644</v>
      </c>
      <c r="D12" s="24">
        <f t="shared" si="0"/>
        <v>3</v>
      </c>
      <c r="E12" s="26">
        <v>1500</v>
      </c>
      <c r="F12" s="26">
        <f t="shared" si="1"/>
        <v>1350</v>
      </c>
    </row>
    <row r="13" spans="1:6" x14ac:dyDescent="0.25">
      <c r="A13" s="24" t="s">
        <v>166</v>
      </c>
      <c r="B13" s="25">
        <v>36649</v>
      </c>
      <c r="C13" s="25">
        <v>36671</v>
      </c>
      <c r="D13" s="24">
        <f t="shared" si="0"/>
        <v>22</v>
      </c>
      <c r="E13" s="26">
        <v>8000</v>
      </c>
      <c r="F13" s="26">
        <f t="shared" si="1"/>
        <v>7840</v>
      </c>
    </row>
    <row r="14" spans="1:6" x14ac:dyDescent="0.25">
      <c r="A14" s="24" t="s">
        <v>167</v>
      </c>
      <c r="B14" s="25">
        <v>36661</v>
      </c>
      <c r="C14" s="25">
        <v>36668</v>
      </c>
      <c r="D14" s="24">
        <f t="shared" si="0"/>
        <v>7</v>
      </c>
      <c r="E14" s="26"/>
      <c r="F14" s="26">
        <f t="shared" si="1"/>
        <v>0</v>
      </c>
    </row>
    <row r="15" spans="1:6" x14ac:dyDescent="0.25">
      <c r="A15" s="24" t="s">
        <v>168</v>
      </c>
      <c r="B15" s="25">
        <v>36671</v>
      </c>
      <c r="C15" s="25">
        <v>36692</v>
      </c>
      <c r="D15" s="24">
        <f t="shared" si="0"/>
        <v>21</v>
      </c>
      <c r="E15" s="26"/>
      <c r="F15" s="26">
        <f t="shared" si="1"/>
        <v>0</v>
      </c>
    </row>
    <row r="16" spans="1:6" x14ac:dyDescent="0.25">
      <c r="A16" s="24" t="s">
        <v>169</v>
      </c>
      <c r="B16" s="25">
        <v>36684</v>
      </c>
      <c r="C16" s="25">
        <v>36692</v>
      </c>
      <c r="D16" s="24">
        <f t="shared" si="0"/>
        <v>8</v>
      </c>
      <c r="E16" s="26"/>
      <c r="F16" s="26">
        <f t="shared" si="1"/>
        <v>0</v>
      </c>
    </row>
    <row r="17" spans="1:7" x14ac:dyDescent="0.25">
      <c r="A17" s="24" t="s">
        <v>170</v>
      </c>
      <c r="B17" s="25">
        <v>36685</v>
      </c>
      <c r="C17" s="25">
        <v>36715</v>
      </c>
      <c r="D17" s="24">
        <f t="shared" si="0"/>
        <v>30</v>
      </c>
      <c r="E17" s="26"/>
      <c r="F17" s="26">
        <f t="shared" si="1"/>
        <v>0</v>
      </c>
    </row>
    <row r="18" spans="1:7" x14ac:dyDescent="0.25">
      <c r="A18" s="24" t="s">
        <v>171</v>
      </c>
      <c r="B18" s="25">
        <v>36717</v>
      </c>
      <c r="C18" s="25">
        <v>36719</v>
      </c>
      <c r="D18" s="24">
        <f t="shared" si="0"/>
        <v>2</v>
      </c>
      <c r="E18" s="26"/>
      <c r="F18" s="26">
        <f t="shared" si="1"/>
        <v>0</v>
      </c>
    </row>
    <row r="19" spans="1:7" x14ac:dyDescent="0.25">
      <c r="A19" s="24" t="s">
        <v>172</v>
      </c>
      <c r="B19" s="25">
        <v>36727</v>
      </c>
      <c r="C19" s="25">
        <v>36789</v>
      </c>
      <c r="D19" s="24">
        <f t="shared" si="0"/>
        <v>62</v>
      </c>
      <c r="E19" s="26"/>
      <c r="F19" s="26">
        <f t="shared" si="1"/>
        <v>0</v>
      </c>
    </row>
    <row r="20" spans="1:7" x14ac:dyDescent="0.25">
      <c r="A20" s="24" t="s">
        <v>173</v>
      </c>
      <c r="B20" s="25">
        <v>36772</v>
      </c>
      <c r="C20" s="25">
        <v>36783</v>
      </c>
      <c r="D20" s="24">
        <f t="shared" si="0"/>
        <v>11</v>
      </c>
      <c r="E20" s="26"/>
      <c r="F20" s="26">
        <f t="shared" si="1"/>
        <v>0</v>
      </c>
    </row>
    <row r="21" spans="1:7" x14ac:dyDescent="0.25">
      <c r="D21" s="24"/>
    </row>
    <row r="23" spans="1:7" x14ac:dyDescent="0.25">
      <c r="A23" t="s">
        <v>227</v>
      </c>
      <c r="B23" t="s">
        <v>228</v>
      </c>
      <c r="C23" s="11" t="s">
        <v>261</v>
      </c>
      <c r="D23" t="s">
        <v>229</v>
      </c>
      <c r="F23" t="s">
        <v>259</v>
      </c>
      <c r="G23">
        <f>_xlfn.MAXIFS(D$24:D$43,A$24:A$43,"eeuu")</f>
        <v>53000</v>
      </c>
    </row>
    <row r="24" spans="1:7" x14ac:dyDescent="0.25">
      <c r="A24" t="s">
        <v>230</v>
      </c>
      <c r="B24" t="s">
        <v>231</v>
      </c>
      <c r="D24" s="34">
        <v>45000</v>
      </c>
      <c r="F24" t="s">
        <v>260</v>
      </c>
      <c r="G24">
        <f>_xlfn.MINIFS(D$24:D$43,A24:A43,"EEUU")</f>
        <v>35000</v>
      </c>
    </row>
    <row r="25" spans="1:7" x14ac:dyDescent="0.25">
      <c r="A25" t="s">
        <v>232</v>
      </c>
      <c r="B25" t="s">
        <v>233</v>
      </c>
      <c r="C25" t="s">
        <v>262</v>
      </c>
      <c r="D25" s="34">
        <v>39000</v>
      </c>
    </row>
    <row r="26" spans="1:7" x14ac:dyDescent="0.25">
      <c r="A26" t="s">
        <v>234</v>
      </c>
      <c r="B26" t="s">
        <v>235</v>
      </c>
      <c r="D26" s="34">
        <v>52000</v>
      </c>
    </row>
    <row r="27" spans="1:7" x14ac:dyDescent="0.25">
      <c r="A27" t="s">
        <v>236</v>
      </c>
      <c r="B27" t="s">
        <v>237</v>
      </c>
      <c r="D27" s="34">
        <v>29000</v>
      </c>
      <c r="F27" t="s">
        <v>264</v>
      </c>
      <c r="G27">
        <f>_xlfn.MAXIFS(D$24:D$43,A$24:A$43,"ESPAÑA",C$24:C$43,"SUR")</f>
        <v>38000</v>
      </c>
    </row>
    <row r="28" spans="1:7" x14ac:dyDescent="0.25">
      <c r="A28" t="s">
        <v>238</v>
      </c>
      <c r="B28" t="s">
        <v>239</v>
      </c>
      <c r="D28" s="34">
        <v>31000</v>
      </c>
      <c r="F28" t="s">
        <v>265</v>
      </c>
      <c r="G28">
        <f>_xlfn.MINIFS(D24:D43,A24:A43,"ESPAÑA",C24:C43,"SUR")</f>
        <v>30500</v>
      </c>
    </row>
    <row r="29" spans="1:7" x14ac:dyDescent="0.25">
      <c r="A29" t="s">
        <v>240</v>
      </c>
      <c r="B29" t="s">
        <v>241</v>
      </c>
      <c r="D29" s="34">
        <v>41000</v>
      </c>
    </row>
    <row r="30" spans="1:7" x14ac:dyDescent="0.25">
      <c r="A30" t="s">
        <v>242</v>
      </c>
      <c r="B30" t="s">
        <v>243</v>
      </c>
      <c r="D30" s="34">
        <v>42000</v>
      </c>
    </row>
    <row r="31" spans="1:7" x14ac:dyDescent="0.25">
      <c r="A31" t="s">
        <v>244</v>
      </c>
      <c r="B31" t="s">
        <v>245</v>
      </c>
      <c r="D31" s="34">
        <v>18000</v>
      </c>
    </row>
    <row r="32" spans="1:7" x14ac:dyDescent="0.25">
      <c r="A32" t="s">
        <v>246</v>
      </c>
      <c r="B32" t="s">
        <v>247</v>
      </c>
      <c r="D32" s="34">
        <v>17000</v>
      </c>
    </row>
    <row r="33" spans="1:5" x14ac:dyDescent="0.25">
      <c r="A33" t="s">
        <v>230</v>
      </c>
      <c r="B33" t="s">
        <v>248</v>
      </c>
      <c r="D33" s="34">
        <v>53000</v>
      </c>
    </row>
    <row r="34" spans="1:5" x14ac:dyDescent="0.25">
      <c r="A34" t="s">
        <v>232</v>
      </c>
      <c r="B34" t="s">
        <v>249</v>
      </c>
      <c r="C34" t="s">
        <v>263</v>
      </c>
      <c r="D34" s="34">
        <v>35000</v>
      </c>
    </row>
    <row r="35" spans="1:5" x14ac:dyDescent="0.25">
      <c r="A35" t="s">
        <v>234</v>
      </c>
      <c r="B35" t="s">
        <v>250</v>
      </c>
      <c r="D35" s="34">
        <v>39500</v>
      </c>
    </row>
    <row r="36" spans="1:5" x14ac:dyDescent="0.25">
      <c r="A36" t="s">
        <v>240</v>
      </c>
      <c r="B36" t="s">
        <v>251</v>
      </c>
      <c r="D36" s="34">
        <v>34500</v>
      </c>
    </row>
    <row r="37" spans="1:5" x14ac:dyDescent="0.25">
      <c r="A37" t="s">
        <v>246</v>
      </c>
      <c r="B37" t="s">
        <v>252</v>
      </c>
      <c r="D37" s="34">
        <v>13500</v>
      </c>
    </row>
    <row r="38" spans="1:5" x14ac:dyDescent="0.25">
      <c r="A38" t="s">
        <v>244</v>
      </c>
      <c r="B38" t="s">
        <v>253</v>
      </c>
      <c r="D38" s="34">
        <v>8000</v>
      </c>
    </row>
    <row r="39" spans="1:5" x14ac:dyDescent="0.25">
      <c r="A39" t="s">
        <v>232</v>
      </c>
      <c r="B39" t="s">
        <v>254</v>
      </c>
      <c r="C39" t="s">
        <v>263</v>
      </c>
      <c r="D39" s="34">
        <v>30500</v>
      </c>
    </row>
    <row r="40" spans="1:5" x14ac:dyDescent="0.25">
      <c r="A40" t="s">
        <v>230</v>
      </c>
      <c r="B40" t="s">
        <v>255</v>
      </c>
      <c r="D40" s="34">
        <v>35000</v>
      </c>
    </row>
    <row r="41" spans="1:5" x14ac:dyDescent="0.25">
      <c r="A41" t="s">
        <v>242</v>
      </c>
      <c r="B41" t="s">
        <v>256</v>
      </c>
      <c r="D41" s="34">
        <v>39500</v>
      </c>
    </row>
    <row r="42" spans="1:5" x14ac:dyDescent="0.25">
      <c r="A42" t="s">
        <v>238</v>
      </c>
      <c r="B42" t="s">
        <v>257</v>
      </c>
      <c r="D42" s="34">
        <v>38000</v>
      </c>
    </row>
    <row r="43" spans="1:5" x14ac:dyDescent="0.25">
      <c r="A43" t="s">
        <v>232</v>
      </c>
      <c r="B43" t="s">
        <v>258</v>
      </c>
      <c r="C43" t="s">
        <v>263</v>
      </c>
      <c r="D43" s="34">
        <v>38000</v>
      </c>
    </row>
    <row r="47" spans="1:5" x14ac:dyDescent="0.25">
      <c r="A47" t="s">
        <v>266</v>
      </c>
      <c r="B47" t="s">
        <v>267</v>
      </c>
      <c r="D47" t="s">
        <v>268</v>
      </c>
      <c r="E47" t="s">
        <v>269</v>
      </c>
    </row>
    <row r="48" spans="1:5" x14ac:dyDescent="0.25">
      <c r="A48">
        <v>4</v>
      </c>
      <c r="B48" t="str" cm="1">
        <f t="array" ref="B48">_xlfn.SWITCH(A48,1,"LUNES",2,"MARTES",3,"MIERCOLES",4,"JUEVES",5,"VIERNES",6,"SABADO",7,"DOMINGO")</f>
        <v>JUEVES</v>
      </c>
      <c r="D48">
        <v>4</v>
      </c>
      <c r="E48" t="str" cm="1">
        <f t="array" ref="E48">_xlfn.SWITCH(D48,1,"INSUFICIENTE",2,"INSUFICIENTE",3,"INSUFICIENTE",4,"INSUFICIENTE",5,"SUFICIENTE",6,"BIEN",7,8,"NOTABLE",9,"SOBRESALIENTE",10,"SOBRESALIENTE")</f>
        <v>INSUFICIENTE</v>
      </c>
    </row>
    <row r="49" spans="1:5" x14ac:dyDescent="0.25">
      <c r="A49">
        <v>1</v>
      </c>
      <c r="B49" t="str" cm="1">
        <f t="array" ref="B49">_xlfn.SWITCH(A49,1,"LUNES",2,"MARTES",3,"MIERCOLES",4,"JUEVES",5,"VIERNES",6,"SABADO",7,"DOMINGO")</f>
        <v>LUNES</v>
      </c>
      <c r="D49">
        <v>5</v>
      </c>
      <c r="E49" t="str" cm="1">
        <f t="array" ref="E49">_xlfn.SWITCH(D49,1,"INSUFICIENTE",2,"INSUFICIENTE",3,"INSUFICIENTE",4,"INSUFICIENTE",5,"SUFICIENTE",6,"BIEN",7,8,"NOTABLE",9,"SOBRESALIENTE",10,"SOBRESALIENTE")</f>
        <v>SUFICIENTE</v>
      </c>
    </row>
    <row r="50" spans="1:5" x14ac:dyDescent="0.25">
      <c r="A50">
        <v>3</v>
      </c>
      <c r="B50" t="str" cm="1">
        <f t="array" ref="B50">_xlfn.SWITCH(A50,1,"LUNES",2,"MARTES",3,"MIERCOLES",4,"JUEVES",5,"VIERNES",6,"SABADO",7,"DOMINGO")</f>
        <v>MIERCOLES</v>
      </c>
      <c r="D50">
        <v>8</v>
      </c>
      <c r="E50" t="str" cm="1">
        <f t="array" ref="E50">_xlfn.SWITCH(D50,1,"INSUFICIENTE",2,"INSUFICIENTE",3,"INSUFICIENTE",4,"INSUFICIENTE",5,"SUFICIENTE",6,"BIEN",7,8,"NOTABLE",9,"SOBRESALIENTE",10,"SOBRESALIENTE")</f>
        <v>SOBRESALIENTE</v>
      </c>
    </row>
    <row r="51" spans="1:5" x14ac:dyDescent="0.25">
      <c r="A51">
        <v>2</v>
      </c>
      <c r="B51" t="str" cm="1">
        <f t="array" ref="B51">_xlfn.SWITCH(A51,1,"LUNES",2,"MARTES",3,"MIERCOLES",4,"JUEVES",5,"VIERNES",6,"SABADO",7,"DOMINGO")</f>
        <v>MARTES</v>
      </c>
    </row>
    <row r="52" spans="1:5" x14ac:dyDescent="0.25">
      <c r="A52">
        <v>5</v>
      </c>
      <c r="B52" t="str" cm="1">
        <f t="array" ref="B52">_xlfn.SWITCH(A52,1,"LUNES",2,"MARTES",3,"MIERCOLES",4,"JUEVES",5,"VIERNES",6,"SABADO",7,"DOMINGO")</f>
        <v>VIERNES</v>
      </c>
    </row>
    <row r="55" spans="1:5" x14ac:dyDescent="0.25">
      <c r="A55" s="128" t="s">
        <v>270</v>
      </c>
      <c r="B55" s="128"/>
    </row>
    <row r="56" spans="1:5" x14ac:dyDescent="0.25">
      <c r="B56">
        <v>2015</v>
      </c>
      <c r="C56">
        <v>2016</v>
      </c>
    </row>
    <row r="57" spans="1:5" x14ac:dyDescent="0.25">
      <c r="A57" t="s">
        <v>271</v>
      </c>
      <c r="B57" s="35">
        <v>2.75</v>
      </c>
      <c r="C57" s="35">
        <v>2.35</v>
      </c>
    </row>
    <row r="58" spans="1:5" x14ac:dyDescent="0.25">
      <c r="A58" t="s">
        <v>272</v>
      </c>
      <c r="B58" s="35">
        <v>3.25</v>
      </c>
      <c r="C58" s="35">
        <v>2.85</v>
      </c>
    </row>
    <row r="59" spans="1:5" x14ac:dyDescent="0.25">
      <c r="A59" t="s">
        <v>273</v>
      </c>
      <c r="B59" s="35">
        <v>3.75</v>
      </c>
      <c r="C59" s="35">
        <v>3.35</v>
      </c>
    </row>
    <row r="60" spans="1:5" x14ac:dyDescent="0.25">
      <c r="B60" s="32"/>
    </row>
    <row r="61" spans="1:5" x14ac:dyDescent="0.25">
      <c r="A61" t="s">
        <v>274</v>
      </c>
      <c r="B61" t="s">
        <v>273</v>
      </c>
    </row>
    <row r="63" spans="1:5" x14ac:dyDescent="0.25">
      <c r="B63">
        <v>2015</v>
      </c>
      <c r="C63">
        <v>2016</v>
      </c>
    </row>
    <row r="64" spans="1:5" x14ac:dyDescent="0.25">
      <c r="B64" s="3" cm="1">
        <f t="array" ref="B64">_xlfn.SWITCH($B$61,$A$57,B57,$A$58,B58,$A$59,B59)</f>
        <v>3.75</v>
      </c>
      <c r="C64" s="3" cm="1">
        <f t="array" ref="C64">_xlfn.SWITCH($B$61,$A$57,C57,$A$58,C58,$A$59,C59)</f>
        <v>3.35</v>
      </c>
    </row>
    <row r="66" spans="1:5" ht="15.75" thickBot="1" x14ac:dyDescent="0.3">
      <c r="A66" s="133" t="s">
        <v>280</v>
      </c>
      <c r="B66" s="133"/>
      <c r="C66" s="133"/>
    </row>
    <row r="67" spans="1:5" ht="15.75" thickBot="1" x14ac:dyDescent="0.3">
      <c r="A67" s="36" t="s">
        <v>124</v>
      </c>
      <c r="B67" s="36" t="s">
        <v>275</v>
      </c>
      <c r="C67" s="36" t="s">
        <v>276</v>
      </c>
    </row>
    <row r="68" spans="1:5" ht="15.75" thickTop="1" x14ac:dyDescent="0.25">
      <c r="A68" t="s">
        <v>277</v>
      </c>
      <c r="B68" t="s">
        <v>278</v>
      </c>
      <c r="C68">
        <v>15</v>
      </c>
      <c r="E68" t="str">
        <f>_xlfn.TEXTJOIN("-",1,A68:C68)</f>
        <v>Maria Anita-Rojas Oscar-15</v>
      </c>
    </row>
    <row r="69" spans="1:5" x14ac:dyDescent="0.25">
      <c r="A69" t="s">
        <v>279</v>
      </c>
      <c r="C69">
        <v>10</v>
      </c>
      <c r="E69" t="str">
        <f>_xlfn.TEXTJOIN("-",1,A69:C69)</f>
        <v>Sandra Elizabeth-10</v>
      </c>
    </row>
  </sheetData>
  <mergeCells count="2">
    <mergeCell ref="A55:B55"/>
    <mergeCell ref="A66:C66"/>
  </mergeCells>
  <pageMargins left="0.7" right="0.7" top="0.75" bottom="0.75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786B-E16A-4985-B47D-4D9F005FB1D5}">
  <sheetPr codeName="Hoja10"/>
  <dimension ref="A1:G44"/>
  <sheetViews>
    <sheetView topLeftCell="A2" workbookViewId="0">
      <selection activeCell="A2" sqref="A2:G44"/>
    </sheetView>
  </sheetViews>
  <sheetFormatPr baseColWidth="10" defaultRowHeight="15" x14ac:dyDescent="0.25"/>
  <cols>
    <col min="1" max="1" width="20.85546875" bestFit="1" customWidth="1"/>
    <col min="2" max="2" width="13.28515625" customWidth="1"/>
    <col min="3" max="3" width="21.85546875" bestFit="1" customWidth="1"/>
    <col min="4" max="5" width="13.28515625" customWidth="1"/>
    <col min="6" max="6" width="14.42578125" bestFit="1" customWidth="1"/>
    <col min="7" max="7" width="18" bestFit="1" customWidth="1"/>
  </cols>
  <sheetData>
    <row r="1" spans="1:7" ht="18" thickBot="1" x14ac:dyDescent="0.3">
      <c r="A1" s="39" t="s">
        <v>380</v>
      </c>
      <c r="B1" s="39" t="s">
        <v>381</v>
      </c>
      <c r="C1" s="39" t="s">
        <v>382</v>
      </c>
      <c r="D1" s="39" t="s">
        <v>383</v>
      </c>
      <c r="E1" s="39" t="s">
        <v>384</v>
      </c>
      <c r="F1" s="39" t="s">
        <v>385</v>
      </c>
      <c r="G1" s="39" t="s">
        <v>386</v>
      </c>
    </row>
    <row r="2" spans="1:7" ht="18.75" thickTop="1" thickBot="1" x14ac:dyDescent="0.3">
      <c r="A2" s="39" t="s">
        <v>281</v>
      </c>
      <c r="B2" s="39" t="s">
        <v>62</v>
      </c>
      <c r="C2" s="39" t="s">
        <v>63</v>
      </c>
      <c r="D2" s="39" t="s">
        <v>282</v>
      </c>
      <c r="E2" s="39" t="s">
        <v>64</v>
      </c>
      <c r="F2" s="39" t="s">
        <v>283</v>
      </c>
      <c r="G2" s="39" t="s">
        <v>65</v>
      </c>
    </row>
    <row r="3" spans="1:7" ht="15.75" thickTop="1" x14ac:dyDescent="0.25">
      <c r="A3" t="s">
        <v>284</v>
      </c>
      <c r="B3" t="s">
        <v>104</v>
      </c>
      <c r="C3" t="s">
        <v>285</v>
      </c>
      <c r="D3" s="38">
        <v>6.6280000000000001</v>
      </c>
      <c r="E3" s="37">
        <v>36821</v>
      </c>
      <c r="F3" t="b">
        <v>0</v>
      </c>
      <c r="G3" t="s">
        <v>232</v>
      </c>
    </row>
    <row r="4" spans="1:7" x14ac:dyDescent="0.25">
      <c r="A4" t="s">
        <v>286</v>
      </c>
      <c r="B4" t="s">
        <v>81</v>
      </c>
      <c r="C4" t="s">
        <v>287</v>
      </c>
      <c r="D4" s="38">
        <v>284.57690000000002</v>
      </c>
      <c r="E4" s="37">
        <v>37326</v>
      </c>
      <c r="F4" t="b">
        <v>1</v>
      </c>
      <c r="G4" t="s">
        <v>240</v>
      </c>
    </row>
    <row r="5" spans="1:7" x14ac:dyDescent="0.25">
      <c r="A5" t="s">
        <v>288</v>
      </c>
      <c r="B5" t="s">
        <v>114</v>
      </c>
      <c r="C5" t="s">
        <v>289</v>
      </c>
      <c r="D5" s="38">
        <v>159.4462</v>
      </c>
      <c r="E5" s="37">
        <v>37402</v>
      </c>
      <c r="F5" t="b">
        <v>1</v>
      </c>
      <c r="G5" t="s">
        <v>290</v>
      </c>
    </row>
    <row r="6" spans="1:7" x14ac:dyDescent="0.25">
      <c r="A6" t="s">
        <v>291</v>
      </c>
      <c r="B6" t="s">
        <v>292</v>
      </c>
      <c r="C6" t="s">
        <v>293</v>
      </c>
      <c r="D6" s="38">
        <v>93.469399999999993</v>
      </c>
      <c r="E6" s="37">
        <v>36605</v>
      </c>
      <c r="F6" t="b">
        <v>1</v>
      </c>
      <c r="G6" t="s">
        <v>294</v>
      </c>
    </row>
    <row r="7" spans="1:7" x14ac:dyDescent="0.25">
      <c r="A7" t="s">
        <v>295</v>
      </c>
      <c r="B7" t="s">
        <v>292</v>
      </c>
      <c r="C7" t="s">
        <v>296</v>
      </c>
      <c r="D7" s="38">
        <v>60</v>
      </c>
      <c r="E7" s="37">
        <v>36782</v>
      </c>
      <c r="F7" t="b">
        <v>1</v>
      </c>
      <c r="G7" t="s">
        <v>294</v>
      </c>
    </row>
    <row r="8" spans="1:7" x14ac:dyDescent="0.25">
      <c r="A8" t="s">
        <v>297</v>
      </c>
      <c r="B8" t="s">
        <v>81</v>
      </c>
      <c r="C8" t="s">
        <v>298</v>
      </c>
      <c r="D8" s="38">
        <v>30.204499999999999</v>
      </c>
      <c r="E8" s="37">
        <v>36973</v>
      </c>
      <c r="F8" t="b">
        <v>1</v>
      </c>
      <c r="G8" t="s">
        <v>242</v>
      </c>
    </row>
    <row r="9" spans="1:7" x14ac:dyDescent="0.25">
      <c r="A9" t="s">
        <v>299</v>
      </c>
      <c r="B9" t="s">
        <v>114</v>
      </c>
      <c r="C9" t="s">
        <v>300</v>
      </c>
      <c r="D9" s="38">
        <v>103.3356</v>
      </c>
      <c r="E9" s="37">
        <v>36627</v>
      </c>
      <c r="F9" t="b">
        <v>1</v>
      </c>
      <c r="G9" t="s">
        <v>301</v>
      </c>
    </row>
    <row r="10" spans="1:7" x14ac:dyDescent="0.25">
      <c r="A10" t="s">
        <v>302</v>
      </c>
      <c r="B10" t="s">
        <v>81</v>
      </c>
      <c r="C10" t="s">
        <v>303</v>
      </c>
      <c r="D10" s="38">
        <v>174.23099999999999</v>
      </c>
      <c r="E10" s="37">
        <v>36535</v>
      </c>
      <c r="F10" t="b">
        <v>1</v>
      </c>
      <c r="G10" t="s">
        <v>290</v>
      </c>
    </row>
    <row r="11" spans="1:7" x14ac:dyDescent="0.25">
      <c r="A11" t="s">
        <v>304</v>
      </c>
      <c r="B11" t="s">
        <v>114</v>
      </c>
      <c r="C11" t="s">
        <v>305</v>
      </c>
      <c r="D11" s="38">
        <v>442.5444</v>
      </c>
      <c r="E11" s="37">
        <v>37523</v>
      </c>
      <c r="F11" t="b">
        <v>1</v>
      </c>
      <c r="G11" t="s">
        <v>294</v>
      </c>
    </row>
    <row r="12" spans="1:7" x14ac:dyDescent="0.25">
      <c r="A12" t="s">
        <v>306</v>
      </c>
      <c r="B12" t="s">
        <v>71</v>
      </c>
      <c r="C12" t="s">
        <v>307</v>
      </c>
      <c r="D12" s="38">
        <v>168.42529999999999</v>
      </c>
      <c r="E12" s="37">
        <v>36560</v>
      </c>
      <c r="F12" t="b">
        <v>1</v>
      </c>
      <c r="G12" t="s">
        <v>246</v>
      </c>
    </row>
    <row r="13" spans="1:7" x14ac:dyDescent="0.25">
      <c r="A13" t="s">
        <v>308</v>
      </c>
      <c r="B13" t="s">
        <v>104</v>
      </c>
      <c r="C13" t="s">
        <v>309</v>
      </c>
      <c r="D13" s="38">
        <v>24.398599999999998</v>
      </c>
      <c r="E13" s="37">
        <v>37034</v>
      </c>
      <c r="F13" t="b">
        <v>1</v>
      </c>
      <c r="G13" t="s">
        <v>294</v>
      </c>
    </row>
    <row r="14" spans="1:7" x14ac:dyDescent="0.25">
      <c r="A14" t="s">
        <v>310</v>
      </c>
      <c r="B14" t="s">
        <v>81</v>
      </c>
      <c r="C14" t="s">
        <v>311</v>
      </c>
      <c r="D14" s="38">
        <v>67.130600000000001</v>
      </c>
      <c r="E14" s="37">
        <v>37479</v>
      </c>
      <c r="F14" t="b">
        <v>0</v>
      </c>
      <c r="G14" t="s">
        <v>232</v>
      </c>
    </row>
    <row r="15" spans="1:7" x14ac:dyDescent="0.25">
      <c r="A15" t="s">
        <v>312</v>
      </c>
      <c r="B15" t="s">
        <v>114</v>
      </c>
      <c r="C15" t="s">
        <v>313</v>
      </c>
      <c r="D15" s="38">
        <v>1505.3766000000001</v>
      </c>
      <c r="E15" s="37">
        <v>37075</v>
      </c>
      <c r="F15" t="b">
        <v>1</v>
      </c>
      <c r="G15" t="s">
        <v>301</v>
      </c>
    </row>
    <row r="16" spans="1:7" x14ac:dyDescent="0.25">
      <c r="A16" t="s">
        <v>314</v>
      </c>
      <c r="B16" t="s">
        <v>71</v>
      </c>
      <c r="C16" t="s">
        <v>315</v>
      </c>
      <c r="D16" s="38">
        <v>54.091099999999997</v>
      </c>
      <c r="E16" s="37">
        <v>36684</v>
      </c>
      <c r="F16" t="b">
        <v>1</v>
      </c>
      <c r="G16" t="s">
        <v>246</v>
      </c>
    </row>
    <row r="17" spans="1:7" x14ac:dyDescent="0.25">
      <c r="A17" t="s">
        <v>316</v>
      </c>
      <c r="B17" t="s">
        <v>104</v>
      </c>
      <c r="C17" t="s">
        <v>317</v>
      </c>
      <c r="D17" s="38">
        <v>6.7362000000000002</v>
      </c>
      <c r="E17" s="37">
        <v>36633</v>
      </c>
      <c r="F17" t="b">
        <v>1</v>
      </c>
      <c r="G17" t="s">
        <v>240</v>
      </c>
    </row>
    <row r="18" spans="1:7" x14ac:dyDescent="0.25">
      <c r="A18" t="s">
        <v>318</v>
      </c>
      <c r="B18" t="s">
        <v>114</v>
      </c>
      <c r="C18" t="s">
        <v>319</v>
      </c>
      <c r="D18" s="38">
        <v>105.05929999999999</v>
      </c>
      <c r="E18" s="37">
        <v>36895</v>
      </c>
      <c r="F18" t="b">
        <v>0</v>
      </c>
      <c r="G18" t="s">
        <v>232</v>
      </c>
    </row>
    <row r="19" spans="1:7" x14ac:dyDescent="0.25">
      <c r="A19" t="s">
        <v>320</v>
      </c>
      <c r="B19" t="s">
        <v>292</v>
      </c>
      <c r="C19" t="s">
        <v>321</v>
      </c>
      <c r="D19" s="38">
        <v>46.734699999999997</v>
      </c>
      <c r="E19" s="37">
        <v>36924</v>
      </c>
      <c r="F19" t="b">
        <v>1</v>
      </c>
      <c r="G19" t="s">
        <v>322</v>
      </c>
    </row>
    <row r="20" spans="1:7" x14ac:dyDescent="0.25">
      <c r="A20" t="s">
        <v>323</v>
      </c>
      <c r="B20" t="s">
        <v>81</v>
      </c>
      <c r="C20" t="s">
        <v>324</v>
      </c>
      <c r="D20" s="38">
        <v>101.0566</v>
      </c>
      <c r="E20" s="37">
        <v>36603</v>
      </c>
      <c r="F20" t="b">
        <v>1</v>
      </c>
      <c r="G20" t="s">
        <v>246</v>
      </c>
    </row>
    <row r="21" spans="1:7" x14ac:dyDescent="0.25">
      <c r="A21" t="s">
        <v>325</v>
      </c>
      <c r="B21" t="s">
        <v>71</v>
      </c>
      <c r="C21" t="s">
        <v>326</v>
      </c>
      <c r="D21" s="38">
        <v>43.272799999999997</v>
      </c>
      <c r="E21" s="37">
        <v>36906</v>
      </c>
      <c r="F21" t="b">
        <v>1</v>
      </c>
      <c r="G21" t="s">
        <v>246</v>
      </c>
    </row>
    <row r="22" spans="1:7" x14ac:dyDescent="0.25">
      <c r="A22" t="s">
        <v>327</v>
      </c>
      <c r="B22" t="s">
        <v>71</v>
      </c>
      <c r="C22" t="s">
        <v>328</v>
      </c>
      <c r="D22" s="38">
        <v>19.7468</v>
      </c>
      <c r="E22" s="37">
        <v>37074</v>
      </c>
      <c r="F22" t="b">
        <v>1</v>
      </c>
      <c r="G22" t="s">
        <v>301</v>
      </c>
    </row>
    <row r="23" spans="1:7" x14ac:dyDescent="0.25">
      <c r="A23" t="s">
        <v>329</v>
      </c>
      <c r="B23" t="s">
        <v>104</v>
      </c>
      <c r="C23" t="s">
        <v>330</v>
      </c>
      <c r="D23" s="38">
        <v>11.395200000000001</v>
      </c>
      <c r="E23" s="37">
        <v>37138</v>
      </c>
      <c r="F23" t="b">
        <v>0</v>
      </c>
      <c r="G23" t="s">
        <v>232</v>
      </c>
    </row>
    <row r="24" spans="1:7" x14ac:dyDescent="0.25">
      <c r="A24" t="s">
        <v>331</v>
      </c>
      <c r="B24" t="s">
        <v>81</v>
      </c>
      <c r="C24" t="s">
        <v>332</v>
      </c>
      <c r="D24" s="38">
        <v>522.69299999999998</v>
      </c>
      <c r="E24" s="37">
        <v>37082</v>
      </c>
      <c r="F24" t="b">
        <v>1</v>
      </c>
      <c r="G24" t="s">
        <v>240</v>
      </c>
    </row>
    <row r="25" spans="1:7" x14ac:dyDescent="0.25">
      <c r="A25" t="s">
        <v>333</v>
      </c>
      <c r="B25" t="s">
        <v>292</v>
      </c>
      <c r="C25" t="s">
        <v>334</v>
      </c>
      <c r="D25" s="38">
        <v>111.64400000000001</v>
      </c>
      <c r="E25" s="37">
        <v>36841</v>
      </c>
      <c r="F25" t="b">
        <v>1</v>
      </c>
      <c r="G25" t="s">
        <v>294</v>
      </c>
    </row>
    <row r="26" spans="1:7" x14ac:dyDescent="0.25">
      <c r="A26" t="s">
        <v>335</v>
      </c>
      <c r="B26" t="s">
        <v>292</v>
      </c>
      <c r="C26" t="s">
        <v>336</v>
      </c>
      <c r="D26" s="38">
        <v>75.273099999999999</v>
      </c>
      <c r="E26" s="37">
        <v>37067</v>
      </c>
      <c r="F26" t="b">
        <v>1</v>
      </c>
      <c r="G26" t="s">
        <v>301</v>
      </c>
    </row>
    <row r="27" spans="1:7" x14ac:dyDescent="0.25">
      <c r="A27" t="s">
        <v>337</v>
      </c>
      <c r="B27" t="s">
        <v>114</v>
      </c>
      <c r="C27" t="s">
        <v>338</v>
      </c>
      <c r="D27" s="38">
        <v>143.702</v>
      </c>
      <c r="E27" s="37">
        <v>36855</v>
      </c>
      <c r="F27" t="b">
        <v>1</v>
      </c>
      <c r="G27" t="s">
        <v>301</v>
      </c>
    </row>
    <row r="28" spans="1:7" x14ac:dyDescent="0.25">
      <c r="A28" t="s">
        <v>339</v>
      </c>
      <c r="B28" t="s">
        <v>81</v>
      </c>
      <c r="C28" t="s">
        <v>340</v>
      </c>
      <c r="D28" s="38">
        <v>1525</v>
      </c>
      <c r="E28" s="37">
        <v>37351</v>
      </c>
      <c r="F28" t="b">
        <v>1</v>
      </c>
      <c r="G28" t="s">
        <v>240</v>
      </c>
    </row>
    <row r="29" spans="1:7" x14ac:dyDescent="0.25">
      <c r="A29" t="s">
        <v>341</v>
      </c>
      <c r="B29" t="s">
        <v>292</v>
      </c>
      <c r="C29" t="s">
        <v>342</v>
      </c>
      <c r="D29" s="38">
        <v>43.914700000000003</v>
      </c>
      <c r="E29" s="37">
        <v>37441</v>
      </c>
      <c r="F29" t="b">
        <v>0</v>
      </c>
      <c r="G29" t="s">
        <v>232</v>
      </c>
    </row>
    <row r="30" spans="1:7" x14ac:dyDescent="0.25">
      <c r="A30" t="s">
        <v>343</v>
      </c>
      <c r="B30" t="s">
        <v>81</v>
      </c>
      <c r="C30" t="s">
        <v>344</v>
      </c>
      <c r="D30" s="38">
        <v>360.0736</v>
      </c>
      <c r="E30" s="37">
        <v>37014</v>
      </c>
      <c r="F30" t="b">
        <v>1</v>
      </c>
      <c r="G30" t="s">
        <v>290</v>
      </c>
    </row>
    <row r="31" spans="1:7" x14ac:dyDescent="0.25">
      <c r="A31" t="s">
        <v>345</v>
      </c>
      <c r="B31" t="s">
        <v>104</v>
      </c>
      <c r="C31" t="s">
        <v>285</v>
      </c>
      <c r="D31" s="38">
        <v>9.0584000000000007</v>
      </c>
      <c r="E31" s="37">
        <v>37307</v>
      </c>
      <c r="F31" t="b">
        <v>1</v>
      </c>
      <c r="G31" t="s">
        <v>242</v>
      </c>
    </row>
    <row r="32" spans="1:7" x14ac:dyDescent="0.25">
      <c r="A32" t="s">
        <v>346</v>
      </c>
      <c r="B32" t="s">
        <v>114</v>
      </c>
      <c r="C32" t="s">
        <v>347</v>
      </c>
      <c r="D32" s="38">
        <v>57.25</v>
      </c>
      <c r="E32" s="37">
        <v>36996</v>
      </c>
      <c r="F32" t="b">
        <v>0</v>
      </c>
      <c r="G32" t="s">
        <v>232</v>
      </c>
    </row>
    <row r="33" spans="1:7" x14ac:dyDescent="0.25">
      <c r="A33" t="s">
        <v>348</v>
      </c>
      <c r="B33" t="s">
        <v>292</v>
      </c>
      <c r="C33" t="s">
        <v>349</v>
      </c>
      <c r="D33" s="38">
        <v>439.1764</v>
      </c>
      <c r="E33" s="37">
        <v>37259</v>
      </c>
      <c r="F33" t="b">
        <v>1</v>
      </c>
      <c r="G33" t="s">
        <v>294</v>
      </c>
    </row>
    <row r="34" spans="1:7" x14ac:dyDescent="0.25">
      <c r="A34" t="s">
        <v>350</v>
      </c>
      <c r="B34" t="s">
        <v>71</v>
      </c>
      <c r="C34" t="s">
        <v>351</v>
      </c>
      <c r="D34" s="38">
        <v>29.043399999999998</v>
      </c>
      <c r="E34" s="37">
        <v>36579</v>
      </c>
      <c r="F34" t="b">
        <v>0</v>
      </c>
      <c r="G34" t="s">
        <v>232</v>
      </c>
    </row>
    <row r="35" spans="1:7" x14ac:dyDescent="0.25">
      <c r="A35" t="s">
        <v>352</v>
      </c>
      <c r="B35" t="s">
        <v>353</v>
      </c>
      <c r="C35" t="s">
        <v>354</v>
      </c>
      <c r="D35" s="38">
        <v>39.760599999999997</v>
      </c>
      <c r="E35" s="37">
        <v>37038</v>
      </c>
      <c r="F35" t="b">
        <v>1</v>
      </c>
      <c r="G35" t="s">
        <v>355</v>
      </c>
    </row>
    <row r="36" spans="1:7" x14ac:dyDescent="0.25">
      <c r="A36" t="s">
        <v>356</v>
      </c>
      <c r="B36" t="s">
        <v>104</v>
      </c>
      <c r="C36" t="s">
        <v>357</v>
      </c>
      <c r="D36" s="38">
        <v>22.069199999999999</v>
      </c>
      <c r="E36" s="37">
        <v>37478</v>
      </c>
      <c r="F36" t="b">
        <v>0</v>
      </c>
      <c r="G36" t="s">
        <v>232</v>
      </c>
    </row>
    <row r="37" spans="1:7" x14ac:dyDescent="0.25">
      <c r="A37" t="s">
        <v>358</v>
      </c>
      <c r="B37" t="s">
        <v>104</v>
      </c>
      <c r="C37" t="s">
        <v>359</v>
      </c>
      <c r="D37" s="38">
        <v>15.095000000000001</v>
      </c>
      <c r="E37" s="37">
        <v>37441</v>
      </c>
      <c r="F37" t="b">
        <v>1</v>
      </c>
      <c r="G37" t="s">
        <v>360</v>
      </c>
    </row>
    <row r="38" spans="1:7" x14ac:dyDescent="0.25">
      <c r="A38" t="s">
        <v>361</v>
      </c>
      <c r="B38" t="s">
        <v>81</v>
      </c>
      <c r="C38" t="s">
        <v>362</v>
      </c>
      <c r="D38" s="38">
        <v>4.3273000000000001</v>
      </c>
      <c r="E38" s="37">
        <v>37388</v>
      </c>
      <c r="F38" t="b">
        <v>0</v>
      </c>
      <c r="G38" t="s">
        <v>232</v>
      </c>
    </row>
    <row r="39" spans="1:7" x14ac:dyDescent="0.25">
      <c r="A39" t="s">
        <v>363</v>
      </c>
      <c r="B39" t="s">
        <v>292</v>
      </c>
      <c r="C39" t="s">
        <v>364</v>
      </c>
      <c r="D39" s="38">
        <v>270</v>
      </c>
      <c r="E39" s="37">
        <v>36570</v>
      </c>
      <c r="F39" t="b">
        <v>1</v>
      </c>
      <c r="G39" t="s">
        <v>294</v>
      </c>
    </row>
    <row r="40" spans="1:7" x14ac:dyDescent="0.25">
      <c r="A40" t="s">
        <v>365</v>
      </c>
      <c r="B40" t="s">
        <v>71</v>
      </c>
      <c r="C40" t="s">
        <v>366</v>
      </c>
      <c r="D40" s="38">
        <v>127.7704</v>
      </c>
      <c r="E40" s="37">
        <v>37501</v>
      </c>
      <c r="F40" t="b">
        <v>1</v>
      </c>
      <c r="G40" t="s">
        <v>246</v>
      </c>
    </row>
    <row r="41" spans="1:7" x14ac:dyDescent="0.25">
      <c r="A41" t="s">
        <v>367</v>
      </c>
      <c r="B41" t="s">
        <v>292</v>
      </c>
      <c r="C41" t="s">
        <v>368</v>
      </c>
      <c r="D41" s="38">
        <v>144</v>
      </c>
      <c r="E41" s="37">
        <v>37381</v>
      </c>
      <c r="F41" t="b">
        <v>0</v>
      </c>
      <c r="G41" t="s">
        <v>232</v>
      </c>
    </row>
    <row r="42" spans="1:7" x14ac:dyDescent="0.25">
      <c r="A42" t="s">
        <v>369</v>
      </c>
      <c r="B42" t="s">
        <v>292</v>
      </c>
      <c r="C42" t="s">
        <v>370</v>
      </c>
      <c r="D42" s="38">
        <v>21.6</v>
      </c>
      <c r="E42" s="37">
        <v>37289</v>
      </c>
      <c r="F42" t="b">
        <v>0</v>
      </c>
      <c r="G42" t="s">
        <v>232</v>
      </c>
    </row>
    <row r="43" spans="1:7" x14ac:dyDescent="0.25">
      <c r="A43" t="s">
        <v>387</v>
      </c>
      <c r="B43" t="s">
        <v>292</v>
      </c>
      <c r="C43" t="s">
        <v>370</v>
      </c>
      <c r="D43" s="38">
        <v>52.6</v>
      </c>
      <c r="E43" s="37">
        <v>37378</v>
      </c>
      <c r="G43" t="s">
        <v>388</v>
      </c>
    </row>
    <row r="44" spans="1:7" x14ac:dyDescent="0.25">
      <c r="A44" t="s">
        <v>430</v>
      </c>
      <c r="D44" s="38"/>
      <c r="E44" s="37"/>
    </row>
  </sheetData>
  <dataConsolidate/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1923-76B0-4322-A5D5-07E1A402407D}">
  <sheetPr codeName="Hoja11"/>
  <dimension ref="A1:J26"/>
  <sheetViews>
    <sheetView topLeftCell="A18" workbookViewId="0">
      <selection activeCell="F32" sqref="F32"/>
    </sheetView>
  </sheetViews>
  <sheetFormatPr baseColWidth="10" defaultRowHeight="15" x14ac:dyDescent="0.25"/>
  <cols>
    <col min="3" max="3" width="21.85546875" bestFit="1" customWidth="1"/>
    <col min="6" max="6" width="14.42578125" bestFit="1" customWidth="1"/>
    <col min="7" max="7" width="18" bestFit="1" customWidth="1"/>
    <col min="9" max="9" width="39" bestFit="1" customWidth="1"/>
    <col min="10" max="10" width="14.85546875" customWidth="1"/>
  </cols>
  <sheetData>
    <row r="1" spans="1:10" ht="18" thickBot="1" x14ac:dyDescent="0.3">
      <c r="A1" s="39" t="s">
        <v>281</v>
      </c>
      <c r="B1" s="39" t="s">
        <v>62</v>
      </c>
      <c r="C1" s="39" t="s">
        <v>63</v>
      </c>
      <c r="D1" s="39" t="s">
        <v>282</v>
      </c>
      <c r="E1" s="39" t="s">
        <v>64</v>
      </c>
      <c r="F1" s="39" t="s">
        <v>283</v>
      </c>
      <c r="G1" s="39" t="s">
        <v>65</v>
      </c>
    </row>
    <row r="2" spans="1:10" ht="15.75" thickTop="1" x14ac:dyDescent="0.25">
      <c r="B2" t="s">
        <v>375</v>
      </c>
      <c r="G2" t="s">
        <v>79</v>
      </c>
    </row>
    <row r="3" spans="1:10" x14ac:dyDescent="0.25">
      <c r="G3" t="s">
        <v>240</v>
      </c>
    </row>
    <row r="4" spans="1:10" x14ac:dyDescent="0.25">
      <c r="I4" t="s">
        <v>371</v>
      </c>
      <c r="J4">
        <f>DSUM(Pagina6!A2:G44,Pagina6!D2,A1:G2)</f>
        <v>40.092399999999998</v>
      </c>
    </row>
    <row r="5" spans="1:10" x14ac:dyDescent="0.25">
      <c r="I5" t="s">
        <v>372</v>
      </c>
      <c r="J5">
        <f>DSUM(Pagina6!A2:G44,Pagina6!D2,A8:G9)</f>
        <v>2339.0061000000001</v>
      </c>
    </row>
    <row r="6" spans="1:10" x14ac:dyDescent="0.25">
      <c r="I6" t="s">
        <v>373</v>
      </c>
      <c r="J6">
        <f>DSUM(Pagina6!A2:G44,Pagina6!D2,A1:G3)</f>
        <v>2379.0985000000001</v>
      </c>
    </row>
    <row r="7" spans="1:10" x14ac:dyDescent="0.25">
      <c r="I7" t="s">
        <v>374</v>
      </c>
      <c r="J7">
        <f>DAVERAGE(Pagina6!A2:G44,Pagina6!D2,C1:G2)</f>
        <v>46.58342727272727</v>
      </c>
    </row>
    <row r="8" spans="1:10" ht="18" thickBot="1" x14ac:dyDescent="0.3">
      <c r="A8" s="39" t="s">
        <v>281</v>
      </c>
      <c r="B8" s="39" t="s">
        <v>62</v>
      </c>
      <c r="C8" s="39" t="s">
        <v>63</v>
      </c>
      <c r="D8" s="39" t="s">
        <v>282</v>
      </c>
      <c r="E8" s="39" t="s">
        <v>64</v>
      </c>
      <c r="F8" s="39" t="s">
        <v>283</v>
      </c>
      <c r="G8" s="39" t="s">
        <v>65</v>
      </c>
    </row>
    <row r="9" spans="1:10" ht="15.75" thickTop="1" x14ac:dyDescent="0.25">
      <c r="G9" t="s">
        <v>240</v>
      </c>
    </row>
    <row r="12" spans="1:10" ht="18" thickBot="1" x14ac:dyDescent="0.3">
      <c r="A12" s="39" t="s">
        <v>281</v>
      </c>
      <c r="B12" s="39" t="s">
        <v>62</v>
      </c>
      <c r="C12" s="39" t="s">
        <v>63</v>
      </c>
      <c r="D12" s="39" t="s">
        <v>282</v>
      </c>
      <c r="E12" s="39" t="s">
        <v>64</v>
      </c>
      <c r="F12" s="39" t="s">
        <v>283</v>
      </c>
      <c r="G12" s="39" t="s">
        <v>65</v>
      </c>
    </row>
    <row r="13" spans="1:10" ht="15.75" thickTop="1" x14ac:dyDescent="0.25">
      <c r="C13" t="s">
        <v>376</v>
      </c>
      <c r="I13" t="s">
        <v>377</v>
      </c>
      <c r="J13">
        <f>DSUM(Pagina6!A2:G44,Pagina6!D2,A12:G13)</f>
        <v>1876.7075</v>
      </c>
    </row>
    <row r="16" spans="1:10" ht="18" thickBot="1" x14ac:dyDescent="0.3">
      <c r="A16" s="39" t="s">
        <v>281</v>
      </c>
      <c r="B16" s="39" t="s">
        <v>62</v>
      </c>
      <c r="C16" s="39" t="s">
        <v>63</v>
      </c>
      <c r="D16" s="39" t="s">
        <v>282</v>
      </c>
      <c r="E16" s="39" t="s">
        <v>64</v>
      </c>
      <c r="F16" s="39" t="s">
        <v>283</v>
      </c>
      <c r="G16" s="39" t="s">
        <v>65</v>
      </c>
    </row>
    <row r="17" spans="1:10" ht="15.75" thickTop="1" x14ac:dyDescent="0.25">
      <c r="B17" t="s">
        <v>375</v>
      </c>
      <c r="I17" t="s">
        <v>378</v>
      </c>
      <c r="J17">
        <f>DSUM(Pagina6!A2:G44,Pagina6!D2,A16:G19)</f>
        <v>2899.9757999999993</v>
      </c>
    </row>
    <row r="18" spans="1:10" x14ac:dyDescent="0.25">
      <c r="G18" t="s">
        <v>79</v>
      </c>
    </row>
    <row r="19" spans="1:10" x14ac:dyDescent="0.25">
      <c r="G19" t="s">
        <v>240</v>
      </c>
    </row>
    <row r="23" spans="1:10" ht="18" thickBot="1" x14ac:dyDescent="0.3">
      <c r="A23" s="39" t="s">
        <v>281</v>
      </c>
      <c r="B23" s="39" t="s">
        <v>62</v>
      </c>
      <c r="C23" s="39" t="s">
        <v>63</v>
      </c>
      <c r="D23" s="39" t="s">
        <v>282</v>
      </c>
      <c r="E23" s="39" t="s">
        <v>64</v>
      </c>
      <c r="F23" s="39" t="s">
        <v>283</v>
      </c>
      <c r="G23" s="39" t="s">
        <v>65</v>
      </c>
    </row>
    <row r="24" spans="1:10" ht="15.75" thickTop="1" x14ac:dyDescent="0.25">
      <c r="G24" t="s">
        <v>79</v>
      </c>
    </row>
    <row r="25" spans="1:10" x14ac:dyDescent="0.25">
      <c r="G25" t="s">
        <v>83</v>
      </c>
      <c r="I25" t="s">
        <v>379</v>
      </c>
      <c r="J25">
        <f>DSUM(Tabla1[],Pagina6!D2,ZonaCriterios)</f>
        <v>2851.4237999999996</v>
      </c>
    </row>
    <row r="26" spans="1:10" x14ac:dyDescent="0.25">
      <c r="I26" t="s">
        <v>389</v>
      </c>
      <c r="J26">
        <f>DMAX(Tabla1[],Pagina6!D2,B23:G24)</f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7ED5-FC38-4004-B52C-33A60AFD32F7}">
  <sheetPr codeName="Hoja12"/>
  <dimension ref="A1:G18"/>
  <sheetViews>
    <sheetView workbookViewId="0">
      <selection activeCell="B18" sqref="B18"/>
    </sheetView>
  </sheetViews>
  <sheetFormatPr baseColWidth="10" defaultRowHeight="15" x14ac:dyDescent="0.25"/>
  <cols>
    <col min="1" max="1" width="20.140625" bestFit="1" customWidth="1"/>
  </cols>
  <sheetData>
    <row r="1" spans="1:7" ht="15.75" thickBot="1" x14ac:dyDescent="0.3">
      <c r="B1" s="41" t="s">
        <v>390</v>
      </c>
      <c r="C1" s="41" t="s">
        <v>391</v>
      </c>
      <c r="D1" s="42" t="s">
        <v>392</v>
      </c>
      <c r="E1" s="41" t="s">
        <v>393</v>
      </c>
    </row>
    <row r="2" spans="1:7" ht="15.75" thickTop="1" x14ac:dyDescent="0.25">
      <c r="A2" s="43" t="s">
        <v>394</v>
      </c>
      <c r="B2" s="40">
        <v>1200</v>
      </c>
      <c r="C2" s="40">
        <v>1100</v>
      </c>
      <c r="D2" s="40">
        <v>1350</v>
      </c>
      <c r="E2" s="40">
        <v>1250</v>
      </c>
    </row>
    <row r="3" spans="1:7" x14ac:dyDescent="0.25">
      <c r="A3" s="43" t="s">
        <v>395</v>
      </c>
      <c r="B3" s="40">
        <v>1350</v>
      </c>
      <c r="C3" s="40">
        <v>900</v>
      </c>
      <c r="D3" s="40">
        <v>850</v>
      </c>
      <c r="E3" s="40">
        <v>850</v>
      </c>
    </row>
    <row r="4" spans="1:7" x14ac:dyDescent="0.25">
      <c r="A4" s="43" t="s">
        <v>396</v>
      </c>
      <c r="B4" s="40">
        <v>850</v>
      </c>
      <c r="C4" s="40">
        <v>650</v>
      </c>
      <c r="D4" s="40">
        <v>950</v>
      </c>
      <c r="E4" s="40">
        <v>950</v>
      </c>
    </row>
    <row r="5" spans="1:7" x14ac:dyDescent="0.25">
      <c r="A5" s="43" t="s">
        <v>2</v>
      </c>
      <c r="B5" s="40">
        <v>3400</v>
      </c>
      <c r="C5" s="40">
        <v>2650</v>
      </c>
      <c r="D5" s="40">
        <v>3150</v>
      </c>
      <c r="E5" s="40">
        <v>3290</v>
      </c>
    </row>
    <row r="10" spans="1:7" x14ac:dyDescent="0.25">
      <c r="A10" s="11"/>
      <c r="B10" s="11" t="s">
        <v>397</v>
      </c>
      <c r="C10" s="11" t="s">
        <v>398</v>
      </c>
      <c r="D10" s="11" t="s">
        <v>399</v>
      </c>
      <c r="F10" s="11" t="s">
        <v>401</v>
      </c>
    </row>
    <row r="11" spans="1:7" x14ac:dyDescent="0.25">
      <c r="A11" s="11" t="s">
        <v>25</v>
      </c>
      <c r="B11" s="40">
        <v>15000</v>
      </c>
      <c r="C11" s="40">
        <v>21000</v>
      </c>
      <c r="D11" s="40">
        <v>25000</v>
      </c>
      <c r="F11" t="s">
        <v>402</v>
      </c>
      <c r="G11" s="3">
        <v>0.02</v>
      </c>
    </row>
    <row r="12" spans="1:7" x14ac:dyDescent="0.25">
      <c r="A12" s="11" t="s">
        <v>400</v>
      </c>
      <c r="B12" s="40">
        <v>17000</v>
      </c>
      <c r="C12" s="40">
        <v>15500</v>
      </c>
      <c r="D12" s="40">
        <v>14500</v>
      </c>
      <c r="F12" t="s">
        <v>398</v>
      </c>
      <c r="G12" s="32">
        <v>2.5000000000000001E-2</v>
      </c>
    </row>
    <row r="13" spans="1:7" x14ac:dyDescent="0.25">
      <c r="A13" s="11" t="s">
        <v>24</v>
      </c>
      <c r="B13" s="40">
        <v>21000</v>
      </c>
      <c r="C13" s="40">
        <v>31000</v>
      </c>
      <c r="D13" s="40">
        <v>41000</v>
      </c>
      <c r="F13" t="s">
        <v>399</v>
      </c>
      <c r="G13" s="32">
        <v>1.9E-2</v>
      </c>
    </row>
    <row r="17" spans="1:2" x14ac:dyDescent="0.25">
      <c r="A17" t="s">
        <v>403</v>
      </c>
      <c r="B17" cm="1">
        <f t="array" ref="B17">Maria Febrero * G$12</f>
        <v>387.5</v>
      </c>
    </row>
    <row r="18" spans="1:2" x14ac:dyDescent="0.25">
      <c r="B18" cm="1">
        <f t="array" ref="B18">Antonio Marzo * G$13</f>
        <v>475</v>
      </c>
    </row>
  </sheetData>
  <dataConsolidate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0C1C-1AC8-4C85-9D53-3C90BDD6ADF9}">
  <sheetPr codeName="Hoja13"/>
  <dimension ref="A1:E5"/>
  <sheetViews>
    <sheetView workbookViewId="0">
      <selection activeCell="B4" sqref="B4"/>
    </sheetView>
  </sheetViews>
  <sheetFormatPr baseColWidth="10" defaultRowHeight="15" x14ac:dyDescent="0.25"/>
  <sheetData>
    <row r="1" spans="1:5" ht="15.75" thickBot="1" x14ac:dyDescent="0.3">
      <c r="B1" s="41" t="s">
        <v>390</v>
      </c>
      <c r="C1" s="41" t="s">
        <v>391</v>
      </c>
      <c r="D1" s="42" t="s">
        <v>392</v>
      </c>
      <c r="E1" s="41" t="s">
        <v>393</v>
      </c>
    </row>
    <row r="2" spans="1:5" ht="15.75" thickTop="1" x14ac:dyDescent="0.25">
      <c r="A2" s="43" t="s">
        <v>394</v>
      </c>
      <c r="B2" s="40">
        <v>1600</v>
      </c>
      <c r="C2" s="40">
        <v>1500</v>
      </c>
      <c r="D2" s="40">
        <v>1100</v>
      </c>
      <c r="E2" s="40">
        <v>1000</v>
      </c>
    </row>
    <row r="3" spans="1:5" x14ac:dyDescent="0.25">
      <c r="A3" s="43" t="s">
        <v>395</v>
      </c>
      <c r="B3" s="40">
        <v>1150</v>
      </c>
      <c r="C3" s="40">
        <v>500</v>
      </c>
      <c r="D3" s="40">
        <v>860</v>
      </c>
      <c r="E3" s="40">
        <v>500</v>
      </c>
    </row>
    <row r="4" spans="1:5" x14ac:dyDescent="0.25">
      <c r="A4" s="43" t="s">
        <v>396</v>
      </c>
      <c r="B4" s="40">
        <v>800</v>
      </c>
      <c r="C4" s="40">
        <v>250</v>
      </c>
      <c r="D4" s="40">
        <v>700</v>
      </c>
      <c r="E4" s="40">
        <v>150</v>
      </c>
    </row>
    <row r="5" spans="1:5" x14ac:dyDescent="0.25">
      <c r="A5" s="43" t="s">
        <v>2</v>
      </c>
      <c r="B5" s="40">
        <v>3600</v>
      </c>
      <c r="C5" s="40">
        <v>2650</v>
      </c>
      <c r="D5" s="40">
        <v>3000</v>
      </c>
      <c r="E5" s="40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DE1C-995A-41AC-A716-03A26F1C4543}">
  <sheetPr codeName="Hoja14"/>
  <dimension ref="A1:E13"/>
  <sheetViews>
    <sheetView workbookViewId="0">
      <selection activeCell="F15" sqref="F15"/>
    </sheetView>
  </sheetViews>
  <sheetFormatPr baseColWidth="10" defaultRowHeight="15" outlineLevelRow="1" x14ac:dyDescent="0.25"/>
  <cols>
    <col min="1" max="1" width="9.5703125" bestFit="1" customWidth="1"/>
  </cols>
  <sheetData>
    <row r="1" spans="1:5" x14ac:dyDescent="0.25">
      <c r="B1" t="s">
        <v>390</v>
      </c>
      <c r="C1" t="s">
        <v>391</v>
      </c>
      <c r="D1" t="s">
        <v>392</v>
      </c>
      <c r="E1" t="s">
        <v>393</v>
      </c>
    </row>
    <row r="2" spans="1:5" hidden="1" outlineLevel="1" x14ac:dyDescent="0.25">
      <c r="B2" s="2">
        <f>Trim1!$B$2</f>
        <v>1200</v>
      </c>
      <c r="C2" s="2">
        <f>Trim1!$C$2</f>
        <v>1100</v>
      </c>
      <c r="D2" s="2">
        <f>Trim1!$D$2</f>
        <v>1350</v>
      </c>
      <c r="E2" s="2">
        <f>Trim1!$E$2</f>
        <v>1250</v>
      </c>
    </row>
    <row r="3" spans="1:5" hidden="1" outlineLevel="1" collapsed="1" x14ac:dyDescent="0.25">
      <c r="B3" s="2">
        <f>Trim2!$B$2</f>
        <v>1600</v>
      </c>
      <c r="C3" s="2">
        <f>Trim2!$C$2</f>
        <v>1500</v>
      </c>
      <c r="D3" s="2">
        <f>Trim2!$D$2</f>
        <v>1100</v>
      </c>
      <c r="E3" s="2">
        <f>Trim2!$E$2</f>
        <v>1000</v>
      </c>
    </row>
    <row r="4" spans="1:5" collapsed="1" x14ac:dyDescent="0.25">
      <c r="A4" t="s">
        <v>394</v>
      </c>
      <c r="B4" s="2">
        <f>SUM(B2:B3)</f>
        <v>2800</v>
      </c>
      <c r="C4" s="2">
        <f>SUM(C2:C3)</f>
        <v>2600</v>
      </c>
      <c r="D4" s="2">
        <f>SUM(D2:D3)</f>
        <v>2450</v>
      </c>
      <c r="E4" s="2">
        <f>SUM(E2:E3)</f>
        <v>2250</v>
      </c>
    </row>
    <row r="5" spans="1:5" hidden="1" outlineLevel="1" x14ac:dyDescent="0.25">
      <c r="B5" s="2">
        <f>Trim1!$B$3</f>
        <v>1350</v>
      </c>
      <c r="C5" s="2">
        <f>Trim1!$C$3</f>
        <v>900</v>
      </c>
      <c r="D5" s="2">
        <f>Trim1!$D$3</f>
        <v>850</v>
      </c>
      <c r="E5" s="2">
        <f>Trim1!$E$3</f>
        <v>850</v>
      </c>
    </row>
    <row r="6" spans="1:5" hidden="1" outlineLevel="1" collapsed="1" x14ac:dyDescent="0.25">
      <c r="B6" s="2">
        <f>Trim2!$B$3</f>
        <v>1150</v>
      </c>
      <c r="C6" s="2">
        <f>Trim2!$C$3</f>
        <v>500</v>
      </c>
      <c r="D6" s="2">
        <f>Trim2!$D$3</f>
        <v>860</v>
      </c>
      <c r="E6" s="2">
        <f>Trim2!$E$3</f>
        <v>500</v>
      </c>
    </row>
    <row r="7" spans="1:5" collapsed="1" x14ac:dyDescent="0.25">
      <c r="A7" t="s">
        <v>395</v>
      </c>
      <c r="B7" s="2">
        <f>SUM(B5:B6)</f>
        <v>2500</v>
      </c>
      <c r="C7" s="2">
        <f>SUM(C5:C6)</f>
        <v>1400</v>
      </c>
      <c r="D7" s="2">
        <f>SUM(D5:D6)</f>
        <v>1710</v>
      </c>
      <c r="E7" s="2">
        <f>SUM(E5:E6)</f>
        <v>1350</v>
      </c>
    </row>
    <row r="8" spans="1:5" hidden="1" outlineLevel="1" x14ac:dyDescent="0.25">
      <c r="B8" s="2">
        <f>Trim1!$B$4</f>
        <v>850</v>
      </c>
      <c r="C8" s="2">
        <f>Trim1!$C$4</f>
        <v>650</v>
      </c>
      <c r="D8" s="2">
        <f>Trim1!$D$4</f>
        <v>950</v>
      </c>
      <c r="E8" s="2">
        <f>Trim1!$E$4</f>
        <v>950</v>
      </c>
    </row>
    <row r="9" spans="1:5" hidden="1" outlineLevel="1" collapsed="1" x14ac:dyDescent="0.25">
      <c r="B9" s="2">
        <f>Trim2!$B$4</f>
        <v>800</v>
      </c>
      <c r="C9" s="2">
        <f>Trim2!$C$4</f>
        <v>250</v>
      </c>
      <c r="D9" s="2">
        <f>Trim2!$D$4</f>
        <v>700</v>
      </c>
      <c r="E9" s="2">
        <f>Trim2!$E$4</f>
        <v>150</v>
      </c>
    </row>
    <row r="10" spans="1:5" collapsed="1" x14ac:dyDescent="0.25">
      <c r="A10" t="s">
        <v>396</v>
      </c>
      <c r="B10" s="2">
        <f>SUM(B8:B9)</f>
        <v>1650</v>
      </c>
      <c r="C10" s="2">
        <f>SUM(C8:C9)</f>
        <v>900</v>
      </c>
      <c r="D10" s="2">
        <f>SUM(D8:D9)</f>
        <v>1650</v>
      </c>
      <c r="E10" s="2">
        <f>SUM(E8:E9)</f>
        <v>1100</v>
      </c>
    </row>
    <row r="11" spans="1:5" hidden="1" outlineLevel="1" x14ac:dyDescent="0.25">
      <c r="B11" s="2">
        <f>Trim1!$B$5</f>
        <v>3400</v>
      </c>
      <c r="C11" s="2">
        <f>Trim1!$C$5</f>
        <v>2650</v>
      </c>
      <c r="D11" s="2">
        <f>Trim1!$D$5</f>
        <v>3150</v>
      </c>
      <c r="E11" s="2">
        <f>Trim1!$E$5</f>
        <v>3290</v>
      </c>
    </row>
    <row r="12" spans="1:5" hidden="1" outlineLevel="1" collapsed="1" x14ac:dyDescent="0.25">
      <c r="B12" s="2">
        <f>Trim2!$B$5</f>
        <v>3600</v>
      </c>
      <c r="C12" s="2">
        <f>Trim2!$C$5</f>
        <v>2650</v>
      </c>
      <c r="D12" s="2">
        <f>Trim2!$D$5</f>
        <v>3000</v>
      </c>
      <c r="E12" s="2">
        <f>Trim2!$E$5</f>
        <v>3000</v>
      </c>
    </row>
    <row r="13" spans="1:5" collapsed="1" x14ac:dyDescent="0.25">
      <c r="A13" t="s">
        <v>2</v>
      </c>
      <c r="B13" s="2">
        <f>SUM(B11:B12)</f>
        <v>7000</v>
      </c>
      <c r="C13" s="2">
        <f>SUM(C11:C12)</f>
        <v>5300</v>
      </c>
      <c r="D13" s="2">
        <f>SUM(D11:D12)</f>
        <v>6150</v>
      </c>
      <c r="E13" s="2">
        <f>SUM(E11:E12)</f>
        <v>6290</v>
      </c>
    </row>
  </sheetData>
  <dataConsolidate topLabels="1" link="1">
    <dataRefs count="3">
      <dataRef ref="A1:E5" sheet="Trim1"/>
      <dataRef ref="B1:F5" sheet="Trim2"/>
      <dataRef ref="B1:F5" sheet="TrimTotal"/>
    </dataRefs>
  </dataConsolid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F6C7-F56D-4B73-8AC9-D85FBBE18270}">
  <sheetPr codeName="Hoja15"/>
  <dimension ref="A1:E30"/>
  <sheetViews>
    <sheetView workbookViewId="0">
      <selection activeCell="E8" sqref="E8"/>
    </sheetView>
  </sheetViews>
  <sheetFormatPr baseColWidth="10" defaultRowHeight="15" outlineLevelRow="1" x14ac:dyDescent="0.25"/>
  <cols>
    <col min="1" max="1" width="9.5703125" bestFit="1" customWidth="1"/>
  </cols>
  <sheetData>
    <row r="1" spans="1:5" x14ac:dyDescent="0.25">
      <c r="B1" t="s">
        <v>390</v>
      </c>
      <c r="C1" t="s">
        <v>391</v>
      </c>
      <c r="D1" t="s">
        <v>392</v>
      </c>
      <c r="E1" t="s">
        <v>393</v>
      </c>
    </row>
    <row r="2" spans="1:5" outlineLevel="1" x14ac:dyDescent="0.25">
      <c r="B2" s="2">
        <f>'[1]hoja-libro-trimestral1'!$B$2</f>
        <v>1300</v>
      </c>
      <c r="C2" s="2">
        <f>'[1]hoja-libro-trimestral1'!$C$2</f>
        <v>1100</v>
      </c>
      <c r="D2" s="2">
        <f>'[1]hoja-libro-trimestral1'!$D$2</f>
        <v>1350</v>
      </c>
      <c r="E2" s="2">
        <f>'[1]hoja-libro-trimestral1'!$E$2</f>
        <v>1250</v>
      </c>
    </row>
    <row r="3" spans="1:5" outlineLevel="1" collapsed="1" x14ac:dyDescent="0.25">
      <c r="B3" s="2">
        <f>'[2]hoja-libro-trimestral2'!$B$2</f>
        <v>1700</v>
      </c>
      <c r="C3" s="2">
        <f>'[2]hoja-libro-trimestral2'!$C$2</f>
        <v>1500</v>
      </c>
      <c r="D3" s="2">
        <f>'[2]hoja-libro-trimestral2'!$D$2</f>
        <v>1100</v>
      </c>
      <c r="E3" s="2">
        <f>'[2]hoja-libro-trimestral2'!$E$2</f>
        <v>1000</v>
      </c>
    </row>
    <row r="4" spans="1:5" x14ac:dyDescent="0.25">
      <c r="A4" t="s">
        <v>394</v>
      </c>
      <c r="B4" s="2">
        <f>SUM(B2:B3)</f>
        <v>3000</v>
      </c>
      <c r="C4" s="2">
        <f>SUM(C2:C3)</f>
        <v>2600</v>
      </c>
      <c r="D4" s="2">
        <f>SUM(D2:D3)</f>
        <v>2450</v>
      </c>
      <c r="E4" s="2">
        <f>SUM(E2:E3)</f>
        <v>2250</v>
      </c>
    </row>
    <row r="5" spans="1:5" outlineLevel="1" x14ac:dyDescent="0.25">
      <c r="B5" s="2">
        <f>'[1]hoja-libro-trimestral1'!$B$3</f>
        <v>1350</v>
      </c>
      <c r="C5" s="2">
        <f>'[1]hoja-libro-trimestral1'!$C$3</f>
        <v>900</v>
      </c>
      <c r="D5" s="2">
        <f>'[1]hoja-libro-trimestral1'!$D$3</f>
        <v>850</v>
      </c>
      <c r="E5" s="2">
        <f>'[1]hoja-libro-trimestral1'!$E$3</f>
        <v>850</v>
      </c>
    </row>
    <row r="6" spans="1:5" outlineLevel="1" collapsed="1" x14ac:dyDescent="0.25">
      <c r="B6" s="2">
        <f>'[2]hoja-libro-trimestral2'!$B$3</f>
        <v>1150</v>
      </c>
      <c r="C6" s="2">
        <f>'[2]hoja-libro-trimestral2'!$C$3</f>
        <v>500</v>
      </c>
      <c r="D6" s="2">
        <f>'[2]hoja-libro-trimestral2'!$D$3</f>
        <v>860</v>
      </c>
      <c r="E6" s="2">
        <f>'[2]hoja-libro-trimestral2'!$E$3</f>
        <v>500</v>
      </c>
    </row>
    <row r="7" spans="1:5" x14ac:dyDescent="0.25">
      <c r="A7" t="s">
        <v>395</v>
      </c>
      <c r="B7" s="2">
        <f>SUM(B5:B6)</f>
        <v>2500</v>
      </c>
      <c r="C7" s="2">
        <f>SUM(C5:C6)</f>
        <v>1400</v>
      </c>
      <c r="D7" s="2">
        <f>SUM(D5:D6)</f>
        <v>1710</v>
      </c>
      <c r="E7" s="2">
        <f>SUM(E5:E6)</f>
        <v>1350</v>
      </c>
    </row>
    <row r="8" spans="1:5" outlineLevel="1" x14ac:dyDescent="0.25">
      <c r="B8" s="2">
        <f>'[1]hoja-libro-trimestral1'!$B$4</f>
        <v>850</v>
      </c>
      <c r="C8" s="2">
        <f t="shared" ref="C8:C12" si="0">SUM(C6:C7)</f>
        <v>1900</v>
      </c>
      <c r="D8" s="2">
        <f>'[1]hoja-libro-trimestral1'!$D$4</f>
        <v>950</v>
      </c>
      <c r="E8" s="2">
        <f>'[1]hoja-libro-trimestral1'!$E$4</f>
        <v>950</v>
      </c>
    </row>
    <row r="9" spans="1:5" outlineLevel="1" collapsed="1" x14ac:dyDescent="0.25">
      <c r="B9" s="2">
        <f>'[2]hoja-libro-trimestral2'!$B$4</f>
        <v>800</v>
      </c>
      <c r="C9" s="2">
        <f t="shared" si="0"/>
        <v>3300</v>
      </c>
      <c r="D9" s="2">
        <f>'[2]hoja-libro-trimestral2'!$D$4</f>
        <v>700</v>
      </c>
      <c r="E9" s="2">
        <f>'[2]hoja-libro-trimestral2'!$E$4</f>
        <v>150</v>
      </c>
    </row>
    <row r="10" spans="1:5" x14ac:dyDescent="0.25">
      <c r="A10" t="s">
        <v>396</v>
      </c>
      <c r="B10" s="2">
        <f>SUM(B8:B9)</f>
        <v>1650</v>
      </c>
      <c r="C10" s="2">
        <f t="shared" si="0"/>
        <v>5200</v>
      </c>
      <c r="D10" s="2">
        <f>SUM(D8:D9)</f>
        <v>1650</v>
      </c>
      <c r="E10" s="2">
        <f>SUM(E8:E9)</f>
        <v>1100</v>
      </c>
    </row>
    <row r="11" spans="1:5" outlineLevel="1" x14ac:dyDescent="0.25">
      <c r="B11" s="2">
        <f>'[1]hoja-libro-trimestral1'!$B$5</f>
        <v>3400</v>
      </c>
      <c r="C11" s="2">
        <f t="shared" si="0"/>
        <v>8500</v>
      </c>
      <c r="D11" s="2">
        <f>'[1]hoja-libro-trimestral1'!$D$5</f>
        <v>3150</v>
      </c>
      <c r="E11" s="2">
        <f>'[1]hoja-libro-trimestral1'!$E$5</f>
        <v>3290</v>
      </c>
    </row>
    <row r="12" spans="1:5" outlineLevel="1" collapsed="1" x14ac:dyDescent="0.25">
      <c r="B12" s="2">
        <f>'[2]hoja-libro-trimestral2'!$B$5</f>
        <v>3600</v>
      </c>
      <c r="C12" s="2">
        <f t="shared" si="0"/>
        <v>13700</v>
      </c>
      <c r="D12" s="2">
        <f>'[2]hoja-libro-trimestral2'!$D$5</f>
        <v>3000</v>
      </c>
      <c r="E12" s="2">
        <f>'[2]hoja-libro-trimestral2'!$E$5</f>
        <v>3000</v>
      </c>
    </row>
    <row r="13" spans="1:5" x14ac:dyDescent="0.25">
      <c r="A13" t="s">
        <v>2</v>
      </c>
      <c r="B13" s="2">
        <f>SUM(B11:B12)</f>
        <v>7000</v>
      </c>
      <c r="C13" s="2">
        <f>SUM(C11:C12)</f>
        <v>22200</v>
      </c>
      <c r="D13" s="2">
        <f>SUM(D11:D12)</f>
        <v>6150</v>
      </c>
      <c r="E13" s="2">
        <f>SUM(E11:E12)</f>
        <v>6290</v>
      </c>
    </row>
    <row r="23" spans="2:5" x14ac:dyDescent="0.25">
      <c r="B23">
        <f>'[1]hoja-libro-trimestral1'!B2 +'[2]hoja-libro-trimestral2'!B2</f>
        <v>3000</v>
      </c>
      <c r="C23">
        <f>'[1]hoja-libro-trimestral1'!C2 +'[2]hoja-libro-trimestral2'!C2</f>
        <v>2600</v>
      </c>
      <c r="D23">
        <f>'[1]hoja-libro-trimestral1'!D2 +'[2]hoja-libro-trimestral2'!D2</f>
        <v>2450</v>
      </c>
      <c r="E23">
        <f>'[1]hoja-libro-trimestral1'!E2 +'[2]hoja-libro-trimestral2'!E2</f>
        <v>2250</v>
      </c>
    </row>
    <row r="24" spans="2:5" x14ac:dyDescent="0.25">
      <c r="B24">
        <f>'[1]hoja-libro-trimestral1'!B3 +'[2]hoja-libro-trimestral2'!B3</f>
        <v>2500</v>
      </c>
      <c r="C24">
        <f>'[1]hoja-libro-trimestral1'!C3 +'[2]hoja-libro-trimestral2'!C3</f>
        <v>1400</v>
      </c>
      <c r="D24">
        <f>'[1]hoja-libro-trimestral1'!D3 +'[2]hoja-libro-trimestral2'!D3</f>
        <v>1710</v>
      </c>
      <c r="E24">
        <f>'[1]hoja-libro-trimestral1'!E3 +'[2]hoja-libro-trimestral2'!E3</f>
        <v>1350</v>
      </c>
    </row>
    <row r="25" spans="2:5" x14ac:dyDescent="0.25">
      <c r="B25">
        <f>'[1]hoja-libro-trimestral1'!B4 +'[2]hoja-libro-trimestral2'!B4</f>
        <v>1650</v>
      </c>
      <c r="C25">
        <f>'[1]hoja-libro-trimestral1'!C4 +'[2]hoja-libro-trimestral2'!C4</f>
        <v>900</v>
      </c>
      <c r="D25">
        <f>'[1]hoja-libro-trimestral1'!D4 +'[2]hoja-libro-trimestral2'!D4</f>
        <v>1650</v>
      </c>
      <c r="E25">
        <f>'[1]hoja-libro-trimestral1'!E4 +'[2]hoja-libro-trimestral2'!E4</f>
        <v>1100</v>
      </c>
    </row>
    <row r="26" spans="2:5" x14ac:dyDescent="0.25">
      <c r="B26">
        <f>'[1]hoja-libro-trimestral1'!B5 +'[2]hoja-libro-trimestral2'!B5</f>
        <v>7000</v>
      </c>
      <c r="C26">
        <f>'[1]hoja-libro-trimestral1'!C5 +'[2]hoja-libro-trimestral2'!C5</f>
        <v>5300</v>
      </c>
      <c r="D26">
        <f>'[1]hoja-libro-trimestral1'!D5 +'[2]hoja-libro-trimestral2'!D5</f>
        <v>6150</v>
      </c>
      <c r="E26">
        <f>'[1]hoja-libro-trimestral1'!E5 +'[2]hoja-libro-trimestral2'!E5</f>
        <v>6290</v>
      </c>
    </row>
    <row r="30" spans="2:5" x14ac:dyDescent="0.25">
      <c r="B30">
        <f>'[2]hoja-libro-trimestral2'!$B$2</f>
        <v>1700</v>
      </c>
    </row>
  </sheetData>
  <dataConsolidate topLabels="1" link="1">
    <dataRefs count="2">
      <dataRef ref="A1:E5" sheet="hoja-libro-trimestral1" r:id="rId1"/>
      <dataRef ref="A1:E5" sheet="hoja-libro-trimestral2" r:id="rId2"/>
    </dataRefs>
  </dataConsolid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8642-847C-4603-B4E3-1071C36D0392}">
  <sheetPr codeName="Hoja16"/>
  <dimension ref="A1:I22"/>
  <sheetViews>
    <sheetView workbookViewId="0">
      <selection activeCell="H8" sqref="H8"/>
    </sheetView>
  </sheetViews>
  <sheetFormatPr baseColWidth="10" defaultRowHeight="15" x14ac:dyDescent="0.25"/>
  <cols>
    <col min="8" max="8" width="26.42578125" bestFit="1" customWidth="1"/>
  </cols>
  <sheetData>
    <row r="1" spans="1:9" x14ac:dyDescent="0.25">
      <c r="F1" s="134" t="s">
        <v>404</v>
      </c>
      <c r="G1" s="135"/>
      <c r="H1" s="135"/>
      <c r="I1" s="135"/>
    </row>
    <row r="2" spans="1:9" x14ac:dyDescent="0.25">
      <c r="F2" s="135"/>
      <c r="G2" s="135"/>
      <c r="H2" s="135"/>
      <c r="I2" s="135"/>
    </row>
    <row r="3" spans="1:9" ht="33.75" x14ac:dyDescent="0.25">
      <c r="A3" s="44" t="s">
        <v>405</v>
      </c>
      <c r="B3" s="45" t="s">
        <v>124</v>
      </c>
      <c r="C3" s="45" t="s">
        <v>177</v>
      </c>
      <c r="D3" s="45" t="s">
        <v>406</v>
      </c>
      <c r="E3" s="45" t="s">
        <v>160</v>
      </c>
      <c r="F3" s="44" t="s">
        <v>407</v>
      </c>
    </row>
    <row r="4" spans="1:9" x14ac:dyDescent="0.25">
      <c r="A4" s="46">
        <v>37299</v>
      </c>
      <c r="B4" s="47" t="s">
        <v>408</v>
      </c>
      <c r="C4" s="47" t="s">
        <v>409</v>
      </c>
      <c r="D4" s="48">
        <v>210</v>
      </c>
      <c r="E4" s="48">
        <f t="shared" ref="E4:E16" si="0">VLOOKUP(C4,TABLACURSO,2,FALSE)*D4*1.21</f>
        <v>1778.7</v>
      </c>
      <c r="F4" s="48">
        <f>IF(E4&gt;1500,E4-(E4*30%),E4-(E4*15%))</f>
        <v>1245.0900000000001</v>
      </c>
    </row>
    <row r="5" spans="1:9" x14ac:dyDescent="0.25">
      <c r="A5" s="46">
        <v>37300</v>
      </c>
      <c r="B5" s="47" t="s">
        <v>410</v>
      </c>
      <c r="C5" s="47" t="s">
        <v>409</v>
      </c>
      <c r="D5" s="48">
        <v>200</v>
      </c>
      <c r="E5" s="48">
        <f t="shared" si="0"/>
        <v>1694</v>
      </c>
      <c r="F5" s="48">
        <f t="shared" ref="F5:F16" si="1">IF(E5&gt;1500,E5-(E5*30%),E5-(E5*15%))</f>
        <v>1185.8</v>
      </c>
    </row>
    <row r="6" spans="1:9" x14ac:dyDescent="0.25">
      <c r="A6" s="46">
        <v>37301</v>
      </c>
      <c r="B6" s="47" t="s">
        <v>411</v>
      </c>
      <c r="C6" s="47" t="s">
        <v>409</v>
      </c>
      <c r="D6" s="48">
        <v>200</v>
      </c>
      <c r="E6" s="48">
        <f t="shared" si="0"/>
        <v>1694</v>
      </c>
      <c r="F6" s="48">
        <f t="shared" si="1"/>
        <v>1185.8</v>
      </c>
    </row>
    <row r="7" spans="1:9" x14ac:dyDescent="0.25">
      <c r="A7" s="46">
        <v>37302</v>
      </c>
      <c r="B7" s="47" t="s">
        <v>412</v>
      </c>
      <c r="C7" s="47" t="s">
        <v>413</v>
      </c>
      <c r="D7" s="48">
        <v>150</v>
      </c>
      <c r="E7" s="48">
        <f t="shared" si="0"/>
        <v>1179.75</v>
      </c>
      <c r="F7" s="48">
        <f t="shared" si="1"/>
        <v>1002.7875</v>
      </c>
    </row>
    <row r="8" spans="1:9" x14ac:dyDescent="0.25">
      <c r="A8" s="46">
        <v>37305</v>
      </c>
      <c r="B8" s="47" t="s">
        <v>414</v>
      </c>
      <c r="C8" s="47" t="s">
        <v>413</v>
      </c>
      <c r="D8" s="48">
        <v>150</v>
      </c>
      <c r="E8" s="48">
        <f t="shared" si="0"/>
        <v>1179.75</v>
      </c>
      <c r="F8" s="48">
        <f t="shared" si="1"/>
        <v>1002.7875</v>
      </c>
      <c r="H8" s="50">
        <f ca="1">EOMONTH(NOW(),0)</f>
        <v>45199</v>
      </c>
    </row>
    <row r="9" spans="1:9" x14ac:dyDescent="0.25">
      <c r="A9" s="46">
        <v>37306</v>
      </c>
      <c r="B9" s="47" t="s">
        <v>415</v>
      </c>
      <c r="C9" s="47" t="s">
        <v>416</v>
      </c>
      <c r="D9" s="48">
        <v>100</v>
      </c>
      <c r="E9" s="48">
        <f t="shared" si="0"/>
        <v>726</v>
      </c>
      <c r="F9" s="48">
        <f t="shared" si="1"/>
        <v>617.1</v>
      </c>
      <c r="H9" s="21">
        <f>E4+D4+D5+12</f>
        <v>2200.6999999999998</v>
      </c>
    </row>
    <row r="10" spans="1:9" x14ac:dyDescent="0.25">
      <c r="A10" s="46">
        <v>37307</v>
      </c>
      <c r="B10" s="47" t="s">
        <v>417</v>
      </c>
      <c r="C10" s="47" t="s">
        <v>416</v>
      </c>
      <c r="D10" s="48">
        <v>100</v>
      </c>
      <c r="E10" s="48">
        <f t="shared" si="0"/>
        <v>726</v>
      </c>
      <c r="F10" s="48">
        <f t="shared" si="1"/>
        <v>617.1</v>
      </c>
    </row>
    <row r="11" spans="1:9" x14ac:dyDescent="0.25">
      <c r="A11" s="46">
        <v>37308</v>
      </c>
      <c r="B11" s="47" t="s">
        <v>418</v>
      </c>
      <c r="C11" s="47" t="s">
        <v>413</v>
      </c>
      <c r="D11" s="48">
        <v>150</v>
      </c>
      <c r="E11" s="48">
        <f t="shared" si="0"/>
        <v>1179.75</v>
      </c>
      <c r="F11" s="48">
        <f t="shared" si="1"/>
        <v>1002.7875</v>
      </c>
    </row>
    <row r="12" spans="1:9" x14ac:dyDescent="0.25">
      <c r="A12" s="46">
        <v>37309</v>
      </c>
      <c r="B12" s="47" t="s">
        <v>419</v>
      </c>
      <c r="C12" s="47" t="s">
        <v>416</v>
      </c>
      <c r="D12" s="48">
        <v>100</v>
      </c>
      <c r="E12" s="48">
        <f t="shared" si="0"/>
        <v>726</v>
      </c>
      <c r="F12" s="48">
        <f t="shared" si="1"/>
        <v>617.1</v>
      </c>
    </row>
    <row r="13" spans="1:9" x14ac:dyDescent="0.25">
      <c r="A13" s="46">
        <v>37312</v>
      </c>
      <c r="B13" s="47" t="s">
        <v>420</v>
      </c>
      <c r="C13" s="47" t="s">
        <v>409</v>
      </c>
      <c r="D13" s="48">
        <v>200</v>
      </c>
      <c r="E13" s="48">
        <f t="shared" si="0"/>
        <v>1694</v>
      </c>
      <c r="F13" s="48">
        <f t="shared" si="1"/>
        <v>1185.8</v>
      </c>
    </row>
    <row r="14" spans="1:9" x14ac:dyDescent="0.25">
      <c r="A14" s="46">
        <v>37313</v>
      </c>
      <c r="B14" s="47" t="s">
        <v>421</v>
      </c>
      <c r="C14" s="47" t="s">
        <v>409</v>
      </c>
      <c r="D14" s="48">
        <v>200</v>
      </c>
      <c r="E14" s="48">
        <f t="shared" si="0"/>
        <v>1694</v>
      </c>
      <c r="F14" s="48">
        <f t="shared" si="1"/>
        <v>1185.8</v>
      </c>
    </row>
    <row r="15" spans="1:9" x14ac:dyDescent="0.25">
      <c r="A15" s="46">
        <v>37314</v>
      </c>
      <c r="B15" s="47" t="s">
        <v>422</v>
      </c>
      <c r="C15" s="47" t="s">
        <v>416</v>
      </c>
      <c r="D15" s="48">
        <v>100</v>
      </c>
      <c r="E15" s="48">
        <f t="shared" si="0"/>
        <v>726</v>
      </c>
      <c r="F15" s="48">
        <f t="shared" si="1"/>
        <v>617.1</v>
      </c>
    </row>
    <row r="16" spans="1:9" x14ac:dyDescent="0.25">
      <c r="A16" s="46">
        <v>37315</v>
      </c>
      <c r="B16" s="47" t="s">
        <v>423</v>
      </c>
      <c r="C16" s="47" t="s">
        <v>413</v>
      </c>
      <c r="D16" s="48">
        <v>150</v>
      </c>
      <c r="E16" s="48">
        <f t="shared" si="0"/>
        <v>1179.75</v>
      </c>
      <c r="F16" s="48">
        <f t="shared" si="1"/>
        <v>1002.7875</v>
      </c>
    </row>
    <row r="18" spans="1:2" x14ac:dyDescent="0.25">
      <c r="A18" t="s">
        <v>424</v>
      </c>
    </row>
    <row r="20" spans="1:2" x14ac:dyDescent="0.25">
      <c r="A20" s="47" t="s">
        <v>416</v>
      </c>
      <c r="B20" s="49">
        <v>6</v>
      </c>
    </row>
    <row r="21" spans="1:2" x14ac:dyDescent="0.25">
      <c r="A21" s="47" t="s">
        <v>413</v>
      </c>
      <c r="B21" s="49">
        <v>6.5</v>
      </c>
    </row>
    <row r="22" spans="1:2" x14ac:dyDescent="0.25">
      <c r="A22" s="47" t="s">
        <v>409</v>
      </c>
      <c r="B22" s="49">
        <v>7</v>
      </c>
    </row>
  </sheetData>
  <mergeCells count="1">
    <mergeCell ref="F1:I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1676-DBF1-4141-A9CF-9F088F5D4EA3}">
  <sheetPr codeName="Hoja17"/>
  <dimension ref="A3:E42"/>
  <sheetViews>
    <sheetView topLeftCell="A16" workbookViewId="0">
      <selection activeCell="C20" sqref="C20"/>
    </sheetView>
  </sheetViews>
  <sheetFormatPr baseColWidth="10" defaultRowHeight="15" x14ac:dyDescent="0.25"/>
  <cols>
    <col min="1" max="1" width="19.5703125" bestFit="1" customWidth="1"/>
    <col min="2" max="2" width="22.42578125" bestFit="1" customWidth="1"/>
    <col min="3" max="4" width="12" bestFit="1" customWidth="1"/>
    <col min="5" max="5" width="12.5703125" bestFit="1" customWidth="1"/>
    <col min="6" max="112" width="12" bestFit="1" customWidth="1"/>
    <col min="113" max="113" width="12.5703125" bestFit="1" customWidth="1"/>
  </cols>
  <sheetData>
    <row r="3" spans="1:5" x14ac:dyDescent="0.25">
      <c r="A3" s="65" t="s">
        <v>433</v>
      </c>
      <c r="B3" s="65" t="s">
        <v>427</v>
      </c>
    </row>
    <row r="4" spans="1:5" x14ac:dyDescent="0.25">
      <c r="A4" s="65" t="s">
        <v>429</v>
      </c>
      <c r="B4">
        <v>0.05</v>
      </c>
      <c r="C4">
        <v>0.15</v>
      </c>
      <c r="D4">
        <v>0.2</v>
      </c>
      <c r="E4" t="s">
        <v>428</v>
      </c>
    </row>
    <row r="5" spans="1:5" x14ac:dyDescent="0.25">
      <c r="A5" s="23" t="s">
        <v>89</v>
      </c>
      <c r="B5">
        <v>203.268303823639</v>
      </c>
      <c r="E5">
        <v>203.268303823639</v>
      </c>
    </row>
    <row r="6" spans="1:5" x14ac:dyDescent="0.25">
      <c r="A6" s="23" t="s">
        <v>90</v>
      </c>
      <c r="B6">
        <v>300.06130323464714</v>
      </c>
      <c r="E6">
        <v>300.06130323464714</v>
      </c>
    </row>
    <row r="7" spans="1:5" x14ac:dyDescent="0.25">
      <c r="A7" s="23" t="s">
        <v>109</v>
      </c>
      <c r="C7">
        <v>5.613453054944527</v>
      </c>
      <c r="E7">
        <v>5.613453054944527</v>
      </c>
    </row>
    <row r="8" spans="1:5" x14ac:dyDescent="0.25">
      <c r="A8" s="23" t="s">
        <v>100</v>
      </c>
      <c r="C8">
        <v>62.727633334535362</v>
      </c>
      <c r="E8">
        <v>62.727633334535362</v>
      </c>
    </row>
    <row r="9" spans="1:5" x14ac:dyDescent="0.25">
      <c r="A9" s="23" t="s">
        <v>101</v>
      </c>
      <c r="C9">
        <v>36.595627035928501</v>
      </c>
      <c r="E9">
        <v>36.595627035928501</v>
      </c>
    </row>
    <row r="10" spans="1:5" x14ac:dyDescent="0.25">
      <c r="A10" s="23" t="s">
        <v>103</v>
      </c>
      <c r="C10">
        <v>470.41818422223025</v>
      </c>
      <c r="E10">
        <v>470.41818422223025</v>
      </c>
    </row>
    <row r="11" spans="1:5" x14ac:dyDescent="0.25">
      <c r="A11" s="23" t="s">
        <v>87</v>
      </c>
      <c r="B11">
        <v>84.213816066255575</v>
      </c>
      <c r="E11">
        <v>84.213816066255575</v>
      </c>
    </row>
    <row r="12" spans="1:5" x14ac:dyDescent="0.25">
      <c r="A12" s="23" t="s">
        <v>86</v>
      </c>
      <c r="B12">
        <v>55.94220667604246</v>
      </c>
      <c r="E12">
        <v>55.94220667604246</v>
      </c>
    </row>
    <row r="13" spans="1:5" x14ac:dyDescent="0.25">
      <c r="A13" s="23" t="s">
        <v>88</v>
      </c>
      <c r="B13">
        <v>435.5775125311024</v>
      </c>
      <c r="E13">
        <v>435.5775125311024</v>
      </c>
    </row>
    <row r="14" spans="1:5" x14ac:dyDescent="0.25">
      <c r="A14" s="23" t="s">
        <v>76</v>
      </c>
      <c r="B14">
        <v>16.45571141802796</v>
      </c>
      <c r="E14">
        <v>16.45571141802796</v>
      </c>
    </row>
    <row r="15" spans="1:5" x14ac:dyDescent="0.25">
      <c r="A15" s="23" t="s">
        <v>95</v>
      </c>
      <c r="C15">
        <v>193.39367494861347</v>
      </c>
      <c r="E15">
        <v>193.39367494861347</v>
      </c>
    </row>
    <row r="16" spans="1:5" x14ac:dyDescent="0.25">
      <c r="A16" s="23" t="s">
        <v>91</v>
      </c>
      <c r="B16">
        <v>3.6060726263026939</v>
      </c>
      <c r="E16">
        <v>3.6060726263026939</v>
      </c>
    </row>
    <row r="17" spans="1:5" x14ac:dyDescent="0.25">
      <c r="A17" s="23" t="s">
        <v>115</v>
      </c>
      <c r="D17">
        <v>132.87175603716659</v>
      </c>
      <c r="E17">
        <v>132.87175603716659</v>
      </c>
    </row>
    <row r="18" spans="1:5" x14ac:dyDescent="0.25">
      <c r="A18" s="23" t="s">
        <v>117</v>
      </c>
      <c r="D18">
        <v>368.78703737093264</v>
      </c>
      <c r="E18">
        <v>368.78703737093264</v>
      </c>
    </row>
    <row r="19" spans="1:5" x14ac:dyDescent="0.25">
      <c r="A19" s="23" t="s">
        <v>116</v>
      </c>
      <c r="D19">
        <v>86.113014316108334</v>
      </c>
      <c r="E19">
        <v>86.113014316108334</v>
      </c>
    </row>
    <row r="20" spans="1:5" x14ac:dyDescent="0.25">
      <c r="A20" s="23" t="s">
        <v>105</v>
      </c>
      <c r="C20">
        <v>13.072013270347265</v>
      </c>
      <c r="E20">
        <v>13.072013270347265</v>
      </c>
    </row>
    <row r="21" spans="1:5" x14ac:dyDescent="0.25">
      <c r="A21" s="23" t="s">
        <v>119</v>
      </c>
      <c r="D21">
        <v>119.75166179846862</v>
      </c>
      <c r="E21">
        <v>119.75166179846862</v>
      </c>
    </row>
    <row r="22" spans="1:5" x14ac:dyDescent="0.25">
      <c r="A22" s="23" t="s">
        <v>80</v>
      </c>
      <c r="B22">
        <v>106.47530441263088</v>
      </c>
      <c r="E22">
        <v>106.47530441263088</v>
      </c>
    </row>
    <row r="23" spans="1:5" x14ac:dyDescent="0.25">
      <c r="A23" s="23" t="s">
        <v>112</v>
      </c>
      <c r="D23">
        <v>12.579183344752563</v>
      </c>
      <c r="E23">
        <v>12.579183344752563</v>
      </c>
    </row>
    <row r="24" spans="1:5" x14ac:dyDescent="0.25">
      <c r="A24" s="23" t="s">
        <v>75</v>
      </c>
      <c r="B24">
        <v>36.06</v>
      </c>
      <c r="E24">
        <v>36.06</v>
      </c>
    </row>
    <row r="25" spans="1:5" x14ac:dyDescent="0.25">
      <c r="A25" s="23" t="s">
        <v>111</v>
      </c>
      <c r="C25">
        <v>18.390970394143739</v>
      </c>
      <c r="E25">
        <v>18.390970394143739</v>
      </c>
    </row>
    <row r="26" spans="1:5" x14ac:dyDescent="0.25">
      <c r="A26" s="23" t="s">
        <v>108</v>
      </c>
      <c r="C26">
        <v>20.332239491303355</v>
      </c>
      <c r="E26">
        <v>20.332239491303355</v>
      </c>
    </row>
    <row r="27" spans="1:5" x14ac:dyDescent="0.25">
      <c r="A27" s="23" t="s">
        <v>78</v>
      </c>
      <c r="B27">
        <v>24.202757443534914</v>
      </c>
      <c r="E27">
        <v>24.202757443534914</v>
      </c>
    </row>
    <row r="28" spans="1:5" x14ac:dyDescent="0.25">
      <c r="A28" s="23" t="s">
        <v>110</v>
      </c>
      <c r="C28">
        <v>9.4959912492637599</v>
      </c>
      <c r="E28">
        <v>9.4959912492637599</v>
      </c>
    </row>
    <row r="29" spans="1:5" x14ac:dyDescent="0.25">
      <c r="A29" s="23" t="s">
        <v>99</v>
      </c>
      <c r="C29">
        <v>93.036673758609496</v>
      </c>
      <c r="E29">
        <v>93.036673758609496</v>
      </c>
    </row>
    <row r="30" spans="1:5" x14ac:dyDescent="0.25">
      <c r="A30" s="23" t="s">
        <v>118</v>
      </c>
      <c r="D30">
        <v>87.549433245585561</v>
      </c>
      <c r="E30">
        <v>87.549433245585561</v>
      </c>
    </row>
    <row r="31" spans="1:5" x14ac:dyDescent="0.25">
      <c r="A31" s="23" t="s">
        <v>84</v>
      </c>
      <c r="B31">
        <v>145.19250417703412</v>
      </c>
      <c r="E31">
        <v>145.19250417703412</v>
      </c>
    </row>
    <row r="32" spans="1:5" x14ac:dyDescent="0.25">
      <c r="A32" s="23" t="s">
        <v>121</v>
      </c>
      <c r="D32">
        <v>33.133797314677921</v>
      </c>
      <c r="E32">
        <v>33.133797314677921</v>
      </c>
    </row>
    <row r="33" spans="1:5" x14ac:dyDescent="0.25">
      <c r="A33" s="23" t="s">
        <v>120</v>
      </c>
      <c r="D33">
        <v>47.708340845984637</v>
      </c>
      <c r="E33">
        <v>47.708340845984637</v>
      </c>
    </row>
    <row r="34" spans="1:5" x14ac:dyDescent="0.25">
      <c r="A34" s="23" t="s">
        <v>97</v>
      </c>
      <c r="C34">
        <v>38.945584364069092</v>
      </c>
      <c r="E34">
        <v>38.945584364069092</v>
      </c>
    </row>
    <row r="35" spans="1:5" x14ac:dyDescent="0.25">
      <c r="A35" s="23" t="s">
        <v>74</v>
      </c>
      <c r="B35">
        <v>45.07590782878367</v>
      </c>
      <c r="E35">
        <v>45.07590782878367</v>
      </c>
    </row>
    <row r="36" spans="1:5" x14ac:dyDescent="0.25">
      <c r="A36" s="23" t="s">
        <v>93</v>
      </c>
      <c r="B36">
        <v>77.891168728138183</v>
      </c>
      <c r="E36">
        <v>77.891168728138183</v>
      </c>
    </row>
    <row r="37" spans="1:5" x14ac:dyDescent="0.25">
      <c r="A37" s="23" t="s">
        <v>106</v>
      </c>
      <c r="C37">
        <v>25.170386931592802</v>
      </c>
      <c r="E37">
        <v>25.170386931592802</v>
      </c>
    </row>
    <row r="38" spans="1:5" x14ac:dyDescent="0.25">
      <c r="A38" s="23" t="s">
        <v>102</v>
      </c>
      <c r="C38">
        <v>365.98031084346042</v>
      </c>
      <c r="E38">
        <v>365.98031084346042</v>
      </c>
    </row>
    <row r="39" spans="1:5" x14ac:dyDescent="0.25">
      <c r="A39" s="23" t="s">
        <v>82</v>
      </c>
      <c r="B39">
        <v>237.14735614775282</v>
      </c>
      <c r="E39">
        <v>237.14735614775282</v>
      </c>
    </row>
    <row r="40" spans="1:5" x14ac:dyDescent="0.25">
      <c r="A40" s="23" t="s">
        <v>96</v>
      </c>
      <c r="C40">
        <v>1254.4805452381811</v>
      </c>
      <c r="E40">
        <v>1254.4805452381811</v>
      </c>
    </row>
    <row r="41" spans="1:5" x14ac:dyDescent="0.25">
      <c r="A41" s="23" t="s">
        <v>72</v>
      </c>
      <c r="B41">
        <v>140.35435673674468</v>
      </c>
      <c r="E41">
        <v>140.35435673674468</v>
      </c>
    </row>
    <row r="42" spans="1:5" x14ac:dyDescent="0.25">
      <c r="A42" s="23" t="s">
        <v>428</v>
      </c>
      <c r="B42">
        <v>1911.5242818506363</v>
      </c>
      <c r="C42">
        <v>2607.6532881372227</v>
      </c>
      <c r="D42">
        <v>888.49422427367688</v>
      </c>
      <c r="E42">
        <v>5407.671794261536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B2CC-CDC3-41D1-9FB1-02525C49DFBA}">
  <sheetPr codeName="Hoja18"/>
  <dimension ref="A1:J39"/>
  <sheetViews>
    <sheetView topLeftCell="A2" workbookViewId="0">
      <selection activeCell="A2" sqref="A2:E39"/>
    </sheetView>
  </sheetViews>
  <sheetFormatPr baseColWidth="10" defaultRowHeight="15" x14ac:dyDescent="0.25"/>
  <cols>
    <col min="1" max="1" width="13.85546875" bestFit="1" customWidth="1"/>
    <col min="2" max="2" width="22.140625" customWidth="1"/>
    <col min="3" max="3" width="11.85546875" bestFit="1" customWidth="1"/>
    <col min="4" max="4" width="18.85546875" customWidth="1"/>
    <col min="5" max="5" width="11.5703125" bestFit="1" customWidth="1"/>
    <col min="9" max="9" width="22.140625" customWidth="1"/>
  </cols>
  <sheetData>
    <row r="1" spans="1:10" ht="15.75" x14ac:dyDescent="0.25">
      <c r="A1" s="72" t="s">
        <v>62</v>
      </c>
      <c r="B1" s="73" t="s">
        <v>63</v>
      </c>
      <c r="C1" s="73" t="s">
        <v>64</v>
      </c>
      <c r="D1" s="74" t="s">
        <v>65</v>
      </c>
      <c r="E1" s="75" t="s">
        <v>66</v>
      </c>
      <c r="I1" s="72" t="s">
        <v>63</v>
      </c>
      <c r="J1" s="75" t="s">
        <v>46</v>
      </c>
    </row>
    <row r="2" spans="1:10" ht="15.75" x14ac:dyDescent="0.25">
      <c r="A2" s="69" t="s">
        <v>71</v>
      </c>
      <c r="B2" s="66" t="s">
        <v>72</v>
      </c>
      <c r="C2" s="67">
        <v>43492</v>
      </c>
      <c r="D2" s="68" t="s">
        <v>73</v>
      </c>
      <c r="E2" s="70">
        <v>140.35435673674468</v>
      </c>
      <c r="I2" s="69" t="s">
        <v>72</v>
      </c>
      <c r="J2" s="81">
        <v>0.05</v>
      </c>
    </row>
    <row r="3" spans="1:10" ht="15.75" x14ac:dyDescent="0.25">
      <c r="A3" s="51" t="s">
        <v>71</v>
      </c>
      <c r="B3" s="16" t="s">
        <v>74</v>
      </c>
      <c r="C3" s="17">
        <v>43458</v>
      </c>
      <c r="D3" s="18" t="s">
        <v>73</v>
      </c>
      <c r="E3" s="71">
        <v>45.07590782878367</v>
      </c>
      <c r="I3" s="51" t="s">
        <v>74</v>
      </c>
      <c r="J3" s="81">
        <v>0.05</v>
      </c>
    </row>
    <row r="4" spans="1:10" ht="15.75" x14ac:dyDescent="0.25">
      <c r="A4" s="69" t="s">
        <v>71</v>
      </c>
      <c r="B4" s="66" t="s">
        <v>75</v>
      </c>
      <c r="C4" s="67">
        <v>43480</v>
      </c>
      <c r="D4" s="68" t="s">
        <v>73</v>
      </c>
      <c r="E4" s="70">
        <v>36.06</v>
      </c>
      <c r="I4" s="69" t="s">
        <v>75</v>
      </c>
      <c r="J4" s="81">
        <v>0.05</v>
      </c>
    </row>
    <row r="5" spans="1:10" ht="15.75" x14ac:dyDescent="0.25">
      <c r="A5" s="51" t="s">
        <v>71</v>
      </c>
      <c r="B5" s="16" t="s">
        <v>76</v>
      </c>
      <c r="C5" s="17">
        <v>43232</v>
      </c>
      <c r="D5" s="18" t="s">
        <v>77</v>
      </c>
      <c r="E5" s="71">
        <v>16.45571141802796</v>
      </c>
      <c r="I5" s="51" t="s">
        <v>76</v>
      </c>
      <c r="J5" s="81">
        <v>0.05</v>
      </c>
    </row>
    <row r="6" spans="1:10" ht="15.75" x14ac:dyDescent="0.25">
      <c r="A6" s="69" t="s">
        <v>71</v>
      </c>
      <c r="B6" s="66" t="s">
        <v>78</v>
      </c>
      <c r="C6" s="67">
        <v>43470</v>
      </c>
      <c r="D6" s="68" t="s">
        <v>79</v>
      </c>
      <c r="E6" s="70">
        <v>24.202757443534914</v>
      </c>
      <c r="I6" s="69" t="s">
        <v>78</v>
      </c>
      <c r="J6" s="81">
        <v>0.05</v>
      </c>
    </row>
    <row r="7" spans="1:10" ht="15.75" x14ac:dyDescent="0.25">
      <c r="A7" s="51" t="s">
        <v>71</v>
      </c>
      <c r="B7" s="16" t="s">
        <v>80</v>
      </c>
      <c r="C7" s="17">
        <v>43427</v>
      </c>
      <c r="D7" s="18" t="s">
        <v>73</v>
      </c>
      <c r="E7" s="71">
        <v>106.47530441263088</v>
      </c>
      <c r="I7" s="51" t="s">
        <v>80</v>
      </c>
      <c r="J7" s="81">
        <v>0.05</v>
      </c>
    </row>
    <row r="8" spans="1:10" ht="15.75" x14ac:dyDescent="0.25">
      <c r="A8" s="69" t="s">
        <v>81</v>
      </c>
      <c r="B8" s="66" t="s">
        <v>82</v>
      </c>
      <c r="C8" s="67">
        <v>43396</v>
      </c>
      <c r="D8" s="68" t="s">
        <v>83</v>
      </c>
      <c r="E8" s="70">
        <v>237.14735614775282</v>
      </c>
      <c r="I8" s="69" t="s">
        <v>82</v>
      </c>
      <c r="J8" s="81">
        <v>0.05</v>
      </c>
    </row>
    <row r="9" spans="1:10" ht="15.75" x14ac:dyDescent="0.25">
      <c r="A9" s="51" t="s">
        <v>81</v>
      </c>
      <c r="B9" s="16" t="s">
        <v>84</v>
      </c>
      <c r="C9" s="17">
        <v>43353</v>
      </c>
      <c r="D9" s="18" t="s">
        <v>85</v>
      </c>
      <c r="E9" s="71">
        <v>145.19250417703412</v>
      </c>
      <c r="I9" s="51" t="s">
        <v>84</v>
      </c>
      <c r="J9" s="81">
        <v>0.05</v>
      </c>
    </row>
    <row r="10" spans="1:10" ht="15.75" x14ac:dyDescent="0.25">
      <c r="A10" s="69" t="s">
        <v>81</v>
      </c>
      <c r="B10" s="66" t="s">
        <v>86</v>
      </c>
      <c r="C10" s="67">
        <v>43472</v>
      </c>
      <c r="D10" s="68" t="s">
        <v>79</v>
      </c>
      <c r="E10" s="70">
        <v>55.94220667604246</v>
      </c>
      <c r="I10" s="69" t="s">
        <v>86</v>
      </c>
      <c r="J10" s="81">
        <v>0.05</v>
      </c>
    </row>
    <row r="11" spans="1:10" ht="15.75" x14ac:dyDescent="0.25">
      <c r="A11" s="51" t="s">
        <v>81</v>
      </c>
      <c r="B11" s="16" t="s">
        <v>87</v>
      </c>
      <c r="C11" s="17">
        <v>43454</v>
      </c>
      <c r="D11" s="18" t="s">
        <v>73</v>
      </c>
      <c r="E11" s="71">
        <v>84.213816066255575</v>
      </c>
      <c r="I11" s="51" t="s">
        <v>87</v>
      </c>
      <c r="J11" s="81">
        <v>0.05</v>
      </c>
    </row>
    <row r="12" spans="1:10" ht="15.75" x14ac:dyDescent="0.25">
      <c r="A12" s="69" t="s">
        <v>81</v>
      </c>
      <c r="B12" s="66" t="s">
        <v>88</v>
      </c>
      <c r="C12" s="67">
        <v>43352</v>
      </c>
      <c r="D12" s="68" t="s">
        <v>83</v>
      </c>
      <c r="E12" s="70">
        <v>435.5775125311024</v>
      </c>
      <c r="I12" s="69" t="s">
        <v>88</v>
      </c>
      <c r="J12" s="81">
        <v>0.05</v>
      </c>
    </row>
    <row r="13" spans="1:10" ht="15.75" x14ac:dyDescent="0.25">
      <c r="A13" s="51" t="s">
        <v>81</v>
      </c>
      <c r="B13" s="16" t="s">
        <v>89</v>
      </c>
      <c r="C13" s="17">
        <v>43479</v>
      </c>
      <c r="D13" s="18" t="s">
        <v>83</v>
      </c>
      <c r="E13" s="71">
        <v>203.268303823639</v>
      </c>
      <c r="I13" s="51" t="s">
        <v>89</v>
      </c>
      <c r="J13" s="81">
        <v>0.05</v>
      </c>
    </row>
    <row r="14" spans="1:10" ht="15.75" x14ac:dyDescent="0.25">
      <c r="A14" s="69" t="s">
        <v>81</v>
      </c>
      <c r="B14" s="66" t="s">
        <v>90</v>
      </c>
      <c r="C14" s="67">
        <v>43494</v>
      </c>
      <c r="D14" s="68" t="s">
        <v>85</v>
      </c>
      <c r="E14" s="70">
        <v>300.06130323464714</v>
      </c>
      <c r="I14" s="69" t="s">
        <v>90</v>
      </c>
      <c r="J14" s="81">
        <v>0.05</v>
      </c>
    </row>
    <row r="15" spans="1:10" ht="15.75" x14ac:dyDescent="0.25">
      <c r="A15" s="51" t="s">
        <v>81</v>
      </c>
      <c r="B15" s="16" t="s">
        <v>91</v>
      </c>
      <c r="C15" s="17">
        <v>43468</v>
      </c>
      <c r="D15" s="18" t="s">
        <v>79</v>
      </c>
      <c r="E15" s="71">
        <v>3.6060726263026939</v>
      </c>
      <c r="I15" s="51" t="s">
        <v>91</v>
      </c>
      <c r="J15" s="81">
        <v>0.05</v>
      </c>
    </row>
    <row r="16" spans="1:10" ht="15.75" x14ac:dyDescent="0.25">
      <c r="A16" s="69" t="s">
        <v>92</v>
      </c>
      <c r="B16" s="66" t="s">
        <v>93</v>
      </c>
      <c r="C16" s="67">
        <v>43357</v>
      </c>
      <c r="D16" s="68" t="s">
        <v>94</v>
      </c>
      <c r="E16" s="70">
        <v>77.891168728138183</v>
      </c>
      <c r="I16" s="69" t="s">
        <v>93</v>
      </c>
      <c r="J16" s="81">
        <v>0.05</v>
      </c>
    </row>
    <row r="17" spans="1:10" ht="15.75" x14ac:dyDescent="0.25">
      <c r="A17" s="51" t="s">
        <v>92</v>
      </c>
      <c r="B17" s="16" t="s">
        <v>95</v>
      </c>
      <c r="C17" s="17">
        <v>43328</v>
      </c>
      <c r="D17" s="18" t="s">
        <v>94</v>
      </c>
      <c r="E17" s="71">
        <v>193.39367494861347</v>
      </c>
      <c r="I17" s="51" t="s">
        <v>95</v>
      </c>
      <c r="J17" s="81">
        <v>0.15</v>
      </c>
    </row>
    <row r="18" spans="1:10" ht="15.75" x14ac:dyDescent="0.25">
      <c r="A18" s="69" t="s">
        <v>92</v>
      </c>
      <c r="B18" s="66" t="s">
        <v>96</v>
      </c>
      <c r="C18" s="67">
        <v>43284</v>
      </c>
      <c r="D18" s="68" t="s">
        <v>77</v>
      </c>
      <c r="E18" s="70">
        <v>1254.4805452381811</v>
      </c>
      <c r="I18" s="69" t="s">
        <v>96</v>
      </c>
      <c r="J18" s="81">
        <v>0.15</v>
      </c>
    </row>
    <row r="19" spans="1:10" ht="15.75" x14ac:dyDescent="0.25">
      <c r="A19" s="51" t="s">
        <v>92</v>
      </c>
      <c r="B19" s="16" t="s">
        <v>97</v>
      </c>
      <c r="C19" s="17">
        <v>43469</v>
      </c>
      <c r="D19" s="18" t="s">
        <v>98</v>
      </c>
      <c r="E19" s="71">
        <v>38.945584364069092</v>
      </c>
      <c r="I19" s="51" t="s">
        <v>97</v>
      </c>
      <c r="J19" s="81">
        <v>0.15</v>
      </c>
    </row>
    <row r="20" spans="1:10" ht="15.75" x14ac:dyDescent="0.25">
      <c r="A20" s="69" t="s">
        <v>92</v>
      </c>
      <c r="B20" s="66" t="s">
        <v>99</v>
      </c>
      <c r="C20" s="67">
        <v>43486</v>
      </c>
      <c r="D20" s="68" t="s">
        <v>85</v>
      </c>
      <c r="E20" s="70">
        <v>93.036673758609496</v>
      </c>
      <c r="I20" s="69" t="s">
        <v>99</v>
      </c>
      <c r="J20" s="81">
        <v>0.15</v>
      </c>
    </row>
    <row r="21" spans="1:10" ht="15.75" x14ac:dyDescent="0.25">
      <c r="A21" s="51" t="s">
        <v>92</v>
      </c>
      <c r="B21" s="16" t="s">
        <v>100</v>
      </c>
      <c r="C21" s="17">
        <v>43481</v>
      </c>
      <c r="D21" s="18" t="s">
        <v>77</v>
      </c>
      <c r="E21" s="71">
        <v>62.727633334535362</v>
      </c>
      <c r="I21" s="51" t="s">
        <v>100</v>
      </c>
      <c r="J21" s="81">
        <v>0.15</v>
      </c>
    </row>
    <row r="22" spans="1:10" ht="15.75" x14ac:dyDescent="0.25">
      <c r="A22" s="69" t="s">
        <v>92</v>
      </c>
      <c r="B22" s="66" t="s">
        <v>101</v>
      </c>
      <c r="C22" s="67">
        <v>43442</v>
      </c>
      <c r="D22" s="68" t="s">
        <v>79</v>
      </c>
      <c r="E22" s="70">
        <v>36.595627035928501</v>
      </c>
      <c r="I22" s="69" t="s">
        <v>101</v>
      </c>
      <c r="J22" s="81">
        <v>0.15</v>
      </c>
    </row>
    <row r="23" spans="1:10" ht="15.75" x14ac:dyDescent="0.25">
      <c r="A23" s="51" t="s">
        <v>92</v>
      </c>
      <c r="B23" s="16" t="s">
        <v>102</v>
      </c>
      <c r="C23" s="17">
        <v>43446</v>
      </c>
      <c r="D23" s="18" t="s">
        <v>94</v>
      </c>
      <c r="E23" s="71">
        <v>365.98031084346042</v>
      </c>
      <c r="I23" s="51" t="s">
        <v>102</v>
      </c>
      <c r="J23" s="81">
        <v>0.15</v>
      </c>
    </row>
    <row r="24" spans="1:10" ht="15.75" x14ac:dyDescent="0.25">
      <c r="A24" s="69" t="s">
        <v>92</v>
      </c>
      <c r="B24" s="66" t="s">
        <v>103</v>
      </c>
      <c r="C24" s="67">
        <v>43411</v>
      </c>
      <c r="D24" s="68" t="s">
        <v>94</v>
      </c>
      <c r="E24" s="70">
        <v>470.41818422223025</v>
      </c>
      <c r="I24" s="69" t="s">
        <v>103</v>
      </c>
      <c r="J24" s="81">
        <v>0.15</v>
      </c>
    </row>
    <row r="25" spans="1:10" ht="15.75" x14ac:dyDescent="0.25">
      <c r="A25" s="51" t="s">
        <v>104</v>
      </c>
      <c r="B25" s="16" t="s">
        <v>105</v>
      </c>
      <c r="C25" s="17">
        <v>43378</v>
      </c>
      <c r="D25" s="18" t="s">
        <v>79</v>
      </c>
      <c r="E25" s="71">
        <v>5.5233012392869592</v>
      </c>
      <c r="I25" s="69" t="s">
        <v>106</v>
      </c>
      <c r="J25" s="81">
        <v>0.15</v>
      </c>
    </row>
    <row r="26" spans="1:10" ht="15.75" x14ac:dyDescent="0.25">
      <c r="A26" s="69" t="s">
        <v>104</v>
      </c>
      <c r="B26" s="66" t="s">
        <v>106</v>
      </c>
      <c r="C26" s="67">
        <v>43401</v>
      </c>
      <c r="D26" s="68" t="s">
        <v>107</v>
      </c>
      <c r="E26" s="70">
        <v>25.170386931592802</v>
      </c>
      <c r="I26" s="51" t="s">
        <v>108</v>
      </c>
      <c r="J26" s="81">
        <v>0.15</v>
      </c>
    </row>
    <row r="27" spans="1:10" ht="15.75" x14ac:dyDescent="0.25">
      <c r="A27" s="51" t="s">
        <v>104</v>
      </c>
      <c r="B27" s="16" t="s">
        <v>108</v>
      </c>
      <c r="C27" s="17">
        <v>43480</v>
      </c>
      <c r="D27" s="18" t="s">
        <v>94</v>
      </c>
      <c r="E27" s="71">
        <v>20.332239491303355</v>
      </c>
      <c r="I27" s="69" t="s">
        <v>109</v>
      </c>
      <c r="J27" s="81">
        <v>0.15</v>
      </c>
    </row>
    <row r="28" spans="1:10" ht="15.75" x14ac:dyDescent="0.25">
      <c r="A28" s="69" t="s">
        <v>104</v>
      </c>
      <c r="B28" s="66" t="s">
        <v>109</v>
      </c>
      <c r="C28" s="67">
        <v>43491</v>
      </c>
      <c r="D28" s="68" t="s">
        <v>83</v>
      </c>
      <c r="E28" s="70">
        <v>5.613453054944527</v>
      </c>
      <c r="I28" s="51" t="s">
        <v>110</v>
      </c>
      <c r="J28" s="81">
        <v>0.15</v>
      </c>
    </row>
    <row r="29" spans="1:10" ht="15.75" x14ac:dyDescent="0.25">
      <c r="A29" s="51" t="s">
        <v>104</v>
      </c>
      <c r="B29" s="16" t="s">
        <v>110</v>
      </c>
      <c r="C29" s="17">
        <v>43390</v>
      </c>
      <c r="D29" s="18" t="s">
        <v>79</v>
      </c>
      <c r="E29" s="71">
        <v>9.4959912492637599</v>
      </c>
      <c r="I29" s="69" t="s">
        <v>105</v>
      </c>
      <c r="J29" s="81">
        <v>0.15</v>
      </c>
    </row>
    <row r="30" spans="1:10" ht="15.75" x14ac:dyDescent="0.25">
      <c r="A30" s="69" t="s">
        <v>104</v>
      </c>
      <c r="B30" s="66" t="s">
        <v>105</v>
      </c>
      <c r="C30" s="67">
        <v>43483</v>
      </c>
      <c r="D30" s="68" t="s">
        <v>107</v>
      </c>
      <c r="E30" s="70">
        <v>7.5487120310603055</v>
      </c>
      <c r="I30" s="51" t="s">
        <v>111</v>
      </c>
      <c r="J30" s="81">
        <v>0.15</v>
      </c>
    </row>
    <row r="31" spans="1:10" ht="15.75" x14ac:dyDescent="0.25">
      <c r="A31" s="51" t="s">
        <v>104</v>
      </c>
      <c r="B31" s="16" t="s">
        <v>111</v>
      </c>
      <c r="C31" s="17">
        <v>43423</v>
      </c>
      <c r="D31" s="18" t="s">
        <v>79</v>
      </c>
      <c r="E31" s="71">
        <v>18.390970394143739</v>
      </c>
      <c r="I31" s="69" t="s">
        <v>112</v>
      </c>
      <c r="J31" s="81">
        <v>0.2</v>
      </c>
    </row>
    <row r="32" spans="1:10" ht="15.75" x14ac:dyDescent="0.25">
      <c r="A32" s="69" t="s">
        <v>104</v>
      </c>
      <c r="B32" s="66" t="s">
        <v>112</v>
      </c>
      <c r="C32" s="67">
        <v>43410</v>
      </c>
      <c r="D32" s="68" t="s">
        <v>113</v>
      </c>
      <c r="E32" s="70">
        <v>12.579183344752563</v>
      </c>
      <c r="I32" s="51" t="s">
        <v>115</v>
      </c>
      <c r="J32" s="81">
        <v>0.2</v>
      </c>
    </row>
    <row r="33" spans="1:10" ht="15.75" x14ac:dyDescent="0.25">
      <c r="A33" s="51" t="s">
        <v>114</v>
      </c>
      <c r="B33" s="16" t="s">
        <v>115</v>
      </c>
      <c r="C33" s="17">
        <v>43441</v>
      </c>
      <c r="D33" s="18" t="s">
        <v>85</v>
      </c>
      <c r="E33" s="71">
        <v>132.87175603716659</v>
      </c>
      <c r="I33" s="69" t="s">
        <v>116</v>
      </c>
      <c r="J33" s="81">
        <v>0.2</v>
      </c>
    </row>
    <row r="34" spans="1:10" ht="15.75" x14ac:dyDescent="0.25">
      <c r="A34" s="69" t="s">
        <v>114</v>
      </c>
      <c r="B34" s="66" t="s">
        <v>116</v>
      </c>
      <c r="C34" s="67">
        <v>43448</v>
      </c>
      <c r="D34" s="68" t="s">
        <v>77</v>
      </c>
      <c r="E34" s="70">
        <v>86.113014316108334</v>
      </c>
      <c r="I34" s="51" t="s">
        <v>117</v>
      </c>
      <c r="J34" s="81">
        <v>0.2</v>
      </c>
    </row>
    <row r="35" spans="1:10" ht="15.75" x14ac:dyDescent="0.25">
      <c r="A35" s="51" t="s">
        <v>114</v>
      </c>
      <c r="B35" s="16" t="s">
        <v>117</v>
      </c>
      <c r="C35" s="17">
        <v>43484</v>
      </c>
      <c r="D35" s="18" t="s">
        <v>94</v>
      </c>
      <c r="E35" s="71">
        <v>368.78703737093264</v>
      </c>
      <c r="I35" s="69" t="s">
        <v>118</v>
      </c>
      <c r="J35" s="81">
        <v>0.2</v>
      </c>
    </row>
    <row r="36" spans="1:10" ht="15.75" x14ac:dyDescent="0.25">
      <c r="A36" s="69" t="s">
        <v>114</v>
      </c>
      <c r="B36" s="66" t="s">
        <v>118</v>
      </c>
      <c r="C36" s="67">
        <v>43387</v>
      </c>
      <c r="D36" s="68" t="s">
        <v>79</v>
      </c>
      <c r="E36" s="70">
        <v>87.549433245585561</v>
      </c>
      <c r="I36" s="51" t="s">
        <v>119</v>
      </c>
      <c r="J36" s="81">
        <v>0.2</v>
      </c>
    </row>
    <row r="37" spans="1:10" ht="15.75" x14ac:dyDescent="0.25">
      <c r="A37" s="51" t="s">
        <v>114</v>
      </c>
      <c r="B37" s="16" t="s">
        <v>119</v>
      </c>
      <c r="C37" s="17">
        <v>43382</v>
      </c>
      <c r="D37" s="18" t="s">
        <v>77</v>
      </c>
      <c r="E37" s="71">
        <v>119.75166179846862</v>
      </c>
      <c r="I37" s="69" t="s">
        <v>120</v>
      </c>
      <c r="J37" s="81">
        <v>0.2</v>
      </c>
    </row>
    <row r="38" spans="1:10" ht="15.75" x14ac:dyDescent="0.25">
      <c r="A38" s="69" t="s">
        <v>114</v>
      </c>
      <c r="B38" s="66" t="s">
        <v>120</v>
      </c>
      <c r="C38" s="67">
        <v>43317</v>
      </c>
      <c r="D38" s="68" t="s">
        <v>79</v>
      </c>
      <c r="E38" s="70">
        <v>47.708340845984637</v>
      </c>
      <c r="I38" s="58" t="s">
        <v>121</v>
      </c>
      <c r="J38" s="82">
        <v>0.2</v>
      </c>
    </row>
    <row r="39" spans="1:10" ht="15.75" x14ac:dyDescent="0.25">
      <c r="A39" s="58" t="s">
        <v>114</v>
      </c>
      <c r="B39" s="59" t="s">
        <v>121</v>
      </c>
      <c r="C39" s="60">
        <v>43257</v>
      </c>
      <c r="D39" s="59" t="s">
        <v>122</v>
      </c>
      <c r="E39" s="76">
        <v>33.133797314677921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1AAE-69F3-428B-9C2D-2B4CCC83F62F}">
  <sheetPr codeName="Hoja19">
    <outlinePr summaryBelow="0"/>
  </sheetPr>
  <dimension ref="B1:I14"/>
  <sheetViews>
    <sheetView showGridLines="0" workbookViewId="0"/>
  </sheetViews>
  <sheetFormatPr baseColWidth="10" defaultRowHeight="15" outlineLevelRow="1" outlineLevelCol="1" x14ac:dyDescent="0.25"/>
  <cols>
    <col min="3" max="3" width="12.140625" bestFit="1" customWidth="1"/>
    <col min="4" max="9" width="50.5703125" bestFit="1" customWidth="1" outlineLevel="1"/>
  </cols>
  <sheetData>
    <row r="1" spans="2:9" ht="15.75" thickBot="1" x14ac:dyDescent="0.3"/>
    <row r="2" spans="2:9" ht="15.75" x14ac:dyDescent="0.25">
      <c r="B2" s="87" t="s">
        <v>453</v>
      </c>
      <c r="C2" s="87"/>
      <c r="D2" s="92"/>
      <c r="E2" s="92"/>
      <c r="F2" s="92"/>
      <c r="G2" s="92"/>
      <c r="H2" s="92"/>
      <c r="I2" s="92"/>
    </row>
    <row r="3" spans="2:9" ht="15.75" collapsed="1" x14ac:dyDescent="0.25">
      <c r="B3" s="86"/>
      <c r="C3" s="86"/>
      <c r="D3" s="93" t="s">
        <v>455</v>
      </c>
      <c r="E3" s="93" t="s">
        <v>446</v>
      </c>
      <c r="F3" s="93" t="s">
        <v>448</v>
      </c>
      <c r="G3" s="93" t="s">
        <v>450</v>
      </c>
      <c r="H3" s="93" t="s">
        <v>451</v>
      </c>
      <c r="I3" s="93" t="s">
        <v>452</v>
      </c>
    </row>
    <row r="4" spans="2:9" ht="22.5" hidden="1" outlineLevel="1" x14ac:dyDescent="0.25">
      <c r="B4" s="89"/>
      <c r="C4" s="89"/>
      <c r="E4" s="97" t="s">
        <v>447</v>
      </c>
      <c r="F4" s="97" t="s">
        <v>449</v>
      </c>
      <c r="G4" s="97" t="s">
        <v>447</v>
      </c>
      <c r="H4" s="97" t="s">
        <v>449</v>
      </c>
      <c r="I4" s="97" t="s">
        <v>447</v>
      </c>
    </row>
    <row r="5" spans="2:9" x14ac:dyDescent="0.25">
      <c r="B5" s="90" t="s">
        <v>454</v>
      </c>
      <c r="C5" s="90"/>
      <c r="D5" s="88"/>
      <c r="E5" s="88"/>
      <c r="F5" s="88"/>
      <c r="G5" s="88"/>
      <c r="H5" s="88"/>
      <c r="I5" s="88"/>
    </row>
    <row r="6" spans="2:9" outlineLevel="1" x14ac:dyDescent="0.25">
      <c r="B6" s="89"/>
      <c r="C6" s="89" t="s">
        <v>434</v>
      </c>
      <c r="D6" s="83">
        <v>250000</v>
      </c>
      <c r="E6" s="94">
        <v>250000</v>
      </c>
      <c r="F6" s="94">
        <v>250000</v>
      </c>
      <c r="G6" s="94">
        <v>250000</v>
      </c>
      <c r="H6" s="94">
        <v>250000</v>
      </c>
      <c r="I6" s="94">
        <v>200000</v>
      </c>
    </row>
    <row r="7" spans="2:9" outlineLevel="1" x14ac:dyDescent="0.25">
      <c r="B7" s="89"/>
      <c r="C7" s="89" t="s">
        <v>444</v>
      </c>
      <c r="D7" s="3">
        <v>0.03</v>
      </c>
      <c r="E7" s="95">
        <v>0.03</v>
      </c>
      <c r="F7" s="95">
        <v>0.04</v>
      </c>
      <c r="G7" s="95">
        <v>0.03</v>
      </c>
      <c r="H7" s="95">
        <v>2.5000000000000001E-2</v>
      </c>
      <c r="I7" s="95">
        <v>0.03</v>
      </c>
    </row>
    <row r="8" spans="2:9" outlineLevel="1" x14ac:dyDescent="0.25">
      <c r="B8" s="89"/>
      <c r="C8" s="89" t="s">
        <v>441</v>
      </c>
      <c r="D8">
        <v>300</v>
      </c>
      <c r="E8" s="96">
        <v>300</v>
      </c>
      <c r="F8" s="96">
        <v>360</v>
      </c>
      <c r="G8" s="96">
        <v>300</v>
      </c>
      <c r="H8" s="96">
        <v>420</v>
      </c>
      <c r="I8" s="96">
        <v>240</v>
      </c>
    </row>
    <row r="9" spans="2:9" outlineLevel="1" x14ac:dyDescent="0.25">
      <c r="B9" s="89"/>
      <c r="C9" s="89" t="s">
        <v>443</v>
      </c>
      <c r="D9" s="83">
        <v>-150</v>
      </c>
      <c r="E9" s="94">
        <v>-150</v>
      </c>
      <c r="F9" s="94">
        <v>-175</v>
      </c>
      <c r="G9" s="94">
        <v>-150</v>
      </c>
      <c r="H9" s="94">
        <v>-275</v>
      </c>
      <c r="I9" s="94">
        <v>-160</v>
      </c>
    </row>
    <row r="10" spans="2:9" x14ac:dyDescent="0.25">
      <c r="B10" s="90" t="s">
        <v>456</v>
      </c>
      <c r="C10" s="90"/>
      <c r="D10" s="88"/>
      <c r="E10" s="88"/>
      <c r="F10" s="88"/>
      <c r="G10" s="88"/>
      <c r="H10" s="88"/>
      <c r="I10" s="88"/>
    </row>
    <row r="11" spans="2:9" ht="15.75" outlineLevel="1" thickBot="1" x14ac:dyDescent="0.3">
      <c r="B11" s="91"/>
      <c r="C11" s="91" t="s">
        <v>445</v>
      </c>
      <c r="D11" s="85">
        <v>-1335.5282846441801</v>
      </c>
      <c r="E11" s="85">
        <v>-1335.5282846441801</v>
      </c>
      <c r="F11" s="85">
        <v>-1368.53823866365</v>
      </c>
      <c r="G11" s="85">
        <v>-1335.5282846441801</v>
      </c>
      <c r="H11" s="85">
        <v>-1168.7380384616299</v>
      </c>
      <c r="I11" s="85">
        <v>-1269.1951957078199</v>
      </c>
    </row>
    <row r="12" spans="2:9" x14ac:dyDescent="0.25">
      <c r="B12" t="s">
        <v>457</v>
      </c>
    </row>
    <row r="13" spans="2:9" x14ac:dyDescent="0.25">
      <c r="B13" t="s">
        <v>458</v>
      </c>
    </row>
    <row r="14" spans="2:9" x14ac:dyDescent="0.25">
      <c r="B14" t="s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1ACF-4489-44A4-A9FB-DA7B0E7CD60F}">
  <sheetPr codeName="Hoja20"/>
  <dimension ref="A2:N87"/>
  <sheetViews>
    <sheetView topLeftCell="A67" workbookViewId="0">
      <selection activeCell="D95" sqref="D95"/>
    </sheetView>
  </sheetViews>
  <sheetFormatPr baseColWidth="10" defaultRowHeight="15" x14ac:dyDescent="0.25"/>
  <cols>
    <col min="2" max="2" width="14.85546875" bestFit="1" customWidth="1"/>
    <col min="3" max="3" width="16.85546875" customWidth="1"/>
    <col min="4" max="4" width="22.5703125" bestFit="1" customWidth="1"/>
    <col min="5" max="5" width="24.5703125" customWidth="1"/>
    <col min="6" max="6" width="12.7109375" customWidth="1"/>
    <col min="7" max="7" width="14.5703125" bestFit="1" customWidth="1"/>
    <col min="8" max="8" width="16.5703125" bestFit="1" customWidth="1"/>
    <col min="9" max="9" width="12.7109375" bestFit="1" customWidth="1"/>
    <col min="14" max="14" width="26.140625" customWidth="1"/>
  </cols>
  <sheetData>
    <row r="2" spans="2:11" x14ac:dyDescent="0.25">
      <c r="E2" t="s">
        <v>438</v>
      </c>
    </row>
    <row r="4" spans="2:11" x14ac:dyDescent="0.25">
      <c r="B4" t="s">
        <v>434</v>
      </c>
      <c r="C4" s="83">
        <v>30000</v>
      </c>
      <c r="E4" t="s">
        <v>437</v>
      </c>
    </row>
    <row r="5" spans="2:11" x14ac:dyDescent="0.25">
      <c r="B5" t="s">
        <v>274</v>
      </c>
      <c r="C5" s="3">
        <v>0.02</v>
      </c>
      <c r="F5" s="34">
        <f>C8</f>
        <v>-775.90235256396602</v>
      </c>
    </row>
    <row r="6" spans="2:11" x14ac:dyDescent="0.25">
      <c r="B6" t="s">
        <v>435</v>
      </c>
      <c r="C6">
        <v>40</v>
      </c>
      <c r="E6" s="3">
        <v>0.02</v>
      </c>
      <c r="F6">
        <f t="dataTable" ref="F6:F10" dt2D="0" dtr="0" r1="C5" ca="1"/>
        <v>-775.90235256396602</v>
      </c>
    </row>
    <row r="7" spans="2:11" x14ac:dyDescent="0.25">
      <c r="E7" s="3">
        <v>0.03</v>
      </c>
      <c r="F7">
        <v>-789.06122615961942</v>
      </c>
    </row>
    <row r="8" spans="2:11" x14ac:dyDescent="0.25">
      <c r="B8" t="s">
        <v>436</v>
      </c>
      <c r="C8" s="84">
        <f>PMT(C5/12,C6,C4)</f>
        <v>-775.90235256396602</v>
      </c>
      <c r="E8" s="32">
        <v>2.5000000000000001E-2</v>
      </c>
      <c r="F8">
        <v>-782.46450523746773</v>
      </c>
    </row>
    <row r="9" spans="2:11" x14ac:dyDescent="0.25">
      <c r="E9" s="3">
        <v>0.04</v>
      </c>
      <c r="F9">
        <v>-802.35824263449069</v>
      </c>
    </row>
    <row r="10" spans="2:11" x14ac:dyDescent="0.25">
      <c r="E10" s="32">
        <v>4.4999999999999998E-2</v>
      </c>
      <c r="F10">
        <v>-809.05846848170825</v>
      </c>
    </row>
    <row r="13" spans="2:11" x14ac:dyDescent="0.25">
      <c r="F13" s="34">
        <f>C8</f>
        <v>-775.90235256396602</v>
      </c>
      <c r="G13">
        <v>40</v>
      </c>
      <c r="H13">
        <v>45</v>
      </c>
      <c r="I13">
        <v>50</v>
      </c>
      <c r="J13">
        <v>55</v>
      </c>
      <c r="K13">
        <v>60</v>
      </c>
    </row>
    <row r="14" spans="2:11" x14ac:dyDescent="0.25">
      <c r="F14" s="3">
        <v>0.02</v>
      </c>
      <c r="G14">
        <f t="dataTable" ref="G14:K18" dt2D="1" dtr="1" r1="C6" r2="C5"/>
        <v>-775.90235256396602</v>
      </c>
      <c r="H14">
        <v>-692.53427868215567</v>
      </c>
      <c r="I14">
        <v>-625.84675433733412</v>
      </c>
      <c r="J14">
        <v>-571.29053791640592</v>
      </c>
      <c r="K14">
        <v>-525.83280159733135</v>
      </c>
    </row>
    <row r="15" spans="2:11" x14ac:dyDescent="0.25">
      <c r="F15" s="3">
        <v>0.03</v>
      </c>
      <c r="G15">
        <v>-789.06122615961942</v>
      </c>
      <c r="H15">
        <v>-705.70175305050861</v>
      </c>
      <c r="I15">
        <v>-639.02976033745347</v>
      </c>
      <c r="J15">
        <v>-584.49411280922777</v>
      </c>
      <c r="K15">
        <v>-539.06071992189413</v>
      </c>
    </row>
    <row r="16" spans="2:11" x14ac:dyDescent="0.25">
      <c r="F16" s="32">
        <v>2.5000000000000001E-2</v>
      </c>
      <c r="G16">
        <v>-782.46450523746773</v>
      </c>
      <c r="H16">
        <v>-699.09857227672001</v>
      </c>
      <c r="I16">
        <v>-632.4166557938812</v>
      </c>
      <c r="J16">
        <v>-577.86856745186162</v>
      </c>
      <c r="K16">
        <v>-532.4208481644082</v>
      </c>
    </row>
    <row r="17" spans="2:11" x14ac:dyDescent="0.25">
      <c r="F17" s="3">
        <v>0.04</v>
      </c>
      <c r="G17">
        <v>-802.35824263449069</v>
      </c>
      <c r="H17">
        <v>-719.0246166387833</v>
      </c>
      <c r="I17">
        <v>-652.38538519359963</v>
      </c>
      <c r="J17">
        <v>-597.88751838170447</v>
      </c>
      <c r="K17">
        <v>-552.49566165799058</v>
      </c>
    </row>
    <row r="18" spans="2:11" x14ac:dyDescent="0.25">
      <c r="F18" s="32">
        <v>4.4999999999999998E-2</v>
      </c>
      <c r="G18">
        <v>-809.05846848170825</v>
      </c>
      <c r="H18">
        <v>-725.74421307665455</v>
      </c>
      <c r="I18">
        <v>-659.12779966186361</v>
      </c>
      <c r="J18">
        <v>-604.65525018239748</v>
      </c>
      <c r="K18">
        <v>-559.29057724549943</v>
      </c>
    </row>
    <row r="21" spans="2:11" x14ac:dyDescent="0.25">
      <c r="F21" s="34"/>
    </row>
    <row r="22" spans="2:11" x14ac:dyDescent="0.25">
      <c r="C22" t="s">
        <v>440</v>
      </c>
      <c r="F22" s="3"/>
    </row>
    <row r="23" spans="2:11" x14ac:dyDescent="0.25">
      <c r="B23" t="s">
        <v>439</v>
      </c>
      <c r="C23" s="83">
        <v>200000</v>
      </c>
      <c r="F23" s="3"/>
    </row>
    <row r="24" spans="2:11" x14ac:dyDescent="0.25">
      <c r="B24" t="s">
        <v>274</v>
      </c>
      <c r="C24" s="3">
        <v>0.03</v>
      </c>
      <c r="F24" s="32"/>
    </row>
    <row r="25" spans="2:11" x14ac:dyDescent="0.25">
      <c r="B25" t="s">
        <v>441</v>
      </c>
      <c r="C25">
        <v>240</v>
      </c>
      <c r="F25" s="3"/>
    </row>
    <row r="26" spans="2:11" x14ac:dyDescent="0.25">
      <c r="F26" s="32"/>
    </row>
    <row r="27" spans="2:11" x14ac:dyDescent="0.25">
      <c r="B27" t="s">
        <v>442</v>
      </c>
      <c r="C27" s="34">
        <f>PMT(C24/12,C25,C23)</f>
        <v>-1109.195195707824</v>
      </c>
    </row>
    <row r="28" spans="2:11" x14ac:dyDescent="0.25">
      <c r="B28" t="s">
        <v>443</v>
      </c>
      <c r="C28" s="83">
        <v>-160</v>
      </c>
    </row>
    <row r="29" spans="2:11" x14ac:dyDescent="0.25">
      <c r="B29" t="s">
        <v>436</v>
      </c>
      <c r="C29" s="34">
        <f>C27+C28</f>
        <v>-1269.195195707824</v>
      </c>
    </row>
    <row r="33" spans="2:14" ht="19.5" thickBot="1" x14ac:dyDescent="0.35">
      <c r="B33" s="136" t="s">
        <v>460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</row>
    <row r="34" spans="2:14" ht="15.75" thickTop="1" x14ac:dyDescent="0.25"/>
    <row r="36" spans="2:14" x14ac:dyDescent="0.25">
      <c r="B36" t="s">
        <v>461</v>
      </c>
      <c r="C36" s="83">
        <v>11182.679738737212</v>
      </c>
    </row>
    <row r="37" spans="2:14" x14ac:dyDescent="0.25">
      <c r="B37" t="s">
        <v>274</v>
      </c>
      <c r="C37" s="32">
        <v>3.5000000000000003E-2</v>
      </c>
    </row>
    <row r="38" spans="2:14" x14ac:dyDescent="0.25">
      <c r="B38" t="s">
        <v>462</v>
      </c>
      <c r="C38">
        <v>48</v>
      </c>
    </row>
    <row r="39" spans="2:14" x14ac:dyDescent="0.25">
      <c r="B39" t="s">
        <v>463</v>
      </c>
      <c r="C39" s="34">
        <f>PMT(C37/12,48,C36)</f>
        <v>-250.00000000000003</v>
      </c>
    </row>
    <row r="45" spans="2:14" x14ac:dyDescent="0.25">
      <c r="B45" s="128" t="s">
        <v>464</v>
      </c>
      <c r="C45" s="128"/>
      <c r="D45" s="128"/>
      <c r="E45" s="128"/>
    </row>
    <row r="47" spans="2:14" x14ac:dyDescent="0.25">
      <c r="B47" s="11" t="s">
        <v>465</v>
      </c>
      <c r="C47" s="11" t="s">
        <v>466</v>
      </c>
      <c r="D47" s="11" t="s">
        <v>467</v>
      </c>
      <c r="E47" s="11" t="s">
        <v>15</v>
      </c>
      <c r="F47" s="11" t="s">
        <v>468</v>
      </c>
      <c r="G47" s="11" t="s">
        <v>38</v>
      </c>
      <c r="J47" s="137" t="s">
        <v>473</v>
      </c>
      <c r="K47" s="137"/>
      <c r="L47" s="137"/>
      <c r="M47" s="137"/>
      <c r="N47" s="137"/>
    </row>
    <row r="48" spans="2:14" x14ac:dyDescent="0.25">
      <c r="B48" t="s">
        <v>469</v>
      </c>
      <c r="C48" s="98">
        <v>15000</v>
      </c>
      <c r="D48">
        <v>15</v>
      </c>
      <c r="E48" s="98">
        <f>C48*D48*0.21</f>
        <v>47250</v>
      </c>
      <c r="F48" s="98">
        <v>16335</v>
      </c>
      <c r="G48" s="31">
        <f>C48*D48+E48-F48</f>
        <v>255915</v>
      </c>
      <c r="J48" s="137"/>
      <c r="K48" s="137"/>
      <c r="L48" s="137"/>
      <c r="M48" s="137"/>
      <c r="N48" s="137"/>
    </row>
    <row r="49" spans="1:14" x14ac:dyDescent="0.25">
      <c r="B49" t="s">
        <v>470</v>
      </c>
      <c r="C49" s="98">
        <v>3500</v>
      </c>
      <c r="D49">
        <v>60</v>
      </c>
      <c r="E49" s="98">
        <f t="shared" ref="E49:E51" si="0">C49*D49*0.21</f>
        <v>44100</v>
      </c>
      <c r="F49" s="98">
        <v>15246</v>
      </c>
      <c r="G49" s="31">
        <f t="shared" ref="G49" si="1">C49*D49+E49-F49</f>
        <v>238854</v>
      </c>
      <c r="J49" s="137"/>
      <c r="K49" s="137"/>
      <c r="L49" s="137"/>
      <c r="M49" s="137"/>
      <c r="N49" s="137"/>
    </row>
    <row r="50" spans="1:14" x14ac:dyDescent="0.25">
      <c r="B50" t="s">
        <v>471</v>
      </c>
      <c r="C50" s="98">
        <v>4000</v>
      </c>
      <c r="D50">
        <v>16</v>
      </c>
      <c r="E50" s="98">
        <f t="shared" si="0"/>
        <v>13440</v>
      </c>
      <c r="F50" s="98">
        <v>4646.3999999999996</v>
      </c>
      <c r="G50" s="31">
        <f>C50*D50+E50-F50</f>
        <v>72793.600000000006</v>
      </c>
    </row>
    <row r="51" spans="1:14" x14ac:dyDescent="0.25">
      <c r="B51" t="s">
        <v>472</v>
      </c>
      <c r="C51" s="98">
        <v>215000</v>
      </c>
      <c r="D51">
        <v>16</v>
      </c>
      <c r="E51" s="98">
        <f t="shared" si="0"/>
        <v>722400</v>
      </c>
      <c r="F51" s="98">
        <v>249744</v>
      </c>
      <c r="G51" s="31">
        <f>C51*D51+E51-F51</f>
        <v>3912656</v>
      </c>
    </row>
    <row r="53" spans="1:14" x14ac:dyDescent="0.25">
      <c r="G53" s="31">
        <f>SUM(G48:G51)</f>
        <v>4480218.5999999996</v>
      </c>
    </row>
    <row r="56" spans="1:14" x14ac:dyDescent="0.25">
      <c r="A56" t="s">
        <v>18</v>
      </c>
      <c r="B56" s="3">
        <v>0.21</v>
      </c>
      <c r="E56" s="31"/>
    </row>
    <row r="57" spans="1:14" x14ac:dyDescent="0.25">
      <c r="A57" t="s">
        <v>46</v>
      </c>
      <c r="B57" s="3">
        <v>0.06</v>
      </c>
    </row>
    <row r="58" spans="1:14" x14ac:dyDescent="0.25">
      <c r="E58" s="31"/>
      <c r="F58" s="128" t="s">
        <v>481</v>
      </c>
      <c r="G58" s="128"/>
    </row>
    <row r="61" spans="1:14" x14ac:dyDescent="0.25">
      <c r="B61" s="11" t="s">
        <v>474</v>
      </c>
      <c r="C61" s="11" t="s">
        <v>475</v>
      </c>
      <c r="D61" s="11" t="s">
        <v>476</v>
      </c>
      <c r="E61" s="11" t="s">
        <v>477</v>
      </c>
      <c r="G61" s="11" t="s">
        <v>478</v>
      </c>
      <c r="H61" s="11" t="s">
        <v>479</v>
      </c>
      <c r="I61" s="11" t="s">
        <v>480</v>
      </c>
    </row>
    <row r="62" spans="1:14" x14ac:dyDescent="0.25">
      <c r="B62" t="s">
        <v>469</v>
      </c>
      <c r="C62" s="98">
        <v>150</v>
      </c>
      <c r="D62" s="98">
        <v>115</v>
      </c>
      <c r="E62" s="31">
        <f>C62-D62</f>
        <v>35</v>
      </c>
      <c r="G62">
        <v>384</v>
      </c>
      <c r="H62" s="99">
        <f>D62*G62</f>
        <v>44160</v>
      </c>
      <c r="I62" s="2">
        <f>E62*G62</f>
        <v>13440</v>
      </c>
    </row>
    <row r="63" spans="1:14" x14ac:dyDescent="0.25">
      <c r="B63" t="s">
        <v>470</v>
      </c>
      <c r="C63" s="98">
        <v>75</v>
      </c>
      <c r="D63" s="98">
        <v>60</v>
      </c>
      <c r="E63" s="31">
        <f t="shared" ref="E63:E64" si="2">C63-D63</f>
        <v>15</v>
      </c>
      <c r="G63">
        <v>151</v>
      </c>
      <c r="H63" s="99">
        <f t="shared" ref="H63:H64" si="3">D63*G63</f>
        <v>9060</v>
      </c>
      <c r="I63" s="2">
        <f t="shared" ref="I63:I64" si="4">E63*G63</f>
        <v>2265</v>
      </c>
    </row>
    <row r="64" spans="1:14" x14ac:dyDescent="0.25">
      <c r="B64" t="s">
        <v>471</v>
      </c>
      <c r="C64" s="98">
        <v>55</v>
      </c>
      <c r="D64" s="98">
        <v>45</v>
      </c>
      <c r="E64" s="31">
        <f t="shared" si="2"/>
        <v>10</v>
      </c>
      <c r="G64">
        <v>150</v>
      </c>
      <c r="H64" s="99">
        <f t="shared" si="3"/>
        <v>6750</v>
      </c>
      <c r="I64" s="2">
        <f t="shared" si="4"/>
        <v>1500</v>
      </c>
    </row>
    <row r="65" spans="2:11" x14ac:dyDescent="0.25">
      <c r="I65" s="2"/>
    </row>
    <row r="66" spans="2:11" x14ac:dyDescent="0.25">
      <c r="H66" s="2">
        <f>SUM(H62:H64)</f>
        <v>59970</v>
      </c>
      <c r="I66" s="2">
        <f>SUM(I62:I64)</f>
        <v>17205</v>
      </c>
    </row>
    <row r="70" spans="2:11" x14ac:dyDescent="0.25">
      <c r="E70" s="128" t="s">
        <v>482</v>
      </c>
      <c r="F70" s="128"/>
    </row>
    <row r="72" spans="2:11" x14ac:dyDescent="0.25">
      <c r="B72" s="138" t="s">
        <v>483</v>
      </c>
      <c r="C72" s="138"/>
      <c r="E72" s="138" t="s">
        <v>488</v>
      </c>
      <c r="F72" s="138"/>
      <c r="H72" s="138" t="s">
        <v>489</v>
      </c>
      <c r="I72" s="138"/>
      <c r="J72" s="138"/>
      <c r="K72" s="138"/>
    </row>
    <row r="73" spans="2:11" x14ac:dyDescent="0.25">
      <c r="B73" s="6" t="s">
        <v>484</v>
      </c>
      <c r="C73" s="6" t="s">
        <v>485</v>
      </c>
      <c r="E73" s="6" t="s">
        <v>469</v>
      </c>
      <c r="F73" s="6">
        <v>80</v>
      </c>
      <c r="H73" s="6" t="s">
        <v>490</v>
      </c>
      <c r="I73" s="6" t="s">
        <v>469</v>
      </c>
      <c r="J73" s="6" t="s">
        <v>470</v>
      </c>
      <c r="K73" s="6" t="s">
        <v>471</v>
      </c>
    </row>
    <row r="74" spans="2:11" x14ac:dyDescent="0.25">
      <c r="B74" s="6" t="s">
        <v>486</v>
      </c>
      <c r="C74" s="6">
        <v>150</v>
      </c>
      <c r="E74" s="6" t="s">
        <v>470</v>
      </c>
      <c r="F74" s="6">
        <v>68</v>
      </c>
      <c r="H74" s="6" t="s">
        <v>486</v>
      </c>
      <c r="I74" s="100">
        <v>115</v>
      </c>
      <c r="J74" s="100">
        <v>60</v>
      </c>
      <c r="K74" s="100">
        <v>45</v>
      </c>
    </row>
    <row r="75" spans="2:11" x14ac:dyDescent="0.25">
      <c r="B75" s="6" t="s">
        <v>487</v>
      </c>
      <c r="C75" s="6">
        <v>135</v>
      </c>
      <c r="E75" s="6" t="s">
        <v>471</v>
      </c>
      <c r="F75" s="6">
        <v>85</v>
      </c>
      <c r="H75" s="6" t="s">
        <v>487</v>
      </c>
      <c r="I75" s="100">
        <v>135</v>
      </c>
      <c r="J75" s="100">
        <v>75</v>
      </c>
      <c r="K75" s="100">
        <v>40</v>
      </c>
    </row>
    <row r="76" spans="2:11" x14ac:dyDescent="0.25">
      <c r="F76">
        <v>0</v>
      </c>
    </row>
    <row r="78" spans="2:11" x14ac:dyDescent="0.25">
      <c r="B78" s="138" t="s">
        <v>491</v>
      </c>
      <c r="C78" s="138"/>
      <c r="D78" s="138"/>
      <c r="E78" s="138"/>
    </row>
    <row r="79" spans="2:11" x14ac:dyDescent="0.25">
      <c r="B79" s="6" t="s">
        <v>490</v>
      </c>
      <c r="C79" s="6" t="s">
        <v>469</v>
      </c>
      <c r="D79" s="6" t="s">
        <v>470</v>
      </c>
      <c r="E79" s="6" t="s">
        <v>471</v>
      </c>
      <c r="F79" t="s">
        <v>38</v>
      </c>
    </row>
    <row r="80" spans="2:11" x14ac:dyDescent="0.25">
      <c r="B80" s="6" t="s">
        <v>492</v>
      </c>
      <c r="C80" s="101">
        <v>79.999999999999986</v>
      </c>
      <c r="D80" s="101">
        <v>68</v>
      </c>
      <c r="E80" s="101">
        <v>0</v>
      </c>
      <c r="F80" s="10">
        <f>SUM(C80:E80)</f>
        <v>148</v>
      </c>
      <c r="H80" s="128" t="s">
        <v>493</v>
      </c>
      <c r="I80" s="128"/>
    </row>
    <row r="81" spans="2:9" x14ac:dyDescent="0.25">
      <c r="B81" s="6" t="s">
        <v>487</v>
      </c>
      <c r="C81" s="101">
        <v>0</v>
      </c>
      <c r="D81" s="101">
        <v>0</v>
      </c>
      <c r="E81" s="101">
        <v>85</v>
      </c>
      <c r="F81" s="10">
        <f t="shared" ref="F81" si="5">SUM(C81:E81)</f>
        <v>85</v>
      </c>
      <c r="H81" s="139">
        <f>SUM(F86:F87)</f>
        <v>16680</v>
      </c>
      <c r="I81" s="139"/>
    </row>
    <row r="82" spans="2:9" x14ac:dyDescent="0.25">
      <c r="B82" t="s">
        <v>2</v>
      </c>
      <c r="C82" s="10">
        <f>SUM(C80:C81)</f>
        <v>79.999999999999986</v>
      </c>
      <c r="D82" s="10">
        <f>SUM(D80:D81)</f>
        <v>68</v>
      </c>
      <c r="E82" s="10">
        <f>SUM(E80:E81)</f>
        <v>85</v>
      </c>
      <c r="F82" s="10">
        <f>SUM(F80:F81)</f>
        <v>233</v>
      </c>
    </row>
    <row r="84" spans="2:9" x14ac:dyDescent="0.25">
      <c r="B84" s="138" t="s">
        <v>489</v>
      </c>
      <c r="C84" s="138"/>
      <c r="D84" s="138"/>
      <c r="E84" s="138"/>
    </row>
    <row r="85" spans="2:9" x14ac:dyDescent="0.25">
      <c r="B85" s="6" t="s">
        <v>490</v>
      </c>
      <c r="C85" s="6" t="s">
        <v>469</v>
      </c>
      <c r="D85" s="6" t="s">
        <v>470</v>
      </c>
      <c r="E85" s="6" t="s">
        <v>471</v>
      </c>
      <c r="F85" t="s">
        <v>38</v>
      </c>
    </row>
    <row r="86" spans="2:9" x14ac:dyDescent="0.25">
      <c r="B86" s="6" t="s">
        <v>486</v>
      </c>
      <c r="C86" s="100">
        <f>C80*I74</f>
        <v>9199.9999999999982</v>
      </c>
      <c r="D86" s="100">
        <f>D80*J74</f>
        <v>4080</v>
      </c>
      <c r="E86" s="100">
        <f>E80*K74</f>
        <v>0</v>
      </c>
      <c r="F86" s="2">
        <f>SUM(C86:E86)</f>
        <v>13279.999999999998</v>
      </c>
    </row>
    <row r="87" spans="2:9" x14ac:dyDescent="0.25">
      <c r="B87" s="6" t="s">
        <v>487</v>
      </c>
      <c r="C87" s="100">
        <f>C81*I75</f>
        <v>0</v>
      </c>
      <c r="D87" s="100">
        <f t="shared" ref="D87" si="6">D81*J75</f>
        <v>0</v>
      </c>
      <c r="E87" s="100">
        <f>E81*K75</f>
        <v>3400</v>
      </c>
      <c r="F87" s="2">
        <f>SUM(C87:E87)</f>
        <v>3400</v>
      </c>
    </row>
  </sheetData>
  <scenarios current="4" show="4" sqref="C29">
    <scenario name="Banco1 a 3% a 25 años con seguro 100% capital" locked="1" count="4" user="Usuario" comment="Creado por Usuario el 04/09/2023">
      <inputCells r="C23" val="250000" numFmtId="168"/>
      <inputCells r="C24" val="0.03" numFmtId="9"/>
      <inputCells r="C25" val="300"/>
      <inputCells r="C28" val="-150" numFmtId="168"/>
    </scenario>
    <scenario name="Banco1 al 4% a 30 años 100 % capital con seguro 175" locked="1" count="4" user="Usuario" comment="Creado por Usuario el 04/09/2023_x000a_Modificado por Usuario el 04/09/2023">
      <inputCells r="C23" val="250000" numFmtId="168"/>
      <inputCells r="C24" val="0.04" numFmtId="9"/>
      <inputCells r="C25" val="360"/>
      <inputCells r="C28" val="-175" numFmtId="168"/>
    </scenario>
    <scenario name="Banco 1 al 3% a 25 años 100% capital con seguro" locked="1" count="4" user="Usuario" comment="Creado por Usuario el 04/09/2023">
      <inputCells r="C23" val="250000" numFmtId="168"/>
      <inputCells r="C24" val="0.03" numFmtId="9"/>
      <inputCells r="C25" val="300"/>
      <inputCells r="C28" val="-150" numFmtId="168"/>
    </scenario>
    <scenario name="Banco2 a 2.5% interes a 35 años con seguro 275 capital %100" locked="1" count="4" user="Usuario" comment="Creado por Usuario el 04/09/2023_x000a_Modificado por Usuario el 04/09/2023">
      <inputCells r="C23" val="250000" numFmtId="168"/>
      <inputCells r="C24" val="0.025" numFmtId="9"/>
      <inputCells r="C25" val="420"/>
      <inputCells r="C28" val="-275" numFmtId="168"/>
    </scenario>
    <scenario name="Banco3 al 3% interes con  80% capital a 20 años con seguro " locked="1" count="4" user="Usuario" comment="Creado por Usuario el 04/09/2023">
      <inputCells r="C23" val="200000" numFmtId="168"/>
      <inputCells r="C24" val="0.03" numFmtId="9"/>
      <inputCells r="C25" val="240"/>
      <inputCells r="C28" val="-160" numFmtId="168"/>
    </scenario>
    <scenario name="COSTE MINIMO FABRICACION" count="6" user="Usuario" comment="Creado por Usuario el 9/7/2023">
      <inputCells r="C80" val="80" numFmtId="2"/>
      <inputCells r="D80" val="68" numFmtId="2"/>
      <inputCells r="E80" val="0" numFmtId="2"/>
      <inputCells r="C81" val="0" numFmtId="2"/>
      <inputCells r="D81" val="0" numFmtId="2"/>
      <inputCells r="E81" val="85" numFmtId="2"/>
    </scenario>
  </scenarios>
  <dataConsolidate/>
  <mergeCells count="12">
    <mergeCell ref="B72:C72"/>
    <mergeCell ref="E72:F72"/>
    <mergeCell ref="H72:K72"/>
    <mergeCell ref="B78:E78"/>
    <mergeCell ref="B84:E84"/>
    <mergeCell ref="H80:I80"/>
    <mergeCell ref="H81:I81"/>
    <mergeCell ref="B33:N33"/>
    <mergeCell ref="B45:E45"/>
    <mergeCell ref="J47:N49"/>
    <mergeCell ref="F58:G58"/>
    <mergeCell ref="E70:F70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76FC-4312-4707-92D5-123C16372D86}">
  <sheetPr codeName="Hoja21"/>
  <dimension ref="A1:I9"/>
  <sheetViews>
    <sheetView workbookViewId="0">
      <selection activeCell="B11" sqref="B11"/>
    </sheetView>
  </sheetViews>
  <sheetFormatPr baseColWidth="10" defaultRowHeight="15" x14ac:dyDescent="0.25"/>
  <cols>
    <col min="2" max="2" width="17.42578125" bestFit="1" customWidth="1"/>
    <col min="5" max="5" width="12.5703125" bestFit="1" customWidth="1"/>
  </cols>
  <sheetData>
    <row r="1" spans="1:9" x14ac:dyDescent="0.25">
      <c r="A1" t="s">
        <v>124</v>
      </c>
      <c r="B1" t="s">
        <v>275</v>
      </c>
      <c r="C1" t="s">
        <v>276</v>
      </c>
      <c r="D1" t="s">
        <v>494</v>
      </c>
      <c r="E1" t="s">
        <v>495</v>
      </c>
    </row>
    <row r="2" spans="1:9" x14ac:dyDescent="0.25">
      <c r="C2">
        <v>18</v>
      </c>
      <c r="D2" t="s">
        <v>496</v>
      </c>
      <c r="E2" t="s">
        <v>498</v>
      </c>
    </row>
    <row r="3" spans="1:9" x14ac:dyDescent="0.25">
      <c r="C3" s="30">
        <v>50</v>
      </c>
    </row>
    <row r="4" spans="1:9" x14ac:dyDescent="0.25">
      <c r="C4">
        <v>30</v>
      </c>
    </row>
    <row r="5" spans="1:9" x14ac:dyDescent="0.25">
      <c r="C5">
        <v>15</v>
      </c>
    </row>
    <row r="6" spans="1:9" x14ac:dyDescent="0.25">
      <c r="C6">
        <v>15</v>
      </c>
      <c r="D6" t="s">
        <v>500</v>
      </c>
      <c r="E6" t="s">
        <v>497</v>
      </c>
    </row>
    <row r="7" spans="1:9" x14ac:dyDescent="0.25">
      <c r="C7">
        <v>100</v>
      </c>
      <c r="H7" t="s">
        <v>499</v>
      </c>
      <c r="I7" t="s">
        <v>496</v>
      </c>
    </row>
    <row r="8" spans="1:9" x14ac:dyDescent="0.25">
      <c r="H8" t="s">
        <v>498</v>
      </c>
      <c r="I8" t="s">
        <v>500</v>
      </c>
    </row>
    <row r="9" spans="1:9" x14ac:dyDescent="0.25">
      <c r="H9" t="s">
        <v>497</v>
      </c>
    </row>
  </sheetData>
  <dataValidations xWindow="356" yWindow="292" count="3">
    <dataValidation type="whole" allowBlank="1" showInputMessage="1" showErrorMessage="1" sqref="C1:C1048576" xr:uid="{F21B8435-EAEA-44EC-817B-B19C5755AE35}">
      <formula1>1</formula1>
      <formula2>110</formula2>
    </dataValidation>
    <dataValidation type="list" allowBlank="1" showInputMessage="1" showErrorMessage="1" errorTitle="!Advertencia" error="Solo colocar Si o No con la Barra_x000a_" promptTitle="Ojo!" prompt="Debes Colocar Si o No" sqref="D1:D1048576" xr:uid="{9626B189-7ECE-4084-B920-DD255A53E9B2}">
      <formula1>IF(C1&gt;17,$I$7,$I$8)</formula1>
    </dataValidation>
    <dataValidation type="list" allowBlank="1" showInputMessage="1" showErrorMessage="1" sqref="E1:E1048576" xr:uid="{9A5E46FA-5959-4370-9271-4C70A9E0EA2C}">
      <formula1>IF(D1="SI",$H$7:$H$8,$H$9)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748E-63FA-4660-B8C1-4AEC2AAF7EFF}">
  <sheetPr codeName="Hoja22"/>
  <dimension ref="A2:H32"/>
  <sheetViews>
    <sheetView topLeftCell="A3" zoomScale="115" zoomScaleNormal="115" workbookViewId="0">
      <selection activeCell="D19" sqref="D19"/>
    </sheetView>
  </sheetViews>
  <sheetFormatPr baseColWidth="10" defaultRowHeight="15" x14ac:dyDescent="0.25"/>
  <cols>
    <col min="2" max="2" width="24.140625" bestFit="1" customWidth="1"/>
    <col min="4" max="4" width="19.140625" bestFit="1" customWidth="1"/>
    <col min="5" max="5" width="16.42578125" bestFit="1" customWidth="1"/>
  </cols>
  <sheetData>
    <row r="2" spans="1:8" ht="15.75" x14ac:dyDescent="0.25">
      <c r="C2" s="103" t="s">
        <v>501</v>
      </c>
      <c r="D2" s="104" t="s">
        <v>539</v>
      </c>
      <c r="E2" s="105"/>
    </row>
    <row r="3" spans="1:8" ht="15.75" x14ac:dyDescent="0.25">
      <c r="C3" s="106"/>
      <c r="D3" s="107" t="s">
        <v>502</v>
      </c>
      <c r="E3" s="118" t="str">
        <f>IFERROR(VLOOKUP($D$2,TB_CLIENTES,2,FALSE),"")</f>
        <v>D7887887</v>
      </c>
      <c r="G3" s="102"/>
      <c r="H3" s="102"/>
    </row>
    <row r="4" spans="1:8" ht="15.75" x14ac:dyDescent="0.25">
      <c r="C4" s="106"/>
      <c r="D4" s="107" t="s">
        <v>506</v>
      </c>
      <c r="E4" s="118" t="str">
        <f>IFERROR(VLOOKUP($D$2,TB_CLIENTES,3,FALSE),"")</f>
        <v>Castellana 12</v>
      </c>
      <c r="G4" s="102"/>
      <c r="H4" s="102"/>
    </row>
    <row r="5" spans="1:8" ht="15.75" x14ac:dyDescent="0.25">
      <c r="C5" s="106"/>
      <c r="D5" s="107" t="s">
        <v>503</v>
      </c>
      <c r="E5" s="118" t="str">
        <f>IFERROR(VLOOKUP($D$2,TB_CLIENTES,4,FALSE),"")</f>
        <v xml:space="preserve">Madrid </v>
      </c>
      <c r="G5" s="102"/>
      <c r="H5" s="102"/>
    </row>
    <row r="6" spans="1:8" ht="17.25" customHeight="1" x14ac:dyDescent="0.25">
      <c r="C6" s="106"/>
      <c r="D6" s="107" t="s">
        <v>507</v>
      </c>
      <c r="E6" s="120">
        <f>IFERROR(VLOOKUP($D$2,TB_CLIENTES,5,FALSE),"")</f>
        <v>28007</v>
      </c>
      <c r="G6" s="102"/>
      <c r="H6" s="102"/>
    </row>
    <row r="7" spans="1:8" ht="15.75" x14ac:dyDescent="0.25">
      <c r="C7" s="108"/>
      <c r="D7" s="119" t="s">
        <v>505</v>
      </c>
      <c r="E7" s="121">
        <f>IFERROR(VLOOKUP($D$2,TB_CLIENTES,6,FALSE),"")</f>
        <v>915236541</v>
      </c>
      <c r="G7" s="102"/>
      <c r="H7" s="102"/>
    </row>
    <row r="9" spans="1:8" x14ac:dyDescent="0.25">
      <c r="B9" s="109" t="s">
        <v>508</v>
      </c>
    </row>
    <row r="10" spans="1:8" x14ac:dyDescent="0.25">
      <c r="A10" s="4" t="s">
        <v>509</v>
      </c>
    </row>
    <row r="11" spans="1:8" x14ac:dyDescent="0.25">
      <c r="A11" s="4" t="s">
        <v>503</v>
      </c>
    </row>
    <row r="12" spans="1:8" x14ac:dyDescent="0.25">
      <c r="A12" s="4" t="s">
        <v>504</v>
      </c>
    </row>
    <row r="13" spans="1:8" x14ac:dyDescent="0.25">
      <c r="A13" s="4" t="s">
        <v>510</v>
      </c>
      <c r="D13" s="110" t="s">
        <v>512</v>
      </c>
      <c r="E13" s="110"/>
    </row>
    <row r="14" spans="1:8" x14ac:dyDescent="0.25">
      <c r="A14" s="4" t="s">
        <v>511</v>
      </c>
      <c r="D14" s="110" t="s">
        <v>513</v>
      </c>
      <c r="E14" s="111">
        <f ca="1">TODAY()</f>
        <v>45183</v>
      </c>
    </row>
    <row r="15" spans="1:8" x14ac:dyDescent="0.25">
      <c r="D15" s="110" t="s">
        <v>514</v>
      </c>
      <c r="E15" s="111">
        <f ca="1">E14+20</f>
        <v>45203</v>
      </c>
    </row>
    <row r="17" spans="1:5" x14ac:dyDescent="0.25">
      <c r="A17" s="112" t="s">
        <v>515</v>
      </c>
      <c r="B17" s="112" t="s">
        <v>516</v>
      </c>
      <c r="C17" s="112" t="s">
        <v>467</v>
      </c>
      <c r="D17" s="112" t="s">
        <v>1</v>
      </c>
      <c r="E17" s="112" t="s">
        <v>2</v>
      </c>
    </row>
    <row r="18" spans="1:5" x14ac:dyDescent="0.25">
      <c r="A18" t="str">
        <f>IFERROR(VLOOKUP(B18,TB_CURSOS[],2,FALSE),"")</f>
        <v>a-564658</v>
      </c>
      <c r="B18" t="s">
        <v>520</v>
      </c>
      <c r="C18">
        <v>1</v>
      </c>
      <c r="D18" s="83">
        <f>IFERROR(VLOOKUP(B18,TB_CURSOS[],3,FALSE),"")</f>
        <v>1525</v>
      </c>
      <c r="E18" s="83">
        <f>IFERROR(C18*D18,"")</f>
        <v>1525</v>
      </c>
    </row>
    <row r="19" spans="1:5" x14ac:dyDescent="0.25">
      <c r="A19" t="str">
        <f>IFERROR(VLOOKUP(B19,TB_CURSOS[],2,FALSE),"")</f>
        <v>d-987987</v>
      </c>
      <c r="B19" t="s">
        <v>524</v>
      </c>
      <c r="C19">
        <v>2</v>
      </c>
      <c r="D19" s="83">
        <f>IFERROR(VLOOKUP(B19,TB_CURSOS[],3,FALSE),"")</f>
        <v>3520</v>
      </c>
      <c r="E19" s="83">
        <f t="shared" ref="E19:E27" si="0">IFERROR(C19*D19,"")</f>
        <v>7040</v>
      </c>
    </row>
    <row r="20" spans="1:5" x14ac:dyDescent="0.25">
      <c r="A20" t="str">
        <f>IFERROR(VLOOKUP(B20,TB_CURSOS[],2,FALSE),"")</f>
        <v/>
      </c>
      <c r="D20" s="83" t="str">
        <f>IFERROR(VLOOKUP(B20,TB_CURSOS[],3,FALSE),"")</f>
        <v/>
      </c>
      <c r="E20" s="83" t="str">
        <f t="shared" si="0"/>
        <v/>
      </c>
    </row>
    <row r="21" spans="1:5" x14ac:dyDescent="0.25">
      <c r="A21" t="str">
        <f>IFERROR(VLOOKUP(B21,TB_CURSOS[],2,FALSE),"")</f>
        <v/>
      </c>
      <c r="D21" s="83" t="str">
        <f>IFERROR(VLOOKUP(B21,TB_CURSOS[],3,FALSE),"")</f>
        <v/>
      </c>
      <c r="E21" s="83" t="str">
        <f t="shared" si="0"/>
        <v/>
      </c>
    </row>
    <row r="22" spans="1:5" x14ac:dyDescent="0.25">
      <c r="A22" t="str">
        <f>IFERROR(VLOOKUP(B22,TB_CURSOS[],2,FALSE),"")</f>
        <v/>
      </c>
      <c r="D22" s="83" t="str">
        <f>IFERROR(VLOOKUP(B22,TB_CURSOS[],3,FALSE),"")</f>
        <v/>
      </c>
      <c r="E22" s="83" t="str">
        <f t="shared" si="0"/>
        <v/>
      </c>
    </row>
    <row r="23" spans="1:5" x14ac:dyDescent="0.25">
      <c r="A23" t="str">
        <f>IFERROR(VLOOKUP(B23,TB_CURSOS[],2,FALSE),"")</f>
        <v/>
      </c>
      <c r="D23" s="83" t="str">
        <f>IFERROR(VLOOKUP(B23,TB_CURSOS[],3,FALSE),"")</f>
        <v/>
      </c>
      <c r="E23" s="83" t="str">
        <f t="shared" si="0"/>
        <v/>
      </c>
    </row>
    <row r="24" spans="1:5" x14ac:dyDescent="0.25">
      <c r="A24" t="str">
        <f>IFERROR(VLOOKUP(B24,TB_CURSOS[],2,FALSE),"")</f>
        <v/>
      </c>
      <c r="D24" s="83" t="str">
        <f>IFERROR(VLOOKUP(B24,TB_CURSOS[],3,FALSE),"")</f>
        <v/>
      </c>
      <c r="E24" s="83" t="str">
        <f t="shared" si="0"/>
        <v/>
      </c>
    </row>
    <row r="25" spans="1:5" x14ac:dyDescent="0.25">
      <c r="A25" t="str">
        <f>IFERROR(VLOOKUP(B25,TB_CURSOS[],2,FALSE),"")</f>
        <v/>
      </c>
      <c r="D25" s="83" t="str">
        <f>IFERROR(VLOOKUP(B25,TB_CURSOS[],3,FALSE),"")</f>
        <v/>
      </c>
      <c r="E25" s="83" t="str">
        <f t="shared" si="0"/>
        <v/>
      </c>
    </row>
    <row r="26" spans="1:5" x14ac:dyDescent="0.25">
      <c r="A26" t="str">
        <f>IFERROR(VLOOKUP(B26,TB_CURSOS[],2,FALSE),"")</f>
        <v/>
      </c>
      <c r="D26" s="83" t="str">
        <f>IFERROR(VLOOKUP(B26,TB_CURSOS[],3,FALSE),"")</f>
        <v/>
      </c>
      <c r="E26" s="83" t="str">
        <f>IFERROR(C26*D26,"")</f>
        <v/>
      </c>
    </row>
    <row r="27" spans="1:5" ht="15.75" thickBot="1" x14ac:dyDescent="0.3">
      <c r="A27" t="str">
        <f>IFERROR(VLOOKUP(B27,TB_CURSOS[],2,FALSE),"")</f>
        <v/>
      </c>
      <c r="D27" s="83" t="str">
        <f>IFERROR(VLOOKUP(B27,TB_CURSOS[],3,FALSE),"")</f>
        <v/>
      </c>
      <c r="E27" s="83" t="str">
        <f t="shared" si="0"/>
        <v/>
      </c>
    </row>
    <row r="28" spans="1:5" x14ac:dyDescent="0.25">
      <c r="B28" s="116"/>
      <c r="C28" s="116"/>
      <c r="D28" s="117" t="s">
        <v>517</v>
      </c>
      <c r="E28" s="122">
        <f>SUM(E18:E27)</f>
        <v>8565</v>
      </c>
    </row>
    <row r="29" spans="1:5" x14ac:dyDescent="0.25">
      <c r="D29" s="113" t="s">
        <v>15</v>
      </c>
      <c r="E29" s="3">
        <v>0.21</v>
      </c>
    </row>
    <row r="30" spans="1:5" ht="15.75" thickBot="1" x14ac:dyDescent="0.3">
      <c r="D30" s="113" t="s">
        <v>518</v>
      </c>
      <c r="E30" s="83">
        <f>E28*E29</f>
        <v>1798.6499999999999</v>
      </c>
    </row>
    <row r="31" spans="1:5" ht="24.75" thickTop="1" thickBot="1" x14ac:dyDescent="0.4">
      <c r="D31" s="114" t="s">
        <v>38</v>
      </c>
      <c r="E31" s="115">
        <f>E28+E30</f>
        <v>10363.65</v>
      </c>
    </row>
    <row r="32" spans="1:5" ht="15.75" thickTop="1" x14ac:dyDescent="0.25"/>
  </sheetData>
  <dataValidations count="2">
    <dataValidation type="list" allowBlank="1" showInputMessage="1" showErrorMessage="1" sqref="D2" xr:uid="{ED3519D0-C2AA-4187-ADCF-78232A76B290}">
      <formula1>N_CLIENTES</formula1>
    </dataValidation>
    <dataValidation type="list" allowBlank="1" showInputMessage="1" showErrorMessage="1" sqref="B18:B27" xr:uid="{145664A2-5445-49F9-BE11-7AFB6E0D234C}">
      <formula1>N_CURSOS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errorTitle="OJO!" error="SOLO SE PERMITE FACTURAR 10 UNIDADES" xr:uid="{3DAC2D20-0DE9-43D0-8536-7F1B86F2D89B}">
          <x14:formula1>
            <xm:f>1</xm:f>
          </x14:formula1>
          <x14:formula2>
            <xm:f>COUNTA('Fa-Curso'!A2:A7)</xm:f>
          </x14:formula2>
          <xm:sqref>C18:C27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335D-6280-49C1-B724-69915790278B}">
  <sheetPr codeName="Hoja23"/>
  <dimension ref="A1:C7"/>
  <sheetViews>
    <sheetView tabSelected="1" workbookViewId="0">
      <selection activeCell="A2" sqref="A2:C7"/>
    </sheetView>
  </sheetViews>
  <sheetFormatPr baseColWidth="10" defaultRowHeight="15" x14ac:dyDescent="0.25"/>
  <cols>
    <col min="1" max="1" width="12.7109375" bestFit="1" customWidth="1"/>
  </cols>
  <sheetData>
    <row r="1" spans="1:3" x14ac:dyDescent="0.25">
      <c r="A1" t="s">
        <v>516</v>
      </c>
      <c r="B1" t="s">
        <v>515</v>
      </c>
      <c r="C1" t="s">
        <v>519</v>
      </c>
    </row>
    <row r="2" spans="1:3" x14ac:dyDescent="0.25">
      <c r="A2" t="s">
        <v>520</v>
      </c>
      <c r="B2" t="s">
        <v>521</v>
      </c>
      <c r="C2" s="2">
        <v>1525</v>
      </c>
    </row>
    <row r="3" spans="1:3" x14ac:dyDescent="0.25">
      <c r="A3" t="s">
        <v>522</v>
      </c>
      <c r="B3" t="s">
        <v>523</v>
      </c>
      <c r="C3" s="2">
        <v>1750</v>
      </c>
    </row>
    <row r="4" spans="1:3" x14ac:dyDescent="0.25">
      <c r="A4" t="s">
        <v>524</v>
      </c>
      <c r="B4" t="s">
        <v>525</v>
      </c>
      <c r="C4" s="2">
        <v>3520</v>
      </c>
    </row>
    <row r="5" spans="1:3" x14ac:dyDescent="0.25">
      <c r="A5" t="s">
        <v>526</v>
      </c>
      <c r="B5" t="s">
        <v>527</v>
      </c>
      <c r="C5" s="2">
        <v>3200</v>
      </c>
    </row>
    <row r="6" spans="1:3" x14ac:dyDescent="0.25">
      <c r="A6" t="s">
        <v>528</v>
      </c>
      <c r="B6" t="s">
        <v>529</v>
      </c>
      <c r="C6" s="2">
        <v>3150</v>
      </c>
    </row>
    <row r="7" spans="1:3" x14ac:dyDescent="0.25">
      <c r="A7" t="s">
        <v>530</v>
      </c>
      <c r="B7" t="s">
        <v>531</v>
      </c>
      <c r="C7" s="2">
        <v>1300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C5D5-B1DF-4F2F-B57D-87E264D7005B}">
  <sheetPr codeName="Hoja24"/>
  <dimension ref="A1:F12"/>
  <sheetViews>
    <sheetView workbookViewId="0">
      <selection activeCell="D13" sqref="D13"/>
    </sheetView>
  </sheetViews>
  <sheetFormatPr baseColWidth="10" defaultRowHeight="15" x14ac:dyDescent="0.25"/>
  <cols>
    <col min="1" max="1" width="23.28515625" bestFit="1" customWidth="1"/>
    <col min="3" max="3" width="12.85546875" customWidth="1"/>
    <col min="4" max="4" width="13.140625" customWidth="1"/>
    <col min="5" max="5" width="11.5703125" customWidth="1"/>
  </cols>
  <sheetData>
    <row r="1" spans="1:6" x14ac:dyDescent="0.25">
      <c r="A1" t="s">
        <v>124</v>
      </c>
      <c r="B1" t="s">
        <v>545</v>
      </c>
      <c r="C1" t="s">
        <v>176</v>
      </c>
      <c r="D1" t="s">
        <v>546</v>
      </c>
      <c r="E1" t="s">
        <v>507</v>
      </c>
      <c r="F1" t="s">
        <v>547</v>
      </c>
    </row>
    <row r="2" spans="1:6" x14ac:dyDescent="0.25">
      <c r="A2" t="s">
        <v>532</v>
      </c>
      <c r="B2" t="s">
        <v>533</v>
      </c>
      <c r="C2" t="s">
        <v>534</v>
      </c>
      <c r="D2" t="s">
        <v>535</v>
      </c>
      <c r="E2">
        <v>28065</v>
      </c>
      <c r="F2">
        <v>916589874</v>
      </c>
    </row>
    <row r="3" spans="1:6" x14ac:dyDescent="0.25">
      <c r="A3" t="s">
        <v>536</v>
      </c>
      <c r="B3" t="s">
        <v>537</v>
      </c>
      <c r="C3" t="s">
        <v>538</v>
      </c>
      <c r="D3" t="s">
        <v>535</v>
      </c>
      <c r="E3">
        <v>28014</v>
      </c>
      <c r="F3">
        <v>912563654</v>
      </c>
    </row>
    <row r="4" spans="1:6" x14ac:dyDescent="0.25">
      <c r="A4" t="s">
        <v>539</v>
      </c>
      <c r="B4" t="s">
        <v>540</v>
      </c>
      <c r="C4" t="s">
        <v>541</v>
      </c>
      <c r="D4" t="s">
        <v>535</v>
      </c>
      <c r="E4">
        <v>28007</v>
      </c>
      <c r="F4">
        <v>915236541</v>
      </c>
    </row>
    <row r="5" spans="1:6" x14ac:dyDescent="0.25">
      <c r="A5" t="s">
        <v>542</v>
      </c>
      <c r="B5" t="s">
        <v>543</v>
      </c>
      <c r="C5" t="s">
        <v>544</v>
      </c>
      <c r="D5" t="s">
        <v>249</v>
      </c>
      <c r="E5">
        <v>8026</v>
      </c>
      <c r="F5">
        <v>9354564</v>
      </c>
    </row>
    <row r="9" spans="1:6" x14ac:dyDescent="0.25">
      <c r="A9">
        <f>COUNTA(Tabla7[NOMBRE])</f>
        <v>4</v>
      </c>
    </row>
    <row r="12" spans="1:6" x14ac:dyDescent="0.25">
      <c r="C12" s="30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8625-49AA-48EE-A21B-607682562734}">
  <sheetPr codeName="Hoja25"/>
  <dimension ref="A1:G1"/>
  <sheetViews>
    <sheetView workbookViewId="0">
      <selection activeCell="F24" sqref="F24"/>
    </sheetView>
  </sheetViews>
  <sheetFormatPr baseColWidth="10" defaultRowHeight="15" x14ac:dyDescent="0.25"/>
  <cols>
    <col min="1" max="1" width="8.5703125" bestFit="1" customWidth="1"/>
    <col min="2" max="2" width="10.85546875" bestFit="1" customWidth="1"/>
    <col min="3" max="3" width="14.28515625" bestFit="1" customWidth="1"/>
    <col min="4" max="4" width="9.28515625" bestFit="1" customWidth="1"/>
    <col min="5" max="5" width="10.85546875" bestFit="1" customWidth="1"/>
    <col min="6" max="6" width="11.140625" bestFit="1" customWidth="1"/>
    <col min="7" max="7" width="13.42578125" bestFit="1" customWidth="1"/>
  </cols>
  <sheetData>
    <row r="1" spans="1:7" ht="18.75" x14ac:dyDescent="0.3">
      <c r="A1" s="123" t="s">
        <v>548</v>
      </c>
      <c r="B1" s="123" t="s">
        <v>549</v>
      </c>
      <c r="C1" s="123" t="s">
        <v>550</v>
      </c>
      <c r="D1" s="123" t="s">
        <v>551</v>
      </c>
      <c r="E1" s="123" t="s">
        <v>552</v>
      </c>
      <c r="F1" s="123" t="s">
        <v>553</v>
      </c>
      <c r="G1" s="123" t="s">
        <v>554</v>
      </c>
    </row>
  </sheetData>
  <phoneticPr fontId="2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CA59-E530-4EB9-8E93-1995E160BFC3}">
  <sheetPr codeName="Hoja26"/>
  <dimension ref="B12:H12"/>
  <sheetViews>
    <sheetView topLeftCell="A7" workbookViewId="0">
      <selection activeCell="D8" sqref="D8"/>
    </sheetView>
  </sheetViews>
  <sheetFormatPr baseColWidth="10" defaultRowHeight="15" x14ac:dyDescent="0.25"/>
  <cols>
    <col min="2" max="2" width="8.5703125" bestFit="1" customWidth="1"/>
    <col min="3" max="3" width="10.85546875" bestFit="1" customWidth="1"/>
    <col min="4" max="4" width="14.28515625" bestFit="1" customWidth="1"/>
    <col min="5" max="5" width="9.28515625" bestFit="1" customWidth="1"/>
    <col min="6" max="6" width="10.85546875" bestFit="1" customWidth="1"/>
    <col min="7" max="7" width="11.140625" bestFit="1" customWidth="1"/>
    <col min="8" max="8" width="13.42578125" bestFit="1" customWidth="1"/>
  </cols>
  <sheetData>
    <row r="12" spans="2:8" ht="18.75" x14ac:dyDescent="0.3">
      <c r="B12" s="123" t="s">
        <v>548</v>
      </c>
      <c r="C12" s="123" t="s">
        <v>549</v>
      </c>
      <c r="D12" s="123" t="s">
        <v>550</v>
      </c>
      <c r="E12" s="123" t="s">
        <v>551</v>
      </c>
      <c r="F12" s="123" t="s">
        <v>552</v>
      </c>
      <c r="G12" s="123" t="s">
        <v>553</v>
      </c>
      <c r="H12" s="123" t="s">
        <v>554</v>
      </c>
    </row>
  </sheetData>
  <phoneticPr fontId="2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87E3-CFBE-40AF-987D-169262733D67}">
  <sheetPr codeName="Hoja27"/>
  <dimension ref="A1:G39"/>
  <sheetViews>
    <sheetView topLeftCell="A35" workbookViewId="0">
      <selection activeCell="G12" sqref="G12"/>
    </sheetView>
  </sheetViews>
  <sheetFormatPr baseColWidth="10" defaultRowHeight="15" x14ac:dyDescent="0.25"/>
  <cols>
    <col min="3" max="3" width="11.85546875" bestFit="1" customWidth="1"/>
  </cols>
  <sheetData>
    <row r="1" spans="1:5" ht="15.75" x14ac:dyDescent="0.25">
      <c r="A1" s="63" t="s">
        <v>62</v>
      </c>
      <c r="B1" s="63" t="s">
        <v>63</v>
      </c>
      <c r="C1" s="63" t="s">
        <v>64</v>
      </c>
      <c r="D1" s="64" t="s">
        <v>65</v>
      </c>
      <c r="E1" s="63" t="s">
        <v>66</v>
      </c>
    </row>
    <row r="2" spans="1:5" ht="15.75" x14ac:dyDescent="0.25">
      <c r="A2" s="66" t="s">
        <v>71</v>
      </c>
      <c r="B2" s="66" t="s">
        <v>72</v>
      </c>
      <c r="C2" s="67">
        <v>43492</v>
      </c>
      <c r="D2" s="68" t="s">
        <v>73</v>
      </c>
      <c r="E2" s="124">
        <v>140.35435673674468</v>
      </c>
    </row>
    <row r="3" spans="1:5" ht="15.75" x14ac:dyDescent="0.25">
      <c r="A3" s="16" t="s">
        <v>71</v>
      </c>
      <c r="B3" s="16" t="s">
        <v>74</v>
      </c>
      <c r="C3" s="17">
        <v>43458</v>
      </c>
      <c r="D3" s="18" t="s">
        <v>73</v>
      </c>
      <c r="E3" s="19">
        <v>45.07590782878367</v>
      </c>
    </row>
    <row r="4" spans="1:5" ht="15.75" x14ac:dyDescent="0.25">
      <c r="A4" s="66" t="s">
        <v>71</v>
      </c>
      <c r="B4" s="66" t="s">
        <v>75</v>
      </c>
      <c r="C4" s="67">
        <v>43480</v>
      </c>
      <c r="D4" s="68" t="s">
        <v>73</v>
      </c>
      <c r="E4" s="124">
        <v>36.06</v>
      </c>
    </row>
    <row r="5" spans="1:5" ht="15.75" x14ac:dyDescent="0.25">
      <c r="A5" s="16" t="s">
        <v>71</v>
      </c>
      <c r="B5" s="16" t="s">
        <v>76</v>
      </c>
      <c r="C5" s="17">
        <v>43232</v>
      </c>
      <c r="D5" s="18" t="s">
        <v>77</v>
      </c>
      <c r="E5" s="19">
        <v>16.45571141802796</v>
      </c>
    </row>
    <row r="6" spans="1:5" ht="15.75" x14ac:dyDescent="0.25">
      <c r="A6" s="66" t="s">
        <v>71</v>
      </c>
      <c r="B6" s="66" t="s">
        <v>78</v>
      </c>
      <c r="C6" s="67">
        <v>43470</v>
      </c>
      <c r="D6" s="68" t="s">
        <v>79</v>
      </c>
      <c r="E6" s="124">
        <v>24.202757443534914</v>
      </c>
    </row>
    <row r="7" spans="1:5" ht="15.75" x14ac:dyDescent="0.25">
      <c r="A7" s="16" t="s">
        <v>71</v>
      </c>
      <c r="B7" s="16" t="s">
        <v>80</v>
      </c>
      <c r="C7" s="17">
        <v>43427</v>
      </c>
      <c r="D7" s="18" t="s">
        <v>73</v>
      </c>
      <c r="E7" s="19">
        <v>106.47530441263088</v>
      </c>
    </row>
    <row r="8" spans="1:5" ht="15.75" x14ac:dyDescent="0.25">
      <c r="A8" s="66" t="s">
        <v>81</v>
      </c>
      <c r="B8" s="66" t="s">
        <v>82</v>
      </c>
      <c r="C8" s="67">
        <v>43396</v>
      </c>
      <c r="D8" s="68" t="s">
        <v>83</v>
      </c>
      <c r="E8" s="124">
        <v>237.14735614775282</v>
      </c>
    </row>
    <row r="9" spans="1:5" ht="15.75" x14ac:dyDescent="0.25">
      <c r="A9" s="16" t="s">
        <v>81</v>
      </c>
      <c r="B9" s="16" t="s">
        <v>84</v>
      </c>
      <c r="C9" s="17">
        <v>43353</v>
      </c>
      <c r="D9" s="18" t="s">
        <v>85</v>
      </c>
      <c r="E9" s="19">
        <v>145.19250417703412</v>
      </c>
    </row>
    <row r="10" spans="1:5" ht="15.75" x14ac:dyDescent="0.25">
      <c r="A10" s="66" t="s">
        <v>81</v>
      </c>
      <c r="B10" s="66" t="s">
        <v>86</v>
      </c>
      <c r="C10" s="67">
        <v>43472</v>
      </c>
      <c r="D10" s="68" t="s">
        <v>79</v>
      </c>
      <c r="E10" s="124">
        <v>55.94220667604246</v>
      </c>
    </row>
    <row r="11" spans="1:5" ht="15.75" x14ac:dyDescent="0.25">
      <c r="A11" s="16" t="s">
        <v>81</v>
      </c>
      <c r="B11" s="16" t="s">
        <v>87</v>
      </c>
      <c r="C11" s="17">
        <v>43454</v>
      </c>
      <c r="D11" s="18" t="s">
        <v>73</v>
      </c>
      <c r="E11" s="19">
        <v>84.213816066255575</v>
      </c>
    </row>
    <row r="12" spans="1:5" ht="15.75" x14ac:dyDescent="0.25">
      <c r="A12" s="66" t="s">
        <v>81</v>
      </c>
      <c r="B12" s="66" t="s">
        <v>88</v>
      </c>
      <c r="C12" s="67">
        <v>43352</v>
      </c>
      <c r="D12" s="68" t="s">
        <v>83</v>
      </c>
      <c r="E12" s="124">
        <v>435.5775125311024</v>
      </c>
    </row>
    <row r="13" spans="1:5" ht="15.75" x14ac:dyDescent="0.25">
      <c r="A13" s="16" t="s">
        <v>81</v>
      </c>
      <c r="B13" s="16" t="s">
        <v>89</v>
      </c>
      <c r="C13" s="17">
        <v>43479</v>
      </c>
      <c r="D13" s="18" t="s">
        <v>83</v>
      </c>
      <c r="E13" s="19">
        <v>203.268303823639</v>
      </c>
    </row>
    <row r="14" spans="1:5" ht="15.75" x14ac:dyDescent="0.25">
      <c r="A14" s="66" t="s">
        <v>81</v>
      </c>
      <c r="B14" s="66" t="s">
        <v>90</v>
      </c>
      <c r="C14" s="67">
        <v>43494</v>
      </c>
      <c r="D14" s="68" t="s">
        <v>85</v>
      </c>
      <c r="E14" s="124">
        <v>300.06130323464714</v>
      </c>
    </row>
    <row r="15" spans="1:5" ht="15.75" x14ac:dyDescent="0.25">
      <c r="A15" s="16" t="s">
        <v>81</v>
      </c>
      <c r="B15" s="16" t="s">
        <v>91</v>
      </c>
      <c r="C15" s="17">
        <v>43468</v>
      </c>
      <c r="D15" s="18" t="s">
        <v>79</v>
      </c>
      <c r="E15" s="19">
        <v>3.6060726263026939</v>
      </c>
    </row>
    <row r="16" spans="1:5" ht="15.75" x14ac:dyDescent="0.25">
      <c r="A16" s="66" t="s">
        <v>92</v>
      </c>
      <c r="B16" s="66" t="s">
        <v>93</v>
      </c>
      <c r="C16" s="67">
        <v>43357</v>
      </c>
      <c r="D16" s="68" t="s">
        <v>94</v>
      </c>
      <c r="E16" s="124">
        <v>77.891168728138183</v>
      </c>
    </row>
    <row r="17" spans="1:7" ht="15.75" x14ac:dyDescent="0.25">
      <c r="A17" s="16" t="s">
        <v>92</v>
      </c>
      <c r="B17" s="16" t="s">
        <v>95</v>
      </c>
      <c r="C17" s="17">
        <v>43328</v>
      </c>
      <c r="D17" s="18" t="s">
        <v>94</v>
      </c>
      <c r="E17" s="19">
        <v>193.39367494861347</v>
      </c>
    </row>
    <row r="18" spans="1:7" ht="15.75" x14ac:dyDescent="0.25">
      <c r="A18" s="66" t="s">
        <v>92</v>
      </c>
      <c r="B18" s="66" t="s">
        <v>96</v>
      </c>
      <c r="C18" s="67">
        <v>43284</v>
      </c>
      <c r="D18" s="68" t="s">
        <v>77</v>
      </c>
      <c r="E18" s="124">
        <v>1254.4805452381811</v>
      </c>
    </row>
    <row r="19" spans="1:7" ht="15.75" x14ac:dyDescent="0.25">
      <c r="A19" s="16" t="s">
        <v>92</v>
      </c>
      <c r="B19" s="16" t="s">
        <v>97</v>
      </c>
      <c r="C19" s="17">
        <v>43469</v>
      </c>
      <c r="D19" s="18" t="s">
        <v>98</v>
      </c>
      <c r="E19" s="19">
        <v>38.945584364069092</v>
      </c>
    </row>
    <row r="20" spans="1:7" ht="15.75" x14ac:dyDescent="0.25">
      <c r="A20" s="66" t="s">
        <v>92</v>
      </c>
      <c r="B20" s="66" t="s">
        <v>99</v>
      </c>
      <c r="C20" s="67">
        <v>43486</v>
      </c>
      <c r="D20" s="68" t="s">
        <v>85</v>
      </c>
      <c r="E20" s="124">
        <v>93.036673758609496</v>
      </c>
    </row>
    <row r="21" spans="1:7" ht="15.75" x14ac:dyDescent="0.25">
      <c r="A21" s="16" t="s">
        <v>92</v>
      </c>
      <c r="B21" s="16" t="s">
        <v>100</v>
      </c>
      <c r="C21" s="17">
        <v>43481</v>
      </c>
      <c r="D21" s="18" t="s">
        <v>77</v>
      </c>
      <c r="E21" s="19">
        <v>62.727633334535362</v>
      </c>
    </row>
    <row r="22" spans="1:7" ht="15.75" x14ac:dyDescent="0.25">
      <c r="A22" s="66" t="s">
        <v>92</v>
      </c>
      <c r="B22" s="66" t="s">
        <v>101</v>
      </c>
      <c r="C22" s="67">
        <v>43442</v>
      </c>
      <c r="D22" s="68" t="s">
        <v>79</v>
      </c>
      <c r="E22" s="124">
        <v>36.595627035928501</v>
      </c>
    </row>
    <row r="23" spans="1:7" ht="15.75" x14ac:dyDescent="0.25">
      <c r="A23" s="16" t="s">
        <v>92</v>
      </c>
      <c r="B23" s="16" t="s">
        <v>102</v>
      </c>
      <c r="C23" s="17">
        <v>43446</v>
      </c>
      <c r="D23" s="18" t="s">
        <v>94</v>
      </c>
      <c r="E23" s="19">
        <v>365.98031084346042</v>
      </c>
    </row>
    <row r="24" spans="1:7" ht="15.75" x14ac:dyDescent="0.25">
      <c r="A24" s="66" t="s">
        <v>92</v>
      </c>
      <c r="B24" s="66" t="s">
        <v>103</v>
      </c>
      <c r="C24" s="67">
        <v>43411</v>
      </c>
      <c r="D24" s="68" t="s">
        <v>94</v>
      </c>
      <c r="E24" s="124">
        <v>470.41818422223025</v>
      </c>
    </row>
    <row r="25" spans="1:7" ht="15.75" x14ac:dyDescent="0.25">
      <c r="A25" s="16" t="s">
        <v>104</v>
      </c>
      <c r="B25" s="16" t="s">
        <v>105</v>
      </c>
      <c r="C25" s="17">
        <v>43378</v>
      </c>
      <c r="D25" s="18" t="s">
        <v>79</v>
      </c>
      <c r="E25" s="19">
        <v>5.5233012392869592</v>
      </c>
      <c r="G25" s="30"/>
    </row>
    <row r="26" spans="1:7" ht="15.75" x14ac:dyDescent="0.25">
      <c r="A26" s="66" t="s">
        <v>104</v>
      </c>
      <c r="B26" s="66" t="s">
        <v>106</v>
      </c>
      <c r="C26" s="67">
        <v>43401</v>
      </c>
      <c r="D26" s="68" t="s">
        <v>107</v>
      </c>
      <c r="E26" s="124">
        <v>25.170386931592802</v>
      </c>
    </row>
    <row r="27" spans="1:7" ht="15.75" x14ac:dyDescent="0.25">
      <c r="A27" s="16" t="s">
        <v>104</v>
      </c>
      <c r="B27" s="16" t="s">
        <v>108</v>
      </c>
      <c r="C27" s="17">
        <v>43480</v>
      </c>
      <c r="D27" s="18" t="s">
        <v>94</v>
      </c>
      <c r="E27" s="19">
        <v>20.332239491303355</v>
      </c>
    </row>
    <row r="28" spans="1:7" ht="15.75" x14ac:dyDescent="0.25">
      <c r="A28" s="66" t="s">
        <v>104</v>
      </c>
      <c r="B28" s="66" t="s">
        <v>109</v>
      </c>
      <c r="C28" s="67">
        <v>43491</v>
      </c>
      <c r="D28" s="68" t="s">
        <v>83</v>
      </c>
      <c r="E28" s="124">
        <v>5.613453054944527</v>
      </c>
    </row>
    <row r="29" spans="1:7" ht="15.75" x14ac:dyDescent="0.25">
      <c r="A29" s="16" t="s">
        <v>104</v>
      </c>
      <c r="B29" s="16" t="s">
        <v>110</v>
      </c>
      <c r="C29" s="17">
        <v>43390</v>
      </c>
      <c r="D29" s="18" t="s">
        <v>79</v>
      </c>
      <c r="E29" s="19">
        <v>9.4959912492637599</v>
      </c>
    </row>
    <row r="30" spans="1:7" ht="15.75" x14ac:dyDescent="0.25">
      <c r="A30" s="66" t="s">
        <v>104</v>
      </c>
      <c r="B30" s="66" t="s">
        <v>105</v>
      </c>
      <c r="C30" s="67">
        <v>43483</v>
      </c>
      <c r="D30" s="68" t="s">
        <v>107</v>
      </c>
      <c r="E30" s="124">
        <v>7.5487120310603055</v>
      </c>
    </row>
    <row r="31" spans="1:7" ht="15.75" x14ac:dyDescent="0.25">
      <c r="A31" s="16" t="s">
        <v>104</v>
      </c>
      <c r="B31" s="16" t="s">
        <v>111</v>
      </c>
      <c r="C31" s="17">
        <v>43423</v>
      </c>
      <c r="D31" s="18" t="s">
        <v>79</v>
      </c>
      <c r="E31" s="19">
        <v>18.390970394143739</v>
      </c>
    </row>
    <row r="32" spans="1:7" ht="15.75" x14ac:dyDescent="0.25">
      <c r="A32" s="66" t="s">
        <v>104</v>
      </c>
      <c r="B32" s="66" t="s">
        <v>112</v>
      </c>
      <c r="C32" s="67">
        <v>43410</v>
      </c>
      <c r="D32" s="68" t="s">
        <v>113</v>
      </c>
      <c r="E32" s="124">
        <v>12.579183344752563</v>
      </c>
    </row>
    <row r="33" spans="1:5" ht="15.75" x14ac:dyDescent="0.25">
      <c r="A33" s="16" t="s">
        <v>114</v>
      </c>
      <c r="B33" s="16" t="s">
        <v>115</v>
      </c>
      <c r="C33" s="17">
        <v>43441</v>
      </c>
      <c r="D33" s="18" t="s">
        <v>85</v>
      </c>
      <c r="E33" s="19">
        <v>132.87175603716659</v>
      </c>
    </row>
    <row r="34" spans="1:5" ht="15.75" x14ac:dyDescent="0.25">
      <c r="A34" s="66" t="s">
        <v>114</v>
      </c>
      <c r="B34" s="66" t="s">
        <v>116</v>
      </c>
      <c r="C34" s="67">
        <v>43448</v>
      </c>
      <c r="D34" s="68" t="s">
        <v>77</v>
      </c>
      <c r="E34" s="124">
        <v>86.113014316108334</v>
      </c>
    </row>
    <row r="35" spans="1:5" ht="15.75" x14ac:dyDescent="0.25">
      <c r="A35" s="16" t="s">
        <v>114</v>
      </c>
      <c r="B35" s="16" t="s">
        <v>117</v>
      </c>
      <c r="C35" s="17">
        <v>43484</v>
      </c>
      <c r="D35" s="18" t="s">
        <v>94</v>
      </c>
      <c r="E35" s="19">
        <v>368.78703737093264</v>
      </c>
    </row>
    <row r="36" spans="1:5" ht="15.75" x14ac:dyDescent="0.25">
      <c r="A36" s="66" t="s">
        <v>114</v>
      </c>
      <c r="B36" s="66" t="s">
        <v>118</v>
      </c>
      <c r="C36" s="67">
        <v>43387</v>
      </c>
      <c r="D36" s="68" t="s">
        <v>79</v>
      </c>
      <c r="E36" s="124">
        <v>87.549433245585561</v>
      </c>
    </row>
    <row r="37" spans="1:5" ht="15.75" x14ac:dyDescent="0.25">
      <c r="A37" s="16" t="s">
        <v>114</v>
      </c>
      <c r="B37" s="16" t="s">
        <v>119</v>
      </c>
      <c r="C37" s="17">
        <v>43382</v>
      </c>
      <c r="D37" s="18" t="s">
        <v>77</v>
      </c>
      <c r="E37" s="19">
        <v>119.75166179846862</v>
      </c>
    </row>
    <row r="38" spans="1:5" ht="15.75" x14ac:dyDescent="0.25">
      <c r="A38" s="66" t="s">
        <v>114</v>
      </c>
      <c r="B38" s="66" t="s">
        <v>120</v>
      </c>
      <c r="C38" s="67">
        <v>43317</v>
      </c>
      <c r="D38" s="68" t="s">
        <v>79</v>
      </c>
      <c r="E38" s="124">
        <v>47.708340845984637</v>
      </c>
    </row>
    <row r="39" spans="1:5" ht="15.75" x14ac:dyDescent="0.25">
      <c r="A39" s="125" t="s">
        <v>114</v>
      </c>
      <c r="B39" s="125" t="s">
        <v>121</v>
      </c>
      <c r="C39" s="18">
        <v>43257</v>
      </c>
      <c r="D39" s="125" t="s">
        <v>122</v>
      </c>
      <c r="E39" s="126">
        <v>33.133797314677921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CCD7040B-280B-4DA6-9B95-521E1BA0FB97}">
  <ds:schemaRefs/>
</ds:datastoreItem>
</file>

<file path=customXml/itemProps2.xml><?xml version="1.0" encoding="utf-8"?>
<ds:datastoreItem xmlns:ds="http://schemas.openxmlformats.org/officeDocument/2006/customXml" ds:itemID="{F8EB7E53-1484-4D34-B906-83B088DA392A}">
  <ds:schemaRefs/>
</ds:datastoreItem>
</file>

<file path=customXml/itemProps3.xml><?xml version="1.0" encoding="utf-8"?>
<ds:datastoreItem xmlns:ds="http://schemas.openxmlformats.org/officeDocument/2006/customXml" ds:itemID="{B8D26C56-E781-4D48-8F92-D6A42BEAD604}">
  <ds:schemaRefs/>
</ds:datastoreItem>
</file>

<file path=customXml/itemProps4.xml><?xml version="1.0" encoding="utf-8"?>
<ds:datastoreItem xmlns:ds="http://schemas.openxmlformats.org/officeDocument/2006/customXml" ds:itemID="{B6FACEB7-660C-4192-BF49-A89F29523895}">
  <ds:schemaRefs/>
</ds:datastoreItem>
</file>

<file path=customXml/itemProps5.xml><?xml version="1.0" encoding="utf-8"?>
<ds:datastoreItem xmlns:ds="http://schemas.openxmlformats.org/officeDocument/2006/customXml" ds:itemID="{CBFDCD32-ED79-4310-B22F-00D98315BDAB}">
  <ds:schemaRefs/>
</ds:datastoreItem>
</file>

<file path=customXml/itemProps6.xml><?xml version="1.0" encoding="utf-8"?>
<ds:datastoreItem xmlns:ds="http://schemas.openxmlformats.org/officeDocument/2006/customXml" ds:itemID="{9DD838E8-F97E-4F5B-B3F0-1BB254247132}">
  <ds:schemaRefs/>
</ds:datastoreItem>
</file>

<file path=customXml/itemProps7.xml><?xml version="1.0" encoding="utf-8"?>
<ds:datastoreItem xmlns:ds="http://schemas.openxmlformats.org/officeDocument/2006/customXml" ds:itemID="{EFEF5990-738B-417F-AA7E-A3BBA3CEB39E}">
  <ds:schemaRefs/>
</ds:datastoreItem>
</file>

<file path=customXml/itemProps8.xml><?xml version="1.0" encoding="utf-8"?>
<ds:datastoreItem xmlns:ds="http://schemas.openxmlformats.org/officeDocument/2006/customXml" ds:itemID="{E139AFBA-46F8-4ACA-BA26-BA28247BF35C}">
  <ds:schemaRefs/>
</ds:datastoreItem>
</file>

<file path=customXml/itemProps9.xml><?xml version="1.0" encoding="utf-8"?>
<ds:datastoreItem xmlns:ds="http://schemas.openxmlformats.org/officeDocument/2006/customXml" ds:itemID="{EAA5373D-3B33-43CC-BD88-9B672ED9D0F1}">
  <ds:schemaRefs/>
</ds:datastoreItem>
</file>

<file path=customXml/itemProps10.xml><?xml version="1.0" encoding="utf-8"?>
<ds:datastoreItem xmlns:ds="http://schemas.openxmlformats.org/officeDocument/2006/customXml" ds:itemID="{C730ACBC-4936-4EB0-838A-7F1CCFC4A688}">
  <ds:schemaRefs/>
</ds:datastoreItem>
</file>

<file path=customXml/itemProps11.xml><?xml version="1.0" encoding="utf-8"?>
<ds:datastoreItem xmlns:ds="http://schemas.openxmlformats.org/officeDocument/2006/customXml" ds:itemID="{FD6A30D3-744C-4965-9DAD-5A9628ECC5F6}">
  <ds:schemaRefs/>
</ds:datastoreItem>
</file>

<file path=customXml/itemProps12.xml><?xml version="1.0" encoding="utf-8"?>
<ds:datastoreItem xmlns:ds="http://schemas.openxmlformats.org/officeDocument/2006/customXml" ds:itemID="{05BF7976-4D67-40E9-96D4-A45705042A8B}">
  <ds:schemaRefs/>
</ds:datastoreItem>
</file>

<file path=customXml/itemProps13.xml><?xml version="1.0" encoding="utf-8"?>
<ds:datastoreItem xmlns:ds="http://schemas.openxmlformats.org/officeDocument/2006/customXml" ds:itemID="{230DF73E-E329-4662-A01A-3E9E167E82D3}">
  <ds:schemaRefs/>
</ds:datastoreItem>
</file>

<file path=customXml/itemProps14.xml><?xml version="1.0" encoding="utf-8"?>
<ds:datastoreItem xmlns:ds="http://schemas.openxmlformats.org/officeDocument/2006/customXml" ds:itemID="{A6258D4E-BDE7-4FCB-B3B7-EFD8CE4C5AAA}">
  <ds:schemaRefs/>
</ds:datastoreItem>
</file>

<file path=customXml/itemProps15.xml><?xml version="1.0" encoding="utf-8"?>
<ds:datastoreItem xmlns:ds="http://schemas.openxmlformats.org/officeDocument/2006/customXml" ds:itemID="{63E26E1C-7CD9-4344-A779-EAD622E15D51}">
  <ds:schemaRefs/>
</ds:datastoreItem>
</file>

<file path=customXml/itemProps16.xml><?xml version="1.0" encoding="utf-8"?>
<ds:datastoreItem xmlns:ds="http://schemas.openxmlformats.org/officeDocument/2006/customXml" ds:itemID="{68769336-48E4-4982-B201-AFB236B8F0A0}">
  <ds:schemaRefs/>
</ds:datastoreItem>
</file>

<file path=customXml/itemProps17.xml><?xml version="1.0" encoding="utf-8"?>
<ds:datastoreItem xmlns:ds="http://schemas.openxmlformats.org/officeDocument/2006/customXml" ds:itemID="{FE836562-D7F1-42C4-80D8-D7D8E1EBA9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25</vt:i4>
      </vt:variant>
    </vt:vector>
  </HeadingPairs>
  <TitlesOfParts>
    <vt:vector size="52" baseType="lpstr">
      <vt:lpstr>Pagina1</vt:lpstr>
      <vt:lpstr>Pagina2</vt:lpstr>
      <vt:lpstr>Pagina2-1</vt:lpstr>
      <vt:lpstr>Pagina2-2</vt:lpstr>
      <vt:lpstr>Pagina3</vt:lpstr>
      <vt:lpstr>Tabla Dinamica</vt:lpstr>
      <vt:lpstr>Pagina4</vt:lpstr>
      <vt:lpstr>Pagina4-ResultadoFi</vt:lpstr>
      <vt:lpstr>Pagina5</vt:lpstr>
      <vt:lpstr>Pagina6</vt:lpstr>
      <vt:lpstr>Pagina6 Zona Criterio</vt:lpstr>
      <vt:lpstr>Trim1</vt:lpstr>
      <vt:lpstr>Trim2</vt:lpstr>
      <vt:lpstr>TrimTotal</vt:lpstr>
      <vt:lpstr>TrimTotalLibro</vt:lpstr>
      <vt:lpstr>Pagina7</vt:lpstr>
      <vt:lpstr>TablaRelacionadas</vt:lpstr>
      <vt:lpstr>Pagina8</vt:lpstr>
      <vt:lpstr>Resumen del escenario</vt:lpstr>
      <vt:lpstr>TablaDatos</vt:lpstr>
      <vt:lpstr>Validaciones</vt:lpstr>
      <vt:lpstr>Facturas</vt:lpstr>
      <vt:lpstr>Fa-Curso</vt:lpstr>
      <vt:lpstr>Cli-Curso</vt:lpstr>
      <vt:lpstr>Macros</vt:lpstr>
      <vt:lpstr>PRU-MACROSRELATIVOS</vt:lpstr>
      <vt:lpstr>Filtro-Macro</vt:lpstr>
      <vt:lpstr>Ana</vt:lpstr>
      <vt:lpstr>Antonio</vt:lpstr>
      <vt:lpstr>Pagina4!Área_de_extracción</vt:lpstr>
      <vt:lpstr>'Pagina4-ResultadoFi'!Área_de_extracción</vt:lpstr>
      <vt:lpstr>BaseGeneral</vt:lpstr>
      <vt:lpstr>Capital</vt:lpstr>
      <vt:lpstr>Pagina4!Criterios</vt:lpstr>
      <vt:lpstr>'Pagina4-ResultadoFi'!Criterios</vt:lpstr>
      <vt:lpstr>Cuotas</vt:lpstr>
      <vt:lpstr>Enero</vt:lpstr>
      <vt:lpstr>Febrero</vt:lpstr>
      <vt:lpstr>filtro</vt:lpstr>
      <vt:lpstr>Maria</vt:lpstr>
      <vt:lpstr>Marzo</vt:lpstr>
      <vt:lpstr>N_CLIENTES</vt:lpstr>
      <vt:lpstr>N_CURSOS</vt:lpstr>
      <vt:lpstr>SECCIÓN</vt:lpstr>
      <vt:lpstr>Seguro</vt:lpstr>
      <vt:lpstr>TABLACURSO</vt:lpstr>
      <vt:lpstr>Tasa_Interes</vt:lpstr>
      <vt:lpstr>TB_CLIENTES</vt:lpstr>
      <vt:lpstr>TbGeneral</vt:lpstr>
      <vt:lpstr>ULTIMODIAMESCURSO</vt:lpstr>
      <vt:lpstr>X</vt:lpstr>
      <vt:lpstr>ZonaCriterios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....</dc:creator>
  <cp:lastModifiedBy>MALLQUI TORRES, MIGUEL ANGEL</cp:lastModifiedBy>
  <dcterms:created xsi:type="dcterms:W3CDTF">2019-03-22T09:05:43Z</dcterms:created>
  <dcterms:modified xsi:type="dcterms:W3CDTF">2023-09-14T23:58:47Z</dcterms:modified>
</cp:coreProperties>
</file>