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13A02F9E-B90C-B740-9C57-D18CCFFBDB1A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tart-up Costs" sheetId="6" r:id="rId1"/>
    <sheet name="Cash Flows" sheetId="3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3" l="1"/>
  <c r="E22" i="3"/>
  <c r="G15" i="6"/>
  <c r="C16" i="3" l="1"/>
  <c r="D16" i="3" s="1"/>
  <c r="E16" i="3" s="1"/>
  <c r="F16" i="3" s="1"/>
  <c r="G16" i="3" s="1"/>
  <c r="C15" i="3"/>
  <c r="D15" i="3" s="1"/>
  <c r="E15" i="3" s="1"/>
  <c r="F15" i="3" s="1"/>
  <c r="G15" i="3" s="1"/>
  <c r="C6" i="3"/>
  <c r="D6" i="3" s="1"/>
  <c r="E6" i="3" s="1"/>
  <c r="F6" i="3" s="1"/>
  <c r="G6" i="3" s="1"/>
  <c r="C5" i="3"/>
  <c r="D5" i="3" s="1"/>
  <c r="E5" i="3" s="1"/>
  <c r="F5" i="3" s="1"/>
  <c r="G5" i="3" s="1"/>
  <c r="C4" i="3"/>
  <c r="D4" i="3" s="1"/>
  <c r="E4" i="3" s="1"/>
  <c r="F4" i="3" s="1"/>
  <c r="G4" i="3" s="1"/>
  <c r="C3" i="3"/>
  <c r="D3" i="3" s="1"/>
  <c r="E3" i="3" s="1"/>
  <c r="F3" i="3" s="1"/>
  <c r="G3" i="3" s="1"/>
  <c r="I41" i="6"/>
  <c r="I40" i="6"/>
  <c r="G29" i="6"/>
  <c r="M1" i="6"/>
  <c r="G31" i="6" l="1"/>
  <c r="G37" i="6" s="1"/>
  <c r="G38" i="6" l="1"/>
  <c r="G41" i="6" s="1"/>
  <c r="J41" i="6" s="1"/>
  <c r="E40" i="6" l="1"/>
  <c r="J40" i="6"/>
  <c r="J42" i="6" s="1"/>
  <c r="G42" i="6"/>
  <c r="E41" i="6" s="1"/>
  <c r="E42" i="6" l="1"/>
  <c r="C20" i="3" l="1"/>
  <c r="D20" i="3" s="1"/>
  <c r="E20" i="3" s="1"/>
  <c r="F20" i="3" s="1"/>
  <c r="G20" i="3" s="1"/>
  <c r="B8" i="3"/>
  <c r="J2" i="3"/>
  <c r="C21" i="3" l="1"/>
  <c r="D21" i="3"/>
  <c r="C8" i="3"/>
  <c r="B21" i="3"/>
  <c r="D8" i="3"/>
  <c r="C22" i="3" l="1"/>
  <c r="B23" i="3"/>
  <c r="D22" i="3"/>
  <c r="D23" i="3" s="1"/>
  <c r="E21" i="3"/>
  <c r="E8" i="3"/>
  <c r="C23" i="3" l="1"/>
  <c r="F21" i="3"/>
  <c r="F8" i="3"/>
  <c r="E23" i="3"/>
  <c r="F22" i="3" l="1"/>
  <c r="G21" i="3"/>
  <c r="G8" i="3"/>
  <c r="F23" i="3" l="1"/>
  <c r="G22" i="3"/>
  <c r="G23" i="3" s="1"/>
  <c r="J3" i="3" l="1"/>
</calcChain>
</file>

<file path=xl/sharedStrings.xml><?xml version="1.0" encoding="utf-8"?>
<sst xmlns="http://schemas.openxmlformats.org/spreadsheetml/2006/main" count="84" uniqueCount="71">
  <si>
    <t>Payback</t>
  </si>
  <si>
    <t>Incomes</t>
  </si>
  <si>
    <t>Costs</t>
  </si>
  <si>
    <t>Other incomes</t>
  </si>
  <si>
    <t>Total of incomes</t>
  </si>
  <si>
    <t>Investments</t>
  </si>
  <si>
    <t>Equipments</t>
  </si>
  <si>
    <t>Miscellaneous services</t>
  </si>
  <si>
    <t>Total of costs</t>
  </si>
  <si>
    <t>Net Income</t>
  </si>
  <si>
    <t>Discounted net income</t>
  </si>
  <si>
    <t>Discount rate</t>
  </si>
  <si>
    <t>NPV</t>
  </si>
  <si>
    <t>IRR</t>
  </si>
  <si>
    <t>Financial indicators</t>
  </si>
  <si>
    <t>Salaries</t>
  </si>
  <si>
    <t>Advertising</t>
  </si>
  <si>
    <t>Supplies</t>
  </si>
  <si>
    <t>Travel</t>
  </si>
  <si>
    <t>Vehicles</t>
  </si>
  <si>
    <t>Loan Payments</t>
  </si>
  <si>
    <t>Telephone and Communications</t>
  </si>
  <si>
    <t>Services (National market)</t>
  </si>
  <si>
    <t>Product Sales (National market)</t>
  </si>
  <si>
    <t>Product Sales (International market)</t>
  </si>
  <si>
    <t>Services (Internationl market)</t>
  </si>
  <si>
    <t>Buildings + Renting</t>
  </si>
  <si>
    <t>Payback (year+months)</t>
  </si>
  <si>
    <t>Product Sales</t>
  </si>
  <si>
    <t>Services</t>
  </si>
  <si>
    <t>Required Start-Up Funds</t>
  </si>
  <si>
    <t>Amount</t>
  </si>
  <si>
    <t>Totals</t>
  </si>
  <si>
    <t>Depreciation</t>
  </si>
  <si>
    <t>Notes</t>
  </si>
  <si>
    <t>Fixed Assets</t>
  </si>
  <si>
    <t>Real Estate</t>
  </si>
  <si>
    <t>Buildings</t>
  </si>
  <si>
    <t xml:space="preserve"> years</t>
  </si>
  <si>
    <t>Leasehold Improvements</t>
  </si>
  <si>
    <t>Equipment</t>
  </si>
  <si>
    <t>Furniture and Fixtures</t>
  </si>
  <si>
    <t>Other Fixed Assets</t>
  </si>
  <si>
    <t>Total Fixed Assets</t>
  </si>
  <si>
    <t>Operating Capital</t>
  </si>
  <si>
    <t>Pre-Opening Salaries and Wages</t>
  </si>
  <si>
    <t>Prepaid Insurance Premiums</t>
  </si>
  <si>
    <t>Beginning Inventory</t>
  </si>
  <si>
    <t>Legal and Accounting Fees</t>
  </si>
  <si>
    <t>Rent Deposits</t>
  </si>
  <si>
    <t>Utility Deposits</t>
  </si>
  <si>
    <t>Advertising and Promotions</t>
  </si>
  <si>
    <t>Licenses</t>
  </si>
  <si>
    <t>Other Initial Start-Up Costs</t>
  </si>
  <si>
    <t>Working Capital (Cash On Hand)</t>
  </si>
  <si>
    <t>Total Operating Capital</t>
  </si>
  <si>
    <t>Total Required Funds</t>
  </si>
  <si>
    <t>Sources of Funding</t>
  </si>
  <si>
    <t>Loan Rate</t>
  </si>
  <si>
    <t>Term in Months</t>
  </si>
  <si>
    <t>Monthly Payments</t>
  </si>
  <si>
    <t>Owner's Cash Injection</t>
  </si>
  <si>
    <t>Outside Investors</t>
  </si>
  <si>
    <t>Additional Loans or Debt</t>
  </si>
  <si>
    <t>Commercial Loan</t>
  </si>
  <si>
    <t>Commercial Mortgage</t>
  </si>
  <si>
    <t>Total Sources of Funding</t>
  </si>
  <si>
    <t/>
  </si>
  <si>
    <t>Annual Growth Rate</t>
  </si>
  <si>
    <t>2 + 11</t>
  </si>
  <si>
    <t>227.32%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</si>
</sst>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\ &quot;€&quot;;\-#,##0\ &quot;€&quot;"/>
    <numFmt numFmtId="167" formatCode="#,##0.00\ &quot;€&quot;"/>
    <numFmt numFmtId="168" formatCode="_(&quot;$&quot;* #,##0_);_(&quot;$&quot;* \(#,##0\);_(&quot;$&quot;* &quot;-&quot;??_);_(@_)"/>
    <numFmt numFmtId="169" formatCode="_(* #,##0_);_(* \(#,##0\);_(* &quot;-&quot;??_);_(@_)"/>
    <numFmt numFmtId="170" formatCode="#,##0.00\ &quot;€&quot;;[Red]#,##0.00\ &quot;€&quot;"/>
    <numFmt numFmtId="171" formatCode="#,##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5" borderId="0" xfId="0" applyFill="1"/>
    <xf numFmtId="0" fontId="1" fillId="7" borderId="5" xfId="0" applyFont="1" applyFill="1" applyBorder="1"/>
    <xf numFmtId="0" fontId="0" fillId="7" borderId="5" xfId="0" applyFill="1" applyBorder="1" applyAlignment="1">
      <alignment horizontal="right"/>
    </xf>
    <xf numFmtId="0" fontId="1" fillId="8" borderId="5" xfId="0" applyFont="1" applyFill="1" applyBorder="1"/>
    <xf numFmtId="0" fontId="0" fillId="8" borderId="5" xfId="0" applyFill="1" applyBorder="1" applyAlignment="1">
      <alignment horizontal="right"/>
    </xf>
    <xf numFmtId="0" fontId="1" fillId="9" borderId="5" xfId="0" applyFont="1" applyFill="1" applyBorder="1"/>
    <xf numFmtId="0" fontId="1" fillId="9" borderId="7" xfId="0" applyFont="1" applyFill="1" applyBorder="1" applyAlignment="1">
      <alignment horizontal="left"/>
    </xf>
    <xf numFmtId="0" fontId="0" fillId="4" borderId="2" xfId="0" applyFill="1" applyBorder="1"/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8" borderId="1" xfId="0" applyFill="1" applyBorder="1"/>
    <xf numFmtId="0" fontId="0" fillId="8" borderId="6" xfId="0" applyFill="1" applyBorder="1"/>
    <xf numFmtId="0" fontId="0" fillId="7" borderId="1" xfId="0" applyFill="1" applyBorder="1"/>
    <xf numFmtId="0" fontId="0" fillId="7" borderId="6" xfId="0" applyFill="1" applyBorder="1"/>
    <xf numFmtId="10" fontId="0" fillId="0" borderId="0" xfId="0" applyNumberFormat="1" applyAlignment="1">
      <alignment horizontal="center"/>
    </xf>
    <xf numFmtId="167" fontId="0" fillId="0" borderId="1" xfId="0" applyNumberFormat="1" applyBorder="1"/>
    <xf numFmtId="167" fontId="0" fillId="3" borderId="1" xfId="0" applyNumberFormat="1" applyFill="1" applyBorder="1"/>
    <xf numFmtId="167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11" borderId="0" xfId="0" applyFill="1"/>
    <xf numFmtId="9" fontId="0" fillId="3" borderId="0" xfId="0" applyNumberFormat="1" applyFill="1" applyAlignment="1">
      <alignment horizontal="center"/>
    </xf>
    <xf numFmtId="0" fontId="3" fillId="0" borderId="0" xfId="1" applyFont="1"/>
    <xf numFmtId="15" fontId="4" fillId="0" borderId="0" xfId="1" applyNumberFormat="1" applyFont="1"/>
    <xf numFmtId="0" fontId="2" fillId="0" borderId="0" xfId="1"/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right"/>
    </xf>
    <xf numFmtId="0" fontId="2" fillId="0" borderId="0" xfId="1" applyProtection="1">
      <protection locked="0"/>
    </xf>
    <xf numFmtId="0" fontId="4" fillId="0" borderId="0" xfId="1" applyFont="1" applyAlignment="1">
      <alignment horizontal="left"/>
    </xf>
    <xf numFmtId="168" fontId="2" fillId="0" borderId="0" xfId="2" applyNumberFormat="1" applyFont="1"/>
    <xf numFmtId="168" fontId="2" fillId="0" borderId="0" xfId="1" applyNumberFormat="1"/>
    <xf numFmtId="168" fontId="2" fillId="0" borderId="0" xfId="3" applyNumberFormat="1" applyFont="1"/>
    <xf numFmtId="165" fontId="2" fillId="13" borderId="0" xfId="3" applyFont="1" applyFill="1" applyProtection="1">
      <protection locked="0"/>
    </xf>
    <xf numFmtId="165" fontId="2" fillId="0" borderId="0" xfId="3" applyFont="1" applyProtection="1">
      <protection locked="0"/>
    </xf>
    <xf numFmtId="168" fontId="2" fillId="0" borderId="8" xfId="1" applyNumberFormat="1" applyBorder="1"/>
    <xf numFmtId="169" fontId="2" fillId="0" borderId="0" xfId="3" applyNumberFormat="1" applyFont="1"/>
    <xf numFmtId="165" fontId="2" fillId="0" borderId="0" xfId="1" applyNumberFormat="1" applyProtection="1">
      <protection locked="0"/>
    </xf>
    <xf numFmtId="10" fontId="2" fillId="0" borderId="0" xfId="4" applyNumberFormat="1" applyFont="1"/>
    <xf numFmtId="10" fontId="2" fillId="13" borderId="0" xfId="4" applyNumberFormat="1" applyFont="1" applyFill="1" applyProtection="1">
      <protection locked="0"/>
    </xf>
    <xf numFmtId="0" fontId="5" fillId="0" borderId="0" xfId="1" applyFont="1"/>
    <xf numFmtId="0" fontId="6" fillId="0" borderId="0" xfId="1" applyFont="1"/>
    <xf numFmtId="166" fontId="2" fillId="12" borderId="0" xfId="2" applyNumberFormat="1" applyFont="1" applyFill="1" applyProtection="1">
      <protection locked="0"/>
    </xf>
    <xf numFmtId="166" fontId="2" fillId="12" borderId="0" xfId="3" applyNumberFormat="1" applyFont="1" applyFill="1" applyProtection="1">
      <protection locked="0"/>
    </xf>
    <xf numFmtId="167" fontId="2" fillId="0" borderId="0" xfId="3" applyNumberFormat="1" applyFont="1"/>
    <xf numFmtId="167" fontId="2" fillId="0" borderId="8" xfId="3" applyNumberFormat="1" applyFont="1" applyBorder="1"/>
    <xf numFmtId="170" fontId="2" fillId="0" borderId="0" xfId="1" applyNumberFormat="1"/>
    <xf numFmtId="170" fontId="2" fillId="0" borderId="8" xfId="1" applyNumberFormat="1" applyBorder="1"/>
    <xf numFmtId="167" fontId="2" fillId="0" borderId="8" xfId="1" applyNumberFormat="1" applyBorder="1"/>
    <xf numFmtId="171" fontId="2" fillId="3" borderId="0" xfId="3" applyNumberFormat="1" applyFont="1" applyFill="1"/>
    <xf numFmtId="167" fontId="2" fillId="3" borderId="0" xfId="3" applyNumberFormat="1" applyFont="1" applyFill="1"/>
    <xf numFmtId="167" fontId="2" fillId="3" borderId="9" xfId="1" applyNumberFormat="1" applyFill="1" applyBorder="1"/>
    <xf numFmtId="167" fontId="2" fillId="0" borderId="0" xfId="3" applyNumberFormat="1" applyFont="1" applyFill="1" applyProtection="1">
      <protection locked="0"/>
    </xf>
    <xf numFmtId="167" fontId="2" fillId="3" borderId="9" xfId="2" applyNumberFormat="1" applyFont="1" applyFill="1" applyBorder="1"/>
    <xf numFmtId="170" fontId="2" fillId="3" borderId="10" xfId="1" applyNumberFormat="1" applyFill="1" applyBorder="1"/>
    <xf numFmtId="10" fontId="2" fillId="14" borderId="0" xfId="4" applyNumberFormat="1" applyFont="1" applyFill="1"/>
    <xf numFmtId="10" fontId="2" fillId="2" borderId="11" xfId="1" applyNumberFormat="1" applyFill="1" applyBorder="1"/>
    <xf numFmtId="0" fontId="1" fillId="6" borderId="0" xfId="0" applyFont="1" applyFill="1" applyAlignment="1">
      <alignment horizontal="center"/>
    </xf>
    <xf numFmtId="167" fontId="0" fillId="15" borderId="0" xfId="0" applyNumberFormat="1" applyFill="1" applyAlignment="1">
      <alignment horizontal="center"/>
    </xf>
  </cellXfs>
  <cellStyles count="5">
    <cellStyle name="Comma 2" xfId="3" xr:uid="{00000000-0005-0000-0000-000000000000}"/>
    <cellStyle name="Currency 2" xfId="2" xr:uid="{00000000-0005-0000-0000-000001000000}"/>
    <cellStyle name="Normal" xfId="0" builtinId="0"/>
    <cellStyle name="Normal 2" xfId="1" xr:uid="{00000000-0005-0000-0000-000003000000}"/>
    <cellStyle name="Percent 2" xfId="4" xr:uid="{00000000-0005-0000-0000-000004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O50"/>
  <sheetViews>
    <sheetView showGridLines="0" showRowColHeaders="0" topLeftCell="A4" zoomScaleNormal="100" zoomScaleSheetLayoutView="100" workbookViewId="0">
      <selection activeCell="H28" sqref="H28"/>
    </sheetView>
  </sheetViews>
  <sheetFormatPr baseColWidth="10" defaultColWidth="8.83203125" defaultRowHeight="12" x14ac:dyDescent="0.15"/>
  <cols>
    <col min="1" max="1" width="2.6640625" style="28" customWidth="1"/>
    <col min="2" max="3" width="2.6640625" style="30" customWidth="1"/>
    <col min="4" max="4" width="22.83203125" style="28" customWidth="1"/>
    <col min="5" max="5" width="14.83203125" style="28" customWidth="1"/>
    <col min="6" max="6" width="2.6640625" style="28" customWidth="1"/>
    <col min="7" max="7" width="18.5" style="28" customWidth="1"/>
    <col min="8" max="9" width="14.83203125" style="28" customWidth="1"/>
    <col min="10" max="10" width="16.6640625" style="28" customWidth="1"/>
    <col min="11" max="11" width="14.83203125" style="28" customWidth="1"/>
    <col min="12" max="14" width="13.1640625" style="28" customWidth="1"/>
    <col min="15" max="16384" width="8.83203125" style="28"/>
  </cols>
  <sheetData>
    <row r="1" spans="1:15" ht="16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>
        <f ca="1">NOW()</f>
        <v>45317.965234953706</v>
      </c>
      <c r="N1" s="26"/>
      <c r="O1" s="26"/>
    </row>
    <row r="2" spans="1:15" ht="16" x14ac:dyDescent="0.2">
      <c r="A2" s="29" t="s">
        <v>30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6"/>
      <c r="O2" s="26"/>
    </row>
    <row r="3" spans="1:15" ht="12.75" customHeight="1" x14ac:dyDescent="0.15"/>
    <row r="4" spans="1:15" ht="12.75" customHeight="1" x14ac:dyDescent="0.15"/>
    <row r="5" spans="1:15" ht="12.75" customHeight="1" x14ac:dyDescent="0.15"/>
    <row r="6" spans="1:15" s="30" customFormat="1" ht="12.75" customHeight="1" x14ac:dyDescent="0.15">
      <c r="A6" s="30" t="s">
        <v>30</v>
      </c>
      <c r="E6" s="31" t="s">
        <v>31</v>
      </c>
      <c r="F6" s="31"/>
      <c r="G6" s="31" t="s">
        <v>32</v>
      </c>
      <c r="H6" s="31" t="s">
        <v>33</v>
      </c>
      <c r="I6" s="31"/>
      <c r="J6" s="30" t="s">
        <v>34</v>
      </c>
    </row>
    <row r="7" spans="1:15" ht="12.75" customHeight="1" x14ac:dyDescent="0.15">
      <c r="B7" s="30" t="s">
        <v>35</v>
      </c>
      <c r="J7" s="32"/>
      <c r="K7" s="32"/>
    </row>
    <row r="8" spans="1:15" ht="12.75" customHeight="1" x14ac:dyDescent="0.15">
      <c r="C8" s="33" t="s">
        <v>36</v>
      </c>
      <c r="E8" s="46">
        <v>9600</v>
      </c>
      <c r="F8" s="34"/>
      <c r="G8" s="35"/>
      <c r="J8" s="32"/>
      <c r="K8" s="32"/>
    </row>
    <row r="9" spans="1:15" ht="12.75" customHeight="1" x14ac:dyDescent="0.15">
      <c r="C9" s="33" t="s">
        <v>37</v>
      </c>
      <c r="E9" s="47">
        <v>0</v>
      </c>
      <c r="F9" s="36"/>
      <c r="G9" s="35"/>
      <c r="H9" s="37">
        <v>20</v>
      </c>
      <c r="I9" s="28" t="s">
        <v>38</v>
      </c>
      <c r="J9" s="38"/>
      <c r="K9" s="32"/>
    </row>
    <row r="10" spans="1:15" ht="12.75" customHeight="1" x14ac:dyDescent="0.15">
      <c r="C10" s="33" t="s">
        <v>39</v>
      </c>
      <c r="E10" s="47">
        <v>5280</v>
      </c>
      <c r="F10" s="36"/>
      <c r="G10" s="35"/>
      <c r="H10" s="37">
        <v>7</v>
      </c>
      <c r="I10" s="28" t="s">
        <v>38</v>
      </c>
      <c r="J10" s="38"/>
      <c r="K10" s="32"/>
    </row>
    <row r="11" spans="1:15" ht="12.75" customHeight="1" x14ac:dyDescent="0.15">
      <c r="C11" s="33" t="s">
        <v>40</v>
      </c>
      <c r="E11" s="47">
        <v>5160</v>
      </c>
      <c r="F11" s="36"/>
      <c r="G11" s="35"/>
      <c r="H11" s="37">
        <v>7</v>
      </c>
      <c r="I11" s="28" t="s">
        <v>38</v>
      </c>
      <c r="J11" s="38"/>
      <c r="K11" s="32"/>
    </row>
    <row r="12" spans="1:15" ht="12.75" customHeight="1" x14ac:dyDescent="0.15">
      <c r="C12" s="33" t="s">
        <v>41</v>
      </c>
      <c r="E12" s="47">
        <v>2000</v>
      </c>
      <c r="F12" s="36"/>
      <c r="G12" s="35"/>
      <c r="H12" s="37">
        <v>5</v>
      </c>
      <c r="I12" s="28" t="s">
        <v>38</v>
      </c>
      <c r="J12" s="38"/>
      <c r="K12" s="32"/>
    </row>
    <row r="13" spans="1:15" ht="12.75" customHeight="1" x14ac:dyDescent="0.15">
      <c r="C13" s="33" t="s">
        <v>19</v>
      </c>
      <c r="E13" s="47">
        <v>0</v>
      </c>
      <c r="F13" s="36"/>
      <c r="G13" s="35"/>
      <c r="H13" s="37">
        <v>5</v>
      </c>
      <c r="I13" s="28" t="s">
        <v>38</v>
      </c>
      <c r="J13" s="38"/>
      <c r="K13" s="32"/>
    </row>
    <row r="14" spans="1:15" ht="12.75" customHeight="1" thickBot="1" x14ac:dyDescent="0.2">
      <c r="C14" s="33" t="s">
        <v>42</v>
      </c>
      <c r="E14" s="47">
        <v>2520</v>
      </c>
      <c r="F14" s="36"/>
      <c r="G14" s="39"/>
      <c r="H14" s="37">
        <v>5</v>
      </c>
      <c r="I14" s="28" t="s">
        <v>38</v>
      </c>
      <c r="J14" s="38"/>
      <c r="K14" s="32"/>
    </row>
    <row r="15" spans="1:15" ht="12.75" customHeight="1" x14ac:dyDescent="0.15">
      <c r="B15" s="30" t="s">
        <v>43</v>
      </c>
      <c r="E15" s="40"/>
      <c r="F15" s="35"/>
      <c r="G15" s="53">
        <f>SUM(E8:E14)</f>
        <v>24560</v>
      </c>
      <c r="J15" s="38"/>
      <c r="K15" s="32"/>
    </row>
    <row r="16" spans="1:15" ht="12.75" customHeight="1" x14ac:dyDescent="0.15">
      <c r="E16" s="40"/>
      <c r="F16" s="35"/>
      <c r="G16" s="35"/>
      <c r="J16" s="41"/>
      <c r="K16" s="32"/>
    </row>
    <row r="17" spans="1:11" ht="12.75" customHeight="1" x14ac:dyDescent="0.15">
      <c r="B17" s="30" t="s">
        <v>44</v>
      </c>
      <c r="E17" s="40"/>
      <c r="F17" s="35"/>
      <c r="G17" s="35"/>
      <c r="J17" s="32"/>
      <c r="K17" s="32"/>
    </row>
    <row r="18" spans="1:11" ht="12.75" customHeight="1" x14ac:dyDescent="0.15">
      <c r="C18" s="30" t="s">
        <v>45</v>
      </c>
      <c r="E18" s="47">
        <v>2000</v>
      </c>
      <c r="F18" s="34"/>
      <c r="G18" s="35"/>
      <c r="J18" s="32"/>
      <c r="K18" s="32"/>
    </row>
    <row r="19" spans="1:11" ht="12.75" customHeight="1" x14ac:dyDescent="0.15">
      <c r="C19" s="30" t="s">
        <v>46</v>
      </c>
      <c r="E19" s="47">
        <v>1500</v>
      </c>
      <c r="F19" s="36"/>
      <c r="G19" s="35"/>
      <c r="J19" s="32"/>
      <c r="K19" s="32"/>
    </row>
    <row r="20" spans="1:11" ht="12.75" customHeight="1" x14ac:dyDescent="0.15">
      <c r="C20" s="30" t="s">
        <v>47</v>
      </c>
      <c r="E20" s="47">
        <v>3000</v>
      </c>
      <c r="F20" s="36"/>
      <c r="G20" s="35"/>
      <c r="J20" s="32"/>
      <c r="K20" s="32"/>
    </row>
    <row r="21" spans="1:11" ht="12.75" customHeight="1" x14ac:dyDescent="0.15">
      <c r="C21" s="30" t="s">
        <v>48</v>
      </c>
      <c r="E21" s="47">
        <v>2500</v>
      </c>
      <c r="F21" s="36"/>
      <c r="G21" s="35"/>
      <c r="J21" s="32"/>
      <c r="K21" s="32"/>
    </row>
    <row r="22" spans="1:11" ht="12.75" customHeight="1" x14ac:dyDescent="0.15">
      <c r="C22" s="30" t="s">
        <v>49</v>
      </c>
      <c r="E22" s="47">
        <v>1500</v>
      </c>
      <c r="F22" s="36"/>
      <c r="G22" s="35"/>
      <c r="J22" s="32"/>
      <c r="K22" s="32"/>
    </row>
    <row r="23" spans="1:11" ht="12.75" customHeight="1" x14ac:dyDescent="0.15">
      <c r="C23" s="30" t="s">
        <v>50</v>
      </c>
      <c r="E23" s="47">
        <v>1000</v>
      </c>
      <c r="F23" s="36"/>
      <c r="G23" s="35"/>
      <c r="J23" s="32"/>
      <c r="K23" s="32"/>
    </row>
    <row r="24" spans="1:11" ht="12.75" customHeight="1" x14ac:dyDescent="0.15">
      <c r="C24" s="30" t="s">
        <v>17</v>
      </c>
      <c r="E24" s="47">
        <v>1000</v>
      </c>
      <c r="F24" s="36"/>
      <c r="G24" s="35"/>
      <c r="J24" s="32"/>
      <c r="K24" s="32"/>
    </row>
    <row r="25" spans="1:11" ht="12.75" customHeight="1" x14ac:dyDescent="0.15">
      <c r="C25" s="30" t="s">
        <v>51</v>
      </c>
      <c r="E25" s="47">
        <v>4000</v>
      </c>
      <c r="F25" s="36"/>
      <c r="G25" s="35"/>
      <c r="J25" s="32"/>
      <c r="K25" s="32"/>
    </row>
    <row r="26" spans="1:11" ht="12.75" customHeight="1" x14ac:dyDescent="0.15">
      <c r="C26" s="30" t="s">
        <v>52</v>
      </c>
      <c r="E26" s="47">
        <v>1500</v>
      </c>
      <c r="F26" s="36"/>
      <c r="G26" s="35"/>
      <c r="J26" s="32"/>
      <c r="K26" s="32"/>
    </row>
    <row r="27" spans="1:11" ht="12.75" customHeight="1" x14ac:dyDescent="0.15">
      <c r="C27" s="30" t="s">
        <v>53</v>
      </c>
      <c r="E27" s="47">
        <v>5000</v>
      </c>
      <c r="F27" s="36"/>
      <c r="G27" s="35"/>
      <c r="J27" s="32"/>
      <c r="K27" s="32"/>
    </row>
    <row r="28" spans="1:11" ht="12.75" customHeight="1" thickBot="1" x14ac:dyDescent="0.2">
      <c r="C28" s="30" t="s">
        <v>54</v>
      </c>
      <c r="E28" s="47">
        <v>1000</v>
      </c>
      <c r="F28" s="36"/>
      <c r="G28" s="39"/>
      <c r="J28" s="32"/>
      <c r="K28" s="32"/>
    </row>
    <row r="29" spans="1:11" ht="12.75" customHeight="1" x14ac:dyDescent="0.15">
      <c r="B29" s="30" t="s">
        <v>55</v>
      </c>
      <c r="E29" s="35"/>
      <c r="F29" s="35"/>
      <c r="G29" s="54">
        <f>SUM(E18:E28)</f>
        <v>24000</v>
      </c>
      <c r="J29" s="32"/>
      <c r="K29" s="32"/>
    </row>
    <row r="30" spans="1:11" ht="12.75" customHeight="1" thickBot="1" x14ac:dyDescent="0.2">
      <c r="E30" s="35"/>
      <c r="F30" s="35"/>
      <c r="G30" s="52"/>
      <c r="J30" s="32"/>
      <c r="K30" s="32"/>
    </row>
    <row r="31" spans="1:11" ht="16" customHeight="1" thickBot="1" x14ac:dyDescent="0.2">
      <c r="A31" s="30" t="s">
        <v>56</v>
      </c>
      <c r="E31" s="35"/>
      <c r="F31" s="35"/>
      <c r="G31" s="55">
        <f>G15+G29</f>
        <v>48560</v>
      </c>
      <c r="J31" s="32"/>
      <c r="K31" s="32"/>
    </row>
    <row r="32" spans="1:11" ht="12.75" customHeight="1" thickTop="1" x14ac:dyDescent="0.15">
      <c r="J32" s="32"/>
      <c r="K32" s="32"/>
    </row>
    <row r="33" spans="1:13" ht="12.75" customHeight="1" x14ac:dyDescent="0.15"/>
    <row r="34" spans="1:13" ht="12.75" customHeight="1" x14ac:dyDescent="0.15"/>
    <row r="35" spans="1:13" ht="12.75" customHeight="1" x14ac:dyDescent="0.15"/>
    <row r="36" spans="1:13" ht="12.75" customHeight="1" x14ac:dyDescent="0.15">
      <c r="A36" s="30" t="s">
        <v>57</v>
      </c>
      <c r="D36" s="30"/>
      <c r="E36" s="31" t="s">
        <v>31</v>
      </c>
      <c r="F36" s="31"/>
      <c r="G36" s="31" t="s">
        <v>32</v>
      </c>
      <c r="H36" s="31" t="s">
        <v>58</v>
      </c>
      <c r="I36" s="31" t="s">
        <v>59</v>
      </c>
      <c r="J36" s="31" t="s">
        <v>60</v>
      </c>
    </row>
    <row r="37" spans="1:13" ht="12.75" customHeight="1" x14ac:dyDescent="0.15">
      <c r="B37" s="30" t="s">
        <v>61</v>
      </c>
      <c r="E37" s="59">
        <v>0.75</v>
      </c>
      <c r="G37" s="56">
        <f>$G$31*E37</f>
        <v>36420</v>
      </c>
      <c r="I37" s="31"/>
    </row>
    <row r="38" spans="1:13" ht="12.75" customHeight="1" x14ac:dyDescent="0.15">
      <c r="B38" s="30" t="s">
        <v>62</v>
      </c>
      <c r="E38" s="59">
        <v>0.25</v>
      </c>
      <c r="G38" s="56">
        <f>$G$31*E38</f>
        <v>12140</v>
      </c>
    </row>
    <row r="39" spans="1:13" ht="12.75" customHeight="1" x14ac:dyDescent="0.15">
      <c r="B39" s="30" t="s">
        <v>63</v>
      </c>
      <c r="E39" s="42"/>
      <c r="G39" s="48"/>
    </row>
    <row r="40" spans="1:13" ht="12.75" customHeight="1" x14ac:dyDescent="0.15">
      <c r="C40" s="30" t="s">
        <v>64</v>
      </c>
      <c r="E40" s="59">
        <f>IF(G40=0,0,G40/G42)</f>
        <v>0</v>
      </c>
      <c r="G40" s="48">
        <v>0</v>
      </c>
      <c r="H40" s="43">
        <v>0.09</v>
      </c>
      <c r="I40" s="37">
        <f>7*12</f>
        <v>84</v>
      </c>
      <c r="J40" s="50">
        <f>ABS(PMT(H40/12,I40,G40))</f>
        <v>0</v>
      </c>
    </row>
    <row r="41" spans="1:13" ht="12.75" customHeight="1" thickBot="1" x14ac:dyDescent="0.2">
      <c r="C41" s="30" t="s">
        <v>65</v>
      </c>
      <c r="E41" s="59">
        <f>IF(G41=0,0,G41/G42)</f>
        <v>0.13655761024182078</v>
      </c>
      <c r="G41" s="49">
        <f>IF((G31-G37+G38)&lt;(E8+E9)*0.8,G31-G37+G38,(E8+E9)*0.8)</f>
        <v>7680</v>
      </c>
      <c r="H41" s="43">
        <v>0.09</v>
      </c>
      <c r="I41" s="37">
        <f>20*12</f>
        <v>240</v>
      </c>
      <c r="J41" s="51">
        <f>ABS(PMT(H41/12,I41,G41))</f>
        <v>69.098953409293287</v>
      </c>
    </row>
    <row r="42" spans="1:13" ht="16" customHeight="1" thickTop="1" thickBot="1" x14ac:dyDescent="0.2">
      <c r="A42" s="30" t="s">
        <v>66</v>
      </c>
      <c r="E42" s="60">
        <f>SUM(E37:E41)</f>
        <v>1.1365576102418209</v>
      </c>
      <c r="G42" s="57">
        <f>SUM(G37:G41)</f>
        <v>56240</v>
      </c>
      <c r="J42" s="58">
        <f>J40+J41</f>
        <v>69.098953409293287</v>
      </c>
    </row>
    <row r="43" spans="1:13" s="44" customFormat="1" ht="12.75" customHeight="1" thickTop="1" x14ac:dyDescent="0.15">
      <c r="A43" s="28"/>
      <c r="B43" s="30"/>
      <c r="C43" s="30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 s="45" customFormat="1" ht="12.75" customHeight="1" x14ac:dyDescent="0.15">
      <c r="A44" s="30" t="s">
        <v>67</v>
      </c>
      <c r="B44" s="30"/>
      <c r="C44" s="30"/>
      <c r="D44" s="30"/>
      <c r="E44" s="30"/>
      <c r="F44" s="30"/>
      <c r="G44" s="34" t="s">
        <v>67</v>
      </c>
      <c r="H44" s="30"/>
      <c r="I44" s="30"/>
      <c r="J44" s="30"/>
      <c r="K44" s="30"/>
      <c r="L44" s="30"/>
      <c r="M44" s="30"/>
    </row>
    <row r="45" spans="1:13" ht="12.75" customHeight="1" x14ac:dyDescent="0.15"/>
    <row r="46" spans="1:13" ht="12.75" customHeight="1" x14ac:dyDescent="0.15"/>
    <row r="47" spans="1:13" ht="12.75" customHeight="1" x14ac:dyDescent="0.15"/>
    <row r="48" spans="1:13" ht="12.75" customHeight="1" x14ac:dyDescent="0.15"/>
    <row r="49" ht="12.75" customHeight="1" x14ac:dyDescent="0.15"/>
    <row r="50" ht="12.75" customHeight="1" x14ac:dyDescent="0.15"/>
  </sheetData>
  <pageMargins left="0.75" right="0.75" top="1" bottom="1" header="0.5" footer="0.5"/>
  <pageSetup scale="7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J23"/>
  <sheetViews>
    <sheetView tabSelected="1" topLeftCell="D1" workbookViewId="0">
      <selection activeCell="I16" sqref="I16"/>
    </sheetView>
  </sheetViews>
  <sheetFormatPr baseColWidth="10" defaultColWidth="8.83203125" defaultRowHeight="15" x14ac:dyDescent="0.2"/>
  <cols>
    <col min="1" max="1" width="33.6640625" customWidth="1"/>
    <col min="2" max="3" width="13.5" customWidth="1"/>
    <col min="4" max="4" width="14" customWidth="1"/>
    <col min="5" max="5" width="14.1640625" customWidth="1"/>
    <col min="6" max="6" width="12.83203125" customWidth="1"/>
    <col min="7" max="7" width="13.1640625" customWidth="1"/>
    <col min="9" max="9" width="21.33203125" customWidth="1"/>
    <col min="10" max="10" width="16.5" customWidth="1"/>
  </cols>
  <sheetData>
    <row r="1" spans="1:10" x14ac:dyDescent="0.2">
      <c r="A1" s="10"/>
      <c r="B1" s="11">
        <v>2023</v>
      </c>
      <c r="C1" s="11">
        <v>2024</v>
      </c>
      <c r="D1" s="11">
        <v>2025</v>
      </c>
      <c r="E1" s="11">
        <v>2026</v>
      </c>
      <c r="F1" s="12">
        <v>2027</v>
      </c>
      <c r="G1" s="12">
        <v>2028</v>
      </c>
      <c r="I1" s="61" t="s">
        <v>14</v>
      </c>
      <c r="J1" s="61"/>
    </row>
    <row r="2" spans="1:10" x14ac:dyDescent="0.2">
      <c r="A2" s="4" t="s">
        <v>1</v>
      </c>
      <c r="B2" s="17"/>
      <c r="C2" s="17"/>
      <c r="D2" s="17"/>
      <c r="E2" s="17"/>
      <c r="F2" s="17"/>
      <c r="G2" s="18"/>
      <c r="I2" s="3" t="s">
        <v>11</v>
      </c>
      <c r="J2" s="2">
        <f>15%</f>
        <v>0.15</v>
      </c>
    </row>
    <row r="3" spans="1:10" x14ac:dyDescent="0.2">
      <c r="A3" s="5" t="s">
        <v>23</v>
      </c>
      <c r="B3" s="20">
        <v>15000</v>
      </c>
      <c r="C3" s="20">
        <f t="shared" ref="C3:G4" si="0">B3*(1+$J$9)</f>
        <v>16500</v>
      </c>
      <c r="D3" s="20">
        <f t="shared" si="0"/>
        <v>18150</v>
      </c>
      <c r="E3" s="20">
        <f t="shared" si="0"/>
        <v>19965</v>
      </c>
      <c r="F3" s="20">
        <f t="shared" si="0"/>
        <v>21961.5</v>
      </c>
      <c r="G3" s="20">
        <f t="shared" si="0"/>
        <v>24157.65</v>
      </c>
      <c r="I3" s="3" t="s">
        <v>12</v>
      </c>
      <c r="J3" s="22">
        <f>SUM(B23:G23)</f>
        <v>115414.61694008543</v>
      </c>
    </row>
    <row r="4" spans="1:10" x14ac:dyDescent="0.2">
      <c r="A4" s="5" t="s">
        <v>24</v>
      </c>
      <c r="B4" s="20">
        <v>6000</v>
      </c>
      <c r="C4" s="20">
        <f t="shared" si="0"/>
        <v>6600.0000000000009</v>
      </c>
      <c r="D4" s="20">
        <f t="shared" si="0"/>
        <v>7260.0000000000018</v>
      </c>
      <c r="E4" s="20">
        <f t="shared" si="0"/>
        <v>7986.0000000000027</v>
      </c>
      <c r="F4" s="20">
        <f t="shared" si="0"/>
        <v>8784.600000000004</v>
      </c>
      <c r="G4" s="20">
        <f t="shared" si="0"/>
        <v>9663.0600000000049</v>
      </c>
      <c r="I4" s="3" t="s">
        <v>13</v>
      </c>
      <c r="J4" s="19" t="s">
        <v>70</v>
      </c>
    </row>
    <row r="5" spans="1:10" x14ac:dyDescent="0.2">
      <c r="A5" s="5" t="s">
        <v>22</v>
      </c>
      <c r="B5" s="20">
        <v>12000</v>
      </c>
      <c r="C5" s="20">
        <f t="shared" ref="C5:G6" si="1">B5*(1+$J$10)</f>
        <v>13200.000000000002</v>
      </c>
      <c r="D5" s="20">
        <f t="shared" si="1"/>
        <v>14520.000000000004</v>
      </c>
      <c r="E5" s="20">
        <f t="shared" si="1"/>
        <v>15972.000000000005</v>
      </c>
      <c r="F5" s="20">
        <f t="shared" si="1"/>
        <v>17569.200000000008</v>
      </c>
      <c r="G5" s="20">
        <f t="shared" si="1"/>
        <v>19326.12000000001</v>
      </c>
      <c r="I5" s="3" t="s">
        <v>0</v>
      </c>
      <c r="J5" s="23">
        <v>3</v>
      </c>
    </row>
    <row r="6" spans="1:10" x14ac:dyDescent="0.2">
      <c r="A6" s="5" t="s">
        <v>25</v>
      </c>
      <c r="B6" s="20">
        <v>5000</v>
      </c>
      <c r="C6" s="20">
        <f t="shared" si="1"/>
        <v>5500</v>
      </c>
      <c r="D6" s="20">
        <f t="shared" si="1"/>
        <v>6050.0000000000009</v>
      </c>
      <c r="E6" s="20">
        <f t="shared" si="1"/>
        <v>6655.0000000000018</v>
      </c>
      <c r="F6" s="20">
        <f t="shared" si="1"/>
        <v>7320.5000000000027</v>
      </c>
      <c r="G6" s="20">
        <f t="shared" si="1"/>
        <v>8052.5500000000038</v>
      </c>
      <c r="I6" s="3" t="s">
        <v>27</v>
      </c>
      <c r="J6" s="1" t="s">
        <v>69</v>
      </c>
    </row>
    <row r="7" spans="1:10" x14ac:dyDescent="0.2">
      <c r="A7" s="5" t="s">
        <v>3</v>
      </c>
      <c r="B7" s="20">
        <v>2000</v>
      </c>
      <c r="C7" s="20">
        <v>4000</v>
      </c>
      <c r="D7" s="20">
        <v>6000</v>
      </c>
      <c r="E7" s="20">
        <v>8000</v>
      </c>
      <c r="F7" s="20">
        <v>10000</v>
      </c>
      <c r="G7" s="20">
        <v>12000</v>
      </c>
    </row>
    <row r="8" spans="1:10" x14ac:dyDescent="0.2">
      <c r="A8" s="13" t="s">
        <v>4</v>
      </c>
      <c r="B8" s="21">
        <f>SUM(B3:B7)</f>
        <v>40000</v>
      </c>
      <c r="C8" s="21">
        <f t="shared" ref="C8:G8" si="2">SUM(C3:C7)</f>
        <v>45800</v>
      </c>
      <c r="D8" s="21">
        <f t="shared" si="2"/>
        <v>51980</v>
      </c>
      <c r="E8" s="21">
        <f t="shared" si="2"/>
        <v>58578.000000000007</v>
      </c>
      <c r="F8" s="21">
        <f t="shared" si="2"/>
        <v>65635.800000000017</v>
      </c>
      <c r="G8" s="21">
        <f t="shared" si="2"/>
        <v>73199.380000000019</v>
      </c>
      <c r="I8" s="62" t="s">
        <v>68</v>
      </c>
      <c r="J8" s="62"/>
    </row>
    <row r="9" spans="1:10" x14ac:dyDescent="0.2">
      <c r="A9" s="6" t="s">
        <v>2</v>
      </c>
      <c r="B9" s="15"/>
      <c r="C9" s="15"/>
      <c r="D9" s="15"/>
      <c r="E9" s="15"/>
      <c r="F9" s="15"/>
      <c r="G9" s="16"/>
      <c r="I9" s="24" t="s">
        <v>28</v>
      </c>
      <c r="J9" s="25">
        <v>0.1</v>
      </c>
    </row>
    <row r="10" spans="1:10" x14ac:dyDescent="0.2">
      <c r="A10" s="7" t="s">
        <v>5</v>
      </c>
      <c r="B10" s="20">
        <v>5000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I10" s="24" t="s">
        <v>29</v>
      </c>
      <c r="J10" s="25">
        <v>0.1</v>
      </c>
    </row>
    <row r="11" spans="1:10" x14ac:dyDescent="0.2">
      <c r="A11" s="7" t="s">
        <v>20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I11" s="24" t="s">
        <v>16</v>
      </c>
      <c r="J11" s="25">
        <v>0.1</v>
      </c>
    </row>
    <row r="12" spans="1:10" x14ac:dyDescent="0.2">
      <c r="A12" s="7" t="s">
        <v>26</v>
      </c>
      <c r="B12" s="20">
        <v>14880</v>
      </c>
      <c r="C12" s="20">
        <v>14880</v>
      </c>
      <c r="D12" s="20">
        <v>14880</v>
      </c>
      <c r="E12" s="20">
        <v>14880</v>
      </c>
      <c r="F12" s="20">
        <v>14880</v>
      </c>
      <c r="G12" s="20">
        <v>14880</v>
      </c>
      <c r="I12" s="24" t="s">
        <v>17</v>
      </c>
      <c r="J12" s="25">
        <v>0.1</v>
      </c>
    </row>
    <row r="13" spans="1:10" x14ac:dyDescent="0.2">
      <c r="A13" s="7" t="s">
        <v>15</v>
      </c>
      <c r="B13" s="20">
        <v>2000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</row>
    <row r="14" spans="1:10" x14ac:dyDescent="0.2">
      <c r="A14" s="7" t="s">
        <v>6</v>
      </c>
      <c r="B14" s="20">
        <v>5160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</row>
    <row r="15" spans="1:10" x14ac:dyDescent="0.2">
      <c r="A15" s="7" t="s">
        <v>16</v>
      </c>
      <c r="B15" s="20">
        <v>4000</v>
      </c>
      <c r="C15" s="20">
        <f>B15*(1+$J$11)</f>
        <v>4400</v>
      </c>
      <c r="D15" s="20">
        <f t="shared" ref="D15:G15" si="3">C15*(1+$J$11)</f>
        <v>4840</v>
      </c>
      <c r="E15" s="20">
        <f t="shared" si="3"/>
        <v>5324</v>
      </c>
      <c r="F15" s="20">
        <f t="shared" si="3"/>
        <v>5856.4000000000005</v>
      </c>
      <c r="G15" s="20">
        <f t="shared" si="3"/>
        <v>6442.0400000000009</v>
      </c>
    </row>
    <row r="16" spans="1:10" x14ac:dyDescent="0.2">
      <c r="A16" s="7" t="s">
        <v>17</v>
      </c>
      <c r="B16" s="20">
        <v>1000</v>
      </c>
      <c r="C16" s="20">
        <f>B16*(1+$J$12)</f>
        <v>1100</v>
      </c>
      <c r="D16" s="20">
        <f t="shared" ref="D16:G16" si="4">C16*(1+$J$12)</f>
        <v>1210</v>
      </c>
      <c r="E16" s="20">
        <f t="shared" si="4"/>
        <v>1331</v>
      </c>
      <c r="F16" s="20">
        <f t="shared" si="4"/>
        <v>1464.1000000000001</v>
      </c>
      <c r="G16" s="20">
        <f t="shared" si="4"/>
        <v>1610.5100000000002</v>
      </c>
    </row>
    <row r="17" spans="1:7" x14ac:dyDescent="0.2">
      <c r="A17" s="7" t="s">
        <v>18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</row>
    <row r="18" spans="1:7" x14ac:dyDescent="0.2">
      <c r="A18" s="7" t="s">
        <v>19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</row>
    <row r="19" spans="1:7" x14ac:dyDescent="0.2">
      <c r="A19" s="7" t="s">
        <v>21</v>
      </c>
      <c r="B19" s="20">
        <v>120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</row>
    <row r="20" spans="1:7" x14ac:dyDescent="0.2">
      <c r="A20" s="7" t="s">
        <v>7</v>
      </c>
      <c r="B20" s="20">
        <v>2520</v>
      </c>
      <c r="C20" s="20">
        <f>B20*1.05</f>
        <v>2646</v>
      </c>
      <c r="D20" s="20">
        <f t="shared" ref="D20:G20" si="5">C20*1.05</f>
        <v>2778.3</v>
      </c>
      <c r="E20" s="20">
        <f t="shared" si="5"/>
        <v>2917.2150000000001</v>
      </c>
      <c r="F20" s="20">
        <f t="shared" si="5"/>
        <v>3063.0757500000004</v>
      </c>
      <c r="G20" s="20">
        <f t="shared" si="5"/>
        <v>3216.2295375000008</v>
      </c>
    </row>
    <row r="21" spans="1:7" x14ac:dyDescent="0.2">
      <c r="A21" s="14" t="s">
        <v>8</v>
      </c>
      <c r="B21" s="21">
        <f>SUM(B10:B20)</f>
        <v>34680</v>
      </c>
      <c r="C21" s="21">
        <f t="shared" ref="C21:G21" si="6">SUM(C10:C20)</f>
        <v>23026</v>
      </c>
      <c r="D21" s="21">
        <f t="shared" si="6"/>
        <v>23708.3</v>
      </c>
      <c r="E21" s="21">
        <f t="shared" si="6"/>
        <v>24452.215</v>
      </c>
      <c r="F21" s="21">
        <f t="shared" si="6"/>
        <v>25263.57575</v>
      </c>
      <c r="G21" s="21">
        <f t="shared" si="6"/>
        <v>26148.779537500002</v>
      </c>
    </row>
    <row r="22" spans="1:7" x14ac:dyDescent="0.2">
      <c r="A22" s="8" t="s">
        <v>9</v>
      </c>
      <c r="B22" s="21">
        <f>B8-B21</f>
        <v>5320</v>
      </c>
      <c r="C22" s="21">
        <f t="shared" ref="B22:G22" si="7">C8-C21</f>
        <v>22774</v>
      </c>
      <c r="D22" s="21">
        <f t="shared" si="7"/>
        <v>28271.7</v>
      </c>
      <c r="E22" s="21">
        <f>E8-E21</f>
        <v>34125.785000000003</v>
      </c>
      <c r="F22" s="21">
        <f t="shared" si="7"/>
        <v>40372.224250000014</v>
      </c>
      <c r="G22" s="21">
        <f t="shared" si="7"/>
        <v>47050.600462500021</v>
      </c>
    </row>
    <row r="23" spans="1:7" ht="16" thickBot="1" x14ac:dyDescent="0.25">
      <c r="A23" s="9" t="s">
        <v>10</v>
      </c>
      <c r="B23" s="21">
        <f>B22/(1+$J$2)^0</f>
        <v>5320</v>
      </c>
      <c r="C23" s="21">
        <f>C22/(1+$J$2)^1</f>
        <v>19803.478260869568</v>
      </c>
      <c r="D23" s="21">
        <f>D22/(1+$J$2)^2</f>
        <v>21377.466918714559</v>
      </c>
      <c r="E23" s="21">
        <f>E22/(1+$J$2)^3</f>
        <v>22438.257581984064</v>
      </c>
      <c r="F23" s="21">
        <f>F22/(1+$J$2)^4</f>
        <v>23082.950246747274</v>
      </c>
      <c r="G23" s="21">
        <f>G22/(1+$J$2)^5</f>
        <v>23392.463931769969</v>
      </c>
    </row>
  </sheetData>
  <mergeCells count="2">
    <mergeCell ref="I1:J1"/>
    <mergeCell ref="I8:J8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Start-up Costs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2024-01-26T23:45:23Z</dcterms:modified>
</cp:coreProperties>
</file>