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7.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0.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1.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2.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3.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4.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5.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6.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7.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8.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9.xml" ContentType="application/vnd.openxmlformats-officedocument.drawingml.chartshapes+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0.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1.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2.xml" ContentType="application/vnd.openxmlformats-officedocument.drawingml.chartshapes+xml"/>
  <Override PartName="/xl/charts/chart30.xml" ContentType="application/vnd.openxmlformats-officedocument.drawingml.chart+xml"/>
  <Override PartName="/xl/drawings/drawing33.xml" ContentType="application/vnd.openxmlformats-officedocument.drawingml.chartshapes+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4.xml" ContentType="application/vnd.openxmlformats-officedocument.drawingml.chartshapes+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5.xml" ContentType="application/vnd.openxmlformats-officedocument.drawingml.chartshapes+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6.xml" ContentType="application/vnd.openxmlformats-officedocument.drawingml.chartshapes+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slicers/slicer3.xml" ContentType="application/vnd.ms-excel.slicer+xml"/>
  <Override PartName="/xl/charts/chart35.xml" ContentType="application/vnd.openxmlformats-officedocument.drawingml.chart+xml"/>
  <Override PartName="/xl/charts/chart36.xml" ContentType="application/vnd.openxmlformats-officedocument.drawingml.chart+xml"/>
  <Override PartName="/xl/charts/style34.xml" ContentType="application/vnd.ms-office.chartstyle+xml"/>
  <Override PartName="/xl/charts/colors34.xml" ContentType="application/vnd.ms-office.chartcolorstyle+xml"/>
  <Override PartName="/xl/charts/chart37.xml" ContentType="application/vnd.openxmlformats-officedocument.drawingml.chart+xml"/>
  <Override PartName="/xl/charts/style35.xml" ContentType="application/vnd.ms-office.chartstyle+xml"/>
  <Override PartName="/xl/charts/colors35.xml" ContentType="application/vnd.ms-office.chartcolorstyle+xml"/>
  <Override PartName="/xl/charts/chart38.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9.xml" ContentType="application/vnd.openxmlformats-officedocument.drawing+xml"/>
  <Override PartName="/xl/slicers/slicer4.xml" ContentType="application/vnd.ms-excel.slicer+xml"/>
  <Override PartName="/xl/slicers/slicer5.xml" ContentType="application/vnd.ms-excel.slicer+xml"/>
  <Override PartName="/xl/charts/chart39.xml" ContentType="application/vnd.openxmlformats-officedocument.drawingml.chart+xml"/>
  <Override PartName="/xl/charts/style37.xml" ContentType="application/vnd.ms-office.chartstyle+xml"/>
  <Override PartName="/xl/charts/colors37.xml" ContentType="application/vnd.ms-office.chartcolorstyle+xml"/>
  <Override PartName="/xl/charts/chart40.xml" ContentType="application/vnd.openxmlformats-officedocument.drawingml.chart+xml"/>
  <Override PartName="/xl/charts/style38.xml" ContentType="application/vnd.ms-office.chartstyle+xml"/>
  <Override PartName="/xl/charts/colors38.xml" ContentType="application/vnd.ms-office.chartcolorstyle+xml"/>
  <Override PartName="/xl/charts/chart41.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40.xml" ContentType="application/vnd.openxmlformats-officedocument.drawingml.chartshapes+xml"/>
  <Override PartName="/xl/drawings/drawing41.xml" ContentType="application/vnd.openxmlformats-officedocument.drawing+xml"/>
  <Override PartName="/xl/charts/chart42.xml" ContentType="application/vnd.openxmlformats-officedocument.drawingml.chart+xml"/>
  <Override PartName="/xl/charts/style40.xml" ContentType="application/vnd.ms-office.chartstyle+xml"/>
  <Override PartName="/xl/charts/colors40.xml" ContentType="application/vnd.ms-office.chartcolorstyle+xml"/>
  <Override PartName="/xl/charts/chart43.xml" ContentType="application/vnd.openxmlformats-officedocument.drawingml.chart+xml"/>
  <Override PartName="/xl/charts/style41.xml" ContentType="application/vnd.ms-office.chartstyle+xml"/>
  <Override PartName="/xl/charts/colors41.xml" ContentType="application/vnd.ms-office.chartcolorstyle+xml"/>
  <Override PartName="/xl/pivotTables/pivotTable1.xml" ContentType="application/vnd.openxmlformats-officedocument.spreadsheetml.pivotTable+xml"/>
  <Override PartName="/xl/drawings/drawing4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6.xml" ContentType="application/vnd.ms-excel.slicer+xml"/>
  <Override PartName="/xl/charts/chart44.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43.xml" ContentType="application/vnd.openxmlformats-officedocument.drawingml.chartshapes+xml"/>
  <Override PartName="/xl/charts/chart45.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44.xml" ContentType="application/vnd.openxmlformats-officedocument.drawingml.chartshapes+xml"/>
  <Override PartName="/xl/charts/chart46.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45.xml" ContentType="application/vnd.openxmlformats-officedocument.drawingml.chartshapes+xml"/>
  <Override PartName="/xl/charts/chart47.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46.xml" ContentType="application/vnd.openxmlformats-officedocument.drawingml.chartshapes+xml"/>
  <Override PartName="/xl/charts/chart48.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47.xml" ContentType="application/vnd.openxmlformats-officedocument.drawingml.chartshapes+xml"/>
  <Override PartName="/xl/charts/chart49.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48.xml" ContentType="application/vnd.openxmlformats-officedocument.drawingml.chartshapes+xml"/>
  <Override PartName="/xl/charts/chart50.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49.xml" ContentType="application/vnd.openxmlformats-officedocument.drawingml.chartshapes+xml"/>
  <Override PartName="/xl/charts/chart51.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50.xml" ContentType="application/vnd.openxmlformats-officedocument.drawingml.chartshapes+xml"/>
  <Override PartName="/xl/charts/chart52.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51.xml" ContentType="application/vnd.openxmlformats-officedocument.drawingml.chartshapes+xml"/>
  <Override PartName="/xl/charts/chart53.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52.xml" ContentType="application/vnd.openxmlformats-officedocument.drawingml.chartshapes+xml"/>
  <Override PartName="/xl/charts/chart54.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53.xml" ContentType="application/vnd.openxmlformats-officedocument.drawingml.chartshapes+xml"/>
  <Override PartName="/xl/charts/chart55.xml" ContentType="application/vnd.openxmlformats-officedocument.drawingml.chart+xml"/>
  <Override PartName="/xl/drawings/drawing54.xml" ContentType="application/vnd.openxmlformats-officedocument.drawingml.chartshapes+xml"/>
  <Override PartName="/xl/charts/chart56.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55.xml" ContentType="application/vnd.openxmlformats-officedocument.drawingml.chartshapes+xml"/>
  <Override PartName="/xl/charts/chart57.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56.xml" ContentType="application/vnd.openxmlformats-officedocument.drawingml.chartshapes+xml"/>
  <Override PartName="/xl/drawings/drawing57.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slicers/slicer7.xml" ContentType="application/vnd.ms-excel.slicer+xml"/>
  <Override PartName="/xl/charts/chart58.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58.xml" ContentType="application/vnd.openxmlformats-officedocument.drawingml.chartshapes+xml"/>
  <Override PartName="/xl/charts/chart59.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59.xml" ContentType="application/vnd.openxmlformats-officedocument.drawingml.chartshapes+xml"/>
  <Override PartName="/xl/charts/chart60.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60.xml" ContentType="application/vnd.openxmlformats-officedocument.drawingml.chartshapes+xml"/>
  <Override PartName="/xl/charts/chart61.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61.xml" ContentType="application/vnd.openxmlformats-officedocument.drawingml.chartshapes+xml"/>
  <Override PartName="/xl/charts/chart62.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62.xml" ContentType="application/vnd.openxmlformats-officedocument.drawingml.chartshapes+xml"/>
  <Override PartName="/xl/charts/chart63.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63.xml" ContentType="application/vnd.openxmlformats-officedocument.drawingml.chartshapes+xml"/>
  <Override PartName="/xl/charts/chart64.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64.xml" ContentType="application/vnd.openxmlformats-officedocument.drawingml.chartshapes+xml"/>
  <Override PartName="/xl/charts/chart65.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65.xml" ContentType="application/vnd.openxmlformats-officedocument.drawingml.chartshapes+xml"/>
  <Override PartName="/xl/charts/chart66.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66.xml" ContentType="application/vnd.openxmlformats-officedocument.drawingml.chartshapes+xml"/>
  <Override PartName="/xl/charts/chart67.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67.xml" ContentType="application/vnd.openxmlformats-officedocument.drawingml.chartshapes+xml"/>
  <Override PartName="/xl/charts/chart68.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68.xml" ContentType="application/vnd.openxmlformats-officedocument.drawingml.chartshapes+xml"/>
  <Override PartName="/xl/charts/chart69.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69.xml" ContentType="application/vnd.openxmlformats-officedocument.drawingml.chartshapes+xml"/>
  <Override PartName="/xl/charts/chart70.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70.xml" ContentType="application/vnd.openxmlformats-officedocument.drawingml.chartshapes+xml"/>
  <Override PartName="/xl/charts/chart71.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71.xml" ContentType="application/vnd.openxmlformats-officedocument.drawingml.chartshapes+xml"/>
  <Override PartName="/xl/charts/chart72.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72.xml" ContentType="application/vnd.openxmlformats-officedocument.drawingml.chartshapes+xml"/>
  <Override PartName="/xl/charts/chart73.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73.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74.xml" ContentType="application/vnd.openxmlformats-officedocument.drawing+xml"/>
  <Override PartName="/xl/tables/table25.xml" ContentType="application/vnd.openxmlformats-officedocument.spreadsheetml.table+xml"/>
  <Override PartName="/xl/tables/table26.xml" ContentType="application/vnd.openxmlformats-officedocument.spreadsheetml.table+xml"/>
  <Override PartName="/xl/slicers/slicer8.xml" ContentType="application/vnd.ms-excel.slicer+xml"/>
  <Override PartName="/xl/charts/chart74.xml" ContentType="application/vnd.openxmlformats-officedocument.drawingml.chart+xml"/>
  <Override PartName="/xl/charts/chart75.xml" ContentType="application/vnd.openxmlformats-officedocument.drawingml.chart+xml"/>
  <Override PartName="/xl/charts/style71.xml" ContentType="application/vnd.ms-office.chartstyle+xml"/>
  <Override PartName="/xl/charts/colors71.xml" ContentType="application/vnd.ms-office.chartcolorstyle+xml"/>
  <Override PartName="/xl/charts/chart76.xml" ContentType="application/vnd.openxmlformats-officedocument.drawingml.chart+xml"/>
  <Override PartName="/xl/charts/style72.xml" ContentType="application/vnd.ms-office.chartstyle+xml"/>
  <Override PartName="/xl/charts/colors72.xml" ContentType="application/vnd.ms-office.chartcolorstyle+xml"/>
  <Override PartName="/xl/charts/chart77.xml" ContentType="application/vnd.openxmlformats-officedocument.drawingml.chart+xml"/>
  <Override PartName="/xl/charts/style73.xml" ContentType="application/vnd.ms-office.chartstyle+xml"/>
  <Override PartName="/xl/charts/colors73.xml" ContentType="application/vnd.ms-office.chartcolorstyle+xml"/>
  <Override PartName="/xl/charts/chart78.xml" ContentType="application/vnd.openxmlformats-officedocument.drawingml.chart+xml"/>
  <Override PartName="/xl/charts/style74.xml" ContentType="application/vnd.ms-office.chartstyle+xml"/>
  <Override PartName="/xl/charts/colors7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5.xml" ContentType="application/vnd.openxmlformats-officedocument.drawing+xml"/>
  <Override PartName="/xl/tables/table27.xml" ContentType="application/vnd.openxmlformats-officedocument.spreadsheetml.table+xml"/>
  <Override PartName="/xl/slicers/slicer9.xml" ContentType="application/vnd.ms-excel.slicer+xml"/>
  <Override PartName="/xl/slicers/slicer10.xml" ContentType="application/vnd.ms-excel.slicer+xml"/>
  <Override PartName="/xl/charts/chart79.xml" ContentType="application/vnd.openxmlformats-officedocument.drawingml.chart+xml"/>
  <Override PartName="/xl/charts/style75.xml" ContentType="application/vnd.ms-office.chartstyle+xml"/>
  <Override PartName="/xl/charts/colors75.xml" ContentType="application/vnd.ms-office.chartcolorstyle+xml"/>
  <Override PartName="/xl/charts/chart80.xml" ContentType="application/vnd.openxmlformats-officedocument.drawingml.chart+xml"/>
  <Override PartName="/xl/charts/style76.xml" ContentType="application/vnd.ms-office.chartstyle+xml"/>
  <Override PartName="/xl/charts/colors76.xml" ContentType="application/vnd.ms-office.chartcolorstyle+xml"/>
  <Override PartName="/xl/charts/chart81.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76.xml" ContentType="application/vnd.openxmlformats-officedocument.drawingml.chartshapes+xml"/>
  <Override PartName="/xl/drawings/drawing77.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82.xml" ContentType="application/vnd.openxmlformats-officedocument.drawingml.chart+xml"/>
  <Override PartName="/xl/drawings/drawing78.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83.xml" ContentType="application/vnd.openxmlformats-officedocument.drawingml.chart+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nguyenminhhieu/Downloads/FM PROJECT/"/>
    </mc:Choice>
  </mc:AlternateContent>
  <xr:revisionPtr revIDLastSave="0" documentId="8_{766FBD3E-B8D2-2E4F-AA8B-2C7672C467DF}" xr6:coauthVersionLast="47" xr6:coauthVersionMax="47" xr10:uidLastSave="{00000000-0000-0000-0000-000000000000}"/>
  <bookViews>
    <workbookView xWindow="0" yWindow="500" windowWidth="28800" windowHeight="14560" activeTab="7" xr2:uid="{7D4DD27E-C100-4483-8ED6-69880D8449E0}"/>
  </bookViews>
  <sheets>
    <sheet name="Overview" sheetId="18" r:id="rId1"/>
    <sheet name="BS" sheetId="5" r:id="rId2"/>
    <sheet name="IS" sheetId="6" r:id="rId3"/>
    <sheet name="CFS" sheetId="2" r:id="rId4"/>
    <sheet name="Financial Ratio" sheetId="14" r:id="rId5"/>
    <sheet name="Benchmarking" sheetId="15" r:id="rId6"/>
    <sheet name="Beta Coefficient" sheetId="17" r:id="rId7"/>
    <sheet name="Income Statement" sheetId="3" r:id="rId8"/>
    <sheet name="Balance Sheet" sheetId="1" r:id="rId9"/>
    <sheet name="Cash Flow Statement" sheetId="7" r:id="rId10"/>
    <sheet name="FR" sheetId="16" r:id="rId11"/>
    <sheet name="Waterfal Chart" sheetId="11" r:id="rId12"/>
    <sheet name="Sheet2" sheetId="13" r:id="rId13"/>
    <sheet name="Data Shaping" sheetId="4" state="hidden" r:id="rId14"/>
  </sheets>
  <externalReferences>
    <externalReference r:id="rId15"/>
  </externalReferences>
  <definedNames>
    <definedName name="Slicer_Company">#N/A</definedName>
    <definedName name="Slicer_Ratio">#N/A</definedName>
    <definedName name="Slicer_Type">#N/A</definedName>
    <definedName name="Slicer_Year">#N/A</definedName>
    <definedName name="Slicer_YEAR1">#N/A</definedName>
    <definedName name="Slicer_Year2">#N/A</definedName>
    <definedName name="Slicer_Year3">#N/A</definedName>
  </definedNames>
  <calcPr calcId="191029"/>
  <pivotCaches>
    <pivotCache cacheId="12" r:id="rId16"/>
    <pivotCache cacheId="13" r:id="rId17"/>
    <pivotCache cacheId="14" r:id="rId18"/>
    <pivotCache cacheId="15" r:id="rId19"/>
  </pivotCaches>
  <extLs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4:slicerCache r:id="rId25"/>
        <x14:slicerCache r:id="rId2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Q6" i="3" l="1"/>
  <c r="AP6" i="3"/>
  <c r="I26" i="6"/>
  <c r="I27" i="6"/>
  <c r="I28" i="6"/>
  <c r="H26" i="6"/>
  <c r="H27" i="6"/>
  <c r="H28" i="6"/>
  <c r="G26" i="6"/>
  <c r="G27" i="6"/>
  <c r="G28" i="6"/>
  <c r="G29" i="6"/>
  <c r="F26" i="6"/>
  <c r="F27" i="6"/>
  <c r="F28" i="6"/>
  <c r="F29" i="6"/>
  <c r="E26" i="6"/>
  <c r="E27" i="6"/>
  <c r="E28" i="6"/>
  <c r="E29" i="6"/>
  <c r="I8" i="5"/>
  <c r="I9" i="5"/>
  <c r="I10" i="5"/>
  <c r="I11" i="5"/>
  <c r="I14" i="5"/>
  <c r="I15" i="5"/>
  <c r="I16" i="5"/>
  <c r="I17" i="5"/>
  <c r="I21" i="5"/>
  <c r="I22" i="5"/>
  <c r="I23" i="5"/>
  <c r="I24" i="5"/>
  <c r="I25" i="5"/>
  <c r="I26" i="5"/>
  <c r="I27" i="5"/>
  <c r="I28" i="5"/>
  <c r="I29" i="5"/>
  <c r="I30" i="5"/>
  <c r="I34" i="5"/>
  <c r="I36" i="5"/>
  <c r="I41" i="5"/>
  <c r="I42" i="5"/>
  <c r="I44" i="5"/>
  <c r="I45" i="5"/>
  <c r="I46" i="5"/>
  <c r="I47" i="5"/>
  <c r="I51" i="5"/>
  <c r="I52" i="5"/>
  <c r="I53" i="5"/>
  <c r="I54" i="5"/>
  <c r="I55" i="5"/>
  <c r="I56" i="5"/>
  <c r="I57" i="5"/>
  <c r="I58" i="5"/>
  <c r="I60" i="5"/>
  <c r="I62" i="5"/>
  <c r="I63" i="5"/>
  <c r="I66" i="5"/>
  <c r="I67" i="5"/>
  <c r="I68" i="5"/>
  <c r="I72" i="5"/>
  <c r="I75" i="5"/>
  <c r="I77" i="5"/>
  <c r="I78" i="5"/>
  <c r="I79" i="5"/>
  <c r="I80" i="5"/>
  <c r="I81" i="5"/>
  <c r="I82" i="5"/>
  <c r="I85" i="5"/>
  <c r="I86" i="5"/>
  <c r="I87" i="5"/>
  <c r="I88" i="5"/>
  <c r="I89" i="5"/>
  <c r="I92" i="5"/>
  <c r="I95" i="5"/>
  <c r="I98" i="5"/>
  <c r="I99" i="5"/>
  <c r="I100" i="5"/>
  <c r="I105" i="5"/>
  <c r="I108" i="5"/>
  <c r="I110" i="5"/>
  <c r="I111" i="5"/>
  <c r="I112" i="5"/>
  <c r="I114" i="5"/>
  <c r="I119" i="5"/>
  <c r="I120" i="5"/>
  <c r="I124" i="5"/>
  <c r="I125" i="5"/>
  <c r="I126" i="5"/>
  <c r="I127" i="5"/>
  <c r="I133" i="5"/>
  <c r="I6" i="5"/>
  <c r="H63" i="5"/>
  <c r="H14" i="5"/>
  <c r="H8" i="5"/>
  <c r="H9" i="5"/>
  <c r="H10" i="5"/>
  <c r="H11" i="5"/>
  <c r="H15" i="5"/>
  <c r="H16" i="5"/>
  <c r="H17" i="5"/>
  <c r="H21" i="5"/>
  <c r="H22" i="5"/>
  <c r="H23" i="5"/>
  <c r="H24" i="5"/>
  <c r="H25" i="5"/>
  <c r="H26" i="5"/>
  <c r="H27" i="5"/>
  <c r="H28" i="5"/>
  <c r="H29" i="5"/>
  <c r="H30" i="5"/>
  <c r="H34" i="5"/>
  <c r="H36" i="5"/>
  <c r="H41" i="5"/>
  <c r="H42" i="5"/>
  <c r="H44" i="5"/>
  <c r="H45" i="5"/>
  <c r="H46" i="5"/>
  <c r="H47" i="5"/>
  <c r="H51" i="5"/>
  <c r="H52" i="5"/>
  <c r="H53" i="5"/>
  <c r="H54" i="5"/>
  <c r="H55" i="5"/>
  <c r="H56" i="5"/>
  <c r="H57" i="5"/>
  <c r="H58" i="5"/>
  <c r="H60" i="5"/>
  <c r="H62" i="5"/>
  <c r="H66" i="5"/>
  <c r="H67" i="5"/>
  <c r="H68" i="5"/>
  <c r="H72" i="5"/>
  <c r="H75" i="5"/>
  <c r="H77" i="5"/>
  <c r="H78" i="5"/>
  <c r="H79" i="5"/>
  <c r="H80" i="5"/>
  <c r="H81" i="5"/>
  <c r="H82" i="5"/>
  <c r="H85" i="5"/>
  <c r="H86" i="5"/>
  <c r="H87" i="5"/>
  <c r="H88" i="5"/>
  <c r="H89" i="5"/>
  <c r="H92" i="5"/>
  <c r="H93" i="5"/>
  <c r="H95" i="5"/>
  <c r="H98" i="5"/>
  <c r="H99" i="5"/>
  <c r="H100" i="5"/>
  <c r="H105" i="5"/>
  <c r="H108" i="5"/>
  <c r="H110" i="5"/>
  <c r="H111" i="5"/>
  <c r="H112" i="5"/>
  <c r="H114" i="5"/>
  <c r="H119" i="5"/>
  <c r="H120" i="5"/>
  <c r="H124" i="5"/>
  <c r="H125" i="5"/>
  <c r="H126" i="5"/>
  <c r="H127" i="5"/>
  <c r="H133" i="5"/>
  <c r="H6" i="5"/>
  <c r="G8" i="5"/>
  <c r="G9" i="5"/>
  <c r="G10" i="5"/>
  <c r="G11" i="5"/>
  <c r="G12" i="5"/>
  <c r="G13" i="5"/>
  <c r="G14" i="5"/>
  <c r="G15" i="5"/>
  <c r="G16" i="5"/>
  <c r="G17" i="5"/>
  <c r="G18" i="5"/>
  <c r="G19" i="5"/>
  <c r="G20" i="5"/>
  <c r="G21" i="5"/>
  <c r="G22" i="5"/>
  <c r="G23" i="5"/>
  <c r="G24" i="5"/>
  <c r="G25" i="5"/>
  <c r="G26" i="5"/>
  <c r="G27" i="5"/>
  <c r="G28" i="5"/>
  <c r="G29" i="5"/>
  <c r="G30" i="5"/>
  <c r="G31" i="5"/>
  <c r="G32" i="5"/>
  <c r="G33" i="5"/>
  <c r="G34"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5"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10" i="5"/>
  <c r="G111" i="5"/>
  <c r="G112" i="5"/>
  <c r="G113" i="5"/>
  <c r="G114" i="5"/>
  <c r="G115" i="5"/>
  <c r="G116" i="5"/>
  <c r="G117" i="5"/>
  <c r="G118" i="5"/>
  <c r="G119" i="5"/>
  <c r="G120" i="5"/>
  <c r="G121" i="5"/>
  <c r="G122" i="5"/>
  <c r="G123" i="5"/>
  <c r="G124" i="5"/>
  <c r="G125" i="5"/>
  <c r="G126" i="5"/>
  <c r="G127" i="5"/>
  <c r="G128" i="5"/>
  <c r="G129" i="5"/>
  <c r="G130" i="5"/>
  <c r="G131" i="5"/>
  <c r="G132" i="5"/>
  <c r="G133" i="5"/>
  <c r="G6" i="5"/>
  <c r="F8" i="5"/>
  <c r="F9" i="5"/>
  <c r="F10" i="5"/>
  <c r="F11" i="5"/>
  <c r="F12" i="5"/>
  <c r="F13" i="5"/>
  <c r="F14" i="5"/>
  <c r="F15" i="5"/>
  <c r="F16" i="5"/>
  <c r="F17" i="5"/>
  <c r="F18" i="5"/>
  <c r="F19" i="5"/>
  <c r="F20" i="5"/>
  <c r="F21" i="5"/>
  <c r="F22" i="5"/>
  <c r="F23" i="5"/>
  <c r="F24" i="5"/>
  <c r="F25" i="5"/>
  <c r="F26" i="5"/>
  <c r="F27" i="5"/>
  <c r="F28" i="5"/>
  <c r="F29" i="5"/>
  <c r="F30" i="5"/>
  <c r="F31" i="5"/>
  <c r="F32" i="5"/>
  <c r="F33" i="5"/>
  <c r="F34"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5"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10" i="5"/>
  <c r="F111" i="5"/>
  <c r="F112" i="5"/>
  <c r="F113" i="5"/>
  <c r="F114" i="5"/>
  <c r="F115" i="5"/>
  <c r="F116" i="5"/>
  <c r="F117" i="5"/>
  <c r="F118" i="5"/>
  <c r="F119" i="5"/>
  <c r="F120" i="5"/>
  <c r="F121" i="5"/>
  <c r="F122" i="5"/>
  <c r="F123" i="5"/>
  <c r="F124" i="5"/>
  <c r="F125" i="5"/>
  <c r="F126" i="5"/>
  <c r="F127" i="5"/>
  <c r="F128" i="5"/>
  <c r="F129" i="5"/>
  <c r="F130" i="5"/>
  <c r="F131" i="5"/>
  <c r="F132" i="5"/>
  <c r="F133" i="5"/>
  <c r="F6" i="5"/>
  <c r="E8" i="5"/>
  <c r="E9" i="5"/>
  <c r="E10" i="5"/>
  <c r="E11" i="5"/>
  <c r="E12" i="5"/>
  <c r="E13" i="5"/>
  <c r="E14" i="5"/>
  <c r="E15" i="5"/>
  <c r="E16" i="5"/>
  <c r="E17" i="5"/>
  <c r="E18" i="5"/>
  <c r="E19" i="5"/>
  <c r="E20" i="5"/>
  <c r="E21" i="5"/>
  <c r="E22" i="5"/>
  <c r="E23" i="5"/>
  <c r="E24" i="5"/>
  <c r="E25" i="5"/>
  <c r="E26" i="5"/>
  <c r="E27" i="5"/>
  <c r="E28" i="5"/>
  <c r="E29" i="5"/>
  <c r="E30" i="5"/>
  <c r="E31" i="5"/>
  <c r="E32" i="5"/>
  <c r="E33" i="5"/>
  <c r="E34"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5"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10" i="5"/>
  <c r="E111" i="5"/>
  <c r="E112" i="5"/>
  <c r="E113" i="5"/>
  <c r="E114" i="5"/>
  <c r="E115" i="5"/>
  <c r="E116" i="5"/>
  <c r="E117" i="5"/>
  <c r="E118" i="5"/>
  <c r="E119" i="5"/>
  <c r="E120" i="5"/>
  <c r="E121" i="5"/>
  <c r="E122" i="5"/>
  <c r="E123" i="5"/>
  <c r="E124" i="5"/>
  <c r="E125" i="5"/>
  <c r="E126" i="5"/>
  <c r="E127" i="5"/>
  <c r="E128" i="5"/>
  <c r="E129" i="5"/>
  <c r="E130" i="5"/>
  <c r="E131" i="5"/>
  <c r="E132" i="5"/>
  <c r="E133" i="5"/>
  <c r="E6" i="5"/>
  <c r="U62" i="7" l="1"/>
  <c r="V62" i="7"/>
  <c r="U63" i="7"/>
  <c r="V63" i="7"/>
  <c r="V61" i="7"/>
  <c r="U61" i="7"/>
  <c r="B84" i="16"/>
  <c r="C84" i="16"/>
  <c r="B85" i="16"/>
  <c r="C85" i="16"/>
  <c r="C83" i="16"/>
  <c r="B83" i="16"/>
  <c r="C6" i="14"/>
  <c r="D6" i="14"/>
  <c r="B6" i="14"/>
  <c r="C12" i="14"/>
  <c r="D12" i="14"/>
  <c r="B12" i="14"/>
  <c r="C11" i="14"/>
  <c r="E13" i="15" s="1"/>
  <c r="D11" i="14"/>
  <c r="H13" i="15" s="1"/>
  <c r="B11" i="14"/>
  <c r="B13" i="15" s="1"/>
  <c r="C21" i="14"/>
  <c r="D21" i="14"/>
  <c r="B21" i="14"/>
  <c r="I24" i="14"/>
  <c r="I28" i="14"/>
  <c r="I20" i="14"/>
  <c r="H28" i="14"/>
  <c r="H24" i="14"/>
  <c r="H20" i="14"/>
  <c r="I16" i="17"/>
  <c r="J28" i="17"/>
  <c r="I4" i="17"/>
  <c r="I5" i="17"/>
  <c r="I6" i="17"/>
  <c r="I7" i="17"/>
  <c r="I8" i="17"/>
  <c r="I9" i="17"/>
  <c r="I10" i="17"/>
  <c r="I11" i="17"/>
  <c r="I12" i="17"/>
  <c r="I13" i="17"/>
  <c r="I14" i="17"/>
  <c r="I15" i="17"/>
  <c r="I17" i="17"/>
  <c r="I18" i="17"/>
  <c r="I19" i="17"/>
  <c r="I20" i="17"/>
  <c r="I21" i="17"/>
  <c r="I22" i="17"/>
  <c r="I23" i="17"/>
  <c r="I24" i="17"/>
  <c r="I25" i="17"/>
  <c r="I26" i="17"/>
  <c r="I27" i="17"/>
  <c r="I28" i="17"/>
  <c r="I29" i="17"/>
  <c r="I30" i="17"/>
  <c r="I31" i="17"/>
  <c r="I32" i="17"/>
  <c r="I33" i="17"/>
  <c r="I34" i="17"/>
  <c r="I35" i="17"/>
  <c r="I36" i="17"/>
  <c r="I37" i="17"/>
  <c r="I38" i="17"/>
  <c r="I3" i="17"/>
  <c r="H38" i="17"/>
  <c r="J38" i="17"/>
  <c r="H37" i="17"/>
  <c r="J37" i="17"/>
  <c r="H36" i="17"/>
  <c r="J36" i="17"/>
  <c r="H35" i="17"/>
  <c r="J35" i="17"/>
  <c r="H34" i="17"/>
  <c r="J34" i="17"/>
  <c r="H33" i="17"/>
  <c r="J33" i="17"/>
  <c r="H32" i="17"/>
  <c r="J32" i="17"/>
  <c r="H31" i="17"/>
  <c r="J31" i="17"/>
  <c r="H30" i="17"/>
  <c r="J30" i="17"/>
  <c r="H29" i="17"/>
  <c r="J29" i="17"/>
  <c r="H28" i="17"/>
  <c r="H27" i="17"/>
  <c r="J27" i="17"/>
  <c r="H26" i="17"/>
  <c r="J26" i="17"/>
  <c r="H25" i="17"/>
  <c r="J25" i="17"/>
  <c r="H24" i="17"/>
  <c r="J24" i="17"/>
  <c r="H23" i="17"/>
  <c r="J23" i="17"/>
  <c r="H22" i="17"/>
  <c r="J22" i="17"/>
  <c r="H21" i="17"/>
  <c r="J21" i="17"/>
  <c r="H20" i="17"/>
  <c r="J20" i="17"/>
  <c r="H19" i="17"/>
  <c r="J19" i="17"/>
  <c r="H18" i="17"/>
  <c r="J18" i="17"/>
  <c r="H17" i="17"/>
  <c r="J17" i="17"/>
  <c r="H16" i="17"/>
  <c r="J16" i="17"/>
  <c r="H15" i="17"/>
  <c r="J15" i="17"/>
  <c r="H14" i="17"/>
  <c r="J14" i="17"/>
  <c r="H13" i="17"/>
  <c r="J13" i="17"/>
  <c r="H12" i="17"/>
  <c r="J12" i="17"/>
  <c r="H11" i="17"/>
  <c r="J11" i="17"/>
  <c r="H10" i="17"/>
  <c r="J10" i="17"/>
  <c r="H9" i="17"/>
  <c r="J9" i="17"/>
  <c r="H8" i="17"/>
  <c r="J8" i="17"/>
  <c r="H7" i="17"/>
  <c r="J7" i="17"/>
  <c r="H6" i="17"/>
  <c r="J6" i="17"/>
  <c r="H5" i="17"/>
  <c r="J5" i="17"/>
  <c r="H4" i="17"/>
  <c r="J4" i="17"/>
  <c r="H3" i="17"/>
  <c r="J3" i="17"/>
  <c r="B20" i="14"/>
  <c r="C76" i="2"/>
  <c r="D76" i="2"/>
  <c r="B76" i="2"/>
  <c r="B73" i="2"/>
  <c r="C73" i="2"/>
  <c r="D73" i="2"/>
  <c r="D19" i="16"/>
  <c r="C19" i="16"/>
  <c r="B19" i="16"/>
  <c r="D17" i="16"/>
  <c r="C17" i="16"/>
  <c r="B17" i="16"/>
  <c r="D15" i="16"/>
  <c r="C15" i="16"/>
  <c r="B15" i="16"/>
  <c r="D8" i="16"/>
  <c r="C8" i="16"/>
  <c r="B8" i="16"/>
  <c r="B63" i="2"/>
  <c r="B59" i="2"/>
  <c r="B24" i="14" s="1"/>
  <c r="C59" i="2"/>
  <c r="C19" i="14" s="1"/>
  <c r="D59" i="2"/>
  <c r="D24" i="14" s="1"/>
  <c r="H41" i="7"/>
  <c r="G41" i="7"/>
  <c r="J41" i="7"/>
  <c r="K41" i="7"/>
  <c r="I41" i="7"/>
  <c r="C20" i="14"/>
  <c r="D20" i="14"/>
  <c r="C18" i="14"/>
  <c r="D18" i="14"/>
  <c r="B18" i="14"/>
  <c r="C16" i="14"/>
  <c r="D16" i="14"/>
  <c r="B16" i="14"/>
  <c r="C9" i="14"/>
  <c r="D9" i="14"/>
  <c r="B9" i="14"/>
  <c r="H19" i="15"/>
  <c r="E19" i="15"/>
  <c r="B19" i="15"/>
  <c r="H18" i="15"/>
  <c r="E18" i="15"/>
  <c r="B18" i="15"/>
  <c r="H12" i="15"/>
  <c r="E12" i="15"/>
  <c r="B12" i="15"/>
  <c r="W46" i="7"/>
  <c r="W47" i="7"/>
  <c r="W45" i="7"/>
  <c r="U30" i="7"/>
  <c r="B61" i="2"/>
  <c r="D35" i="2"/>
  <c r="D53" i="2" s="1"/>
  <c r="B35" i="2"/>
  <c r="B53" i="2" s="1"/>
  <c r="C35" i="2"/>
  <c r="C53" i="2" s="1"/>
  <c r="C25" i="2"/>
  <c r="C52" i="2" s="1"/>
  <c r="D25" i="2"/>
  <c r="D52" i="2" s="1"/>
  <c r="B25" i="2"/>
  <c r="C64" i="2"/>
  <c r="D64" i="2"/>
  <c r="B64" i="2"/>
  <c r="C63" i="2"/>
  <c r="D63" i="2"/>
  <c r="C61" i="2"/>
  <c r="D61" i="2"/>
  <c r="B60" i="2"/>
  <c r="C60" i="2"/>
  <c r="D60" i="2"/>
  <c r="D42" i="2"/>
  <c r="D54" i="2" s="1"/>
  <c r="C42" i="2"/>
  <c r="C54" i="2" s="1"/>
  <c r="B42" i="2"/>
  <c r="B54" i="2" s="1"/>
  <c r="H10" i="6"/>
  <c r="G10" i="6"/>
  <c r="G11" i="6"/>
  <c r="G12" i="6"/>
  <c r="G13" i="6"/>
  <c r="G14" i="6"/>
  <c r="G15" i="6"/>
  <c r="G16" i="6"/>
  <c r="G17" i="6"/>
  <c r="G18" i="6"/>
  <c r="G19" i="6"/>
  <c r="G20" i="6"/>
  <c r="G21" i="6"/>
  <c r="G22" i="6"/>
  <c r="G23" i="6"/>
  <c r="G24" i="6"/>
  <c r="G25" i="6"/>
  <c r="G9" i="6"/>
  <c r="F10" i="6"/>
  <c r="F11" i="6"/>
  <c r="F12" i="6"/>
  <c r="F13" i="6"/>
  <c r="F14" i="6"/>
  <c r="F15" i="6"/>
  <c r="F16" i="6"/>
  <c r="F17" i="6"/>
  <c r="F18" i="6"/>
  <c r="F19" i="6"/>
  <c r="F20" i="6"/>
  <c r="F21" i="6"/>
  <c r="F22" i="6"/>
  <c r="F23" i="6"/>
  <c r="F24" i="6"/>
  <c r="F25" i="6"/>
  <c r="F9" i="6"/>
  <c r="E10" i="6"/>
  <c r="E11" i="6"/>
  <c r="E12" i="6"/>
  <c r="E13" i="6"/>
  <c r="E14" i="6"/>
  <c r="E15" i="6"/>
  <c r="E16" i="6"/>
  <c r="E17" i="6"/>
  <c r="E18" i="6"/>
  <c r="E19" i="6"/>
  <c r="E20" i="6"/>
  <c r="E21" i="6"/>
  <c r="E22" i="6"/>
  <c r="E23" i="6"/>
  <c r="E24" i="6"/>
  <c r="E25" i="6"/>
  <c r="E9"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I9" i="6"/>
  <c r="H9" i="6"/>
  <c r="I8" i="6"/>
  <c r="H8" i="6"/>
  <c r="D8" i="13"/>
  <c r="B22" i="14" l="1"/>
  <c r="H17" i="14" s="1"/>
  <c r="D22" i="14"/>
  <c r="H25" i="14" s="1"/>
  <c r="C22" i="14"/>
  <c r="H21" i="14" s="1"/>
  <c r="P4" i="17"/>
  <c r="D19" i="14"/>
  <c r="D75" i="2"/>
  <c r="D77" i="2" s="1"/>
  <c r="O3" i="17"/>
  <c r="P5" i="17"/>
  <c r="N3" i="17"/>
  <c r="Q4" i="17"/>
  <c r="Q5" i="17"/>
  <c r="P3" i="17"/>
  <c r="Q3" i="17"/>
  <c r="N4" i="17"/>
  <c r="N5" i="17"/>
  <c r="C75" i="2"/>
  <c r="C77" i="2" s="1"/>
  <c r="B75" i="2"/>
  <c r="B77" i="2" s="1"/>
  <c r="C18" i="16"/>
  <c r="D18" i="16"/>
  <c r="B23" i="16"/>
  <c r="C23" i="16"/>
  <c r="B18" i="16"/>
  <c r="D23" i="16"/>
  <c r="B19" i="14"/>
  <c r="C24" i="14"/>
  <c r="D65" i="2"/>
  <c r="D58" i="2"/>
  <c r="B58" i="2"/>
  <c r="B65" i="2"/>
  <c r="B66" i="2" s="1"/>
  <c r="C58" i="2"/>
  <c r="B67" i="2"/>
  <c r="C65" i="2"/>
  <c r="D67" i="2"/>
  <c r="C67" i="2"/>
  <c r="B52" i="2"/>
  <c r="B55" i="2" s="1"/>
  <c r="C55" i="2"/>
  <c r="D55" i="2"/>
  <c r="I5" i="13"/>
  <c r="H5" i="13"/>
  <c r="I4" i="13"/>
  <c r="I7" i="13" s="1"/>
  <c r="H4" i="13"/>
  <c r="H7" i="13" s="1"/>
  <c r="I3" i="13"/>
  <c r="I6" i="13" s="1"/>
  <c r="H3" i="13"/>
  <c r="H6" i="13" s="1"/>
  <c r="C3" i="13"/>
  <c r="C4" i="13" s="1"/>
  <c r="C5" i="13" s="1"/>
  <c r="C6" i="13" s="1"/>
  <c r="C7" i="13" s="1"/>
  <c r="AS36" i="3"/>
  <c r="AS37" i="3"/>
  <c r="AS38" i="3"/>
  <c r="AS39" i="3"/>
  <c r="AS40" i="3"/>
  <c r="AS41" i="3"/>
  <c r="AS35" i="3"/>
  <c r="B30" i="3"/>
  <c r="AO5" i="3"/>
  <c r="C31" i="3"/>
  <c r="D31" i="3"/>
  <c r="B31" i="3"/>
  <c r="T36" i="7"/>
  <c r="I5" i="11"/>
  <c r="H5" i="11"/>
  <c r="I4" i="11"/>
  <c r="H4" i="11"/>
  <c r="I3" i="11"/>
  <c r="H3" i="11"/>
  <c r="C3" i="11"/>
  <c r="C4" i="11" s="1"/>
  <c r="C5" i="11" s="1"/>
  <c r="AC21" i="7"/>
  <c r="AC22" i="7"/>
  <c r="AC23" i="7"/>
  <c r="AC24" i="7"/>
  <c r="AC20" i="7"/>
  <c r="V31" i="7"/>
  <c r="V32" i="7"/>
  <c r="U31" i="7"/>
  <c r="U32" i="7"/>
  <c r="V30" i="7"/>
  <c r="B5" i="11"/>
  <c r="B4" i="11"/>
  <c r="B2" i="13"/>
  <c r="B4" i="13"/>
  <c r="B6" i="13"/>
  <c r="B3" i="13"/>
  <c r="B2" i="11"/>
  <c r="B3" i="11"/>
  <c r="B5" i="13"/>
  <c r="B7" i="13"/>
  <c r="D6" i="11"/>
  <c r="Q6" i="17" l="1"/>
  <c r="B62" i="2"/>
  <c r="B68" i="2" s="1"/>
  <c r="D66" i="2"/>
  <c r="D62" i="2" s="1"/>
  <c r="D68" i="2" s="1"/>
  <c r="C66" i="2"/>
  <c r="C62" i="2" s="1"/>
  <c r="C68" i="2" s="1"/>
  <c r="D6" i="13"/>
  <c r="D7" i="13"/>
  <c r="G6" i="13"/>
  <c r="F6" i="13" s="1"/>
  <c r="G7" i="13"/>
  <c r="F7" i="13" s="1"/>
  <c r="K6" i="13"/>
  <c r="K7" i="13"/>
  <c r="D3" i="13"/>
  <c r="K3" i="13"/>
  <c r="K5" i="13"/>
  <c r="D5" i="13"/>
  <c r="K4" i="13"/>
  <c r="D4" i="13"/>
  <c r="G3" i="13"/>
  <c r="E4" i="13" s="1"/>
  <c r="G5" i="13"/>
  <c r="G4" i="13"/>
  <c r="F4" i="13" s="1"/>
  <c r="G2" i="13"/>
  <c r="E3" i="13" s="1"/>
  <c r="D2" i="13"/>
  <c r="K5" i="11"/>
  <c r="D2" i="11"/>
  <c r="G2" i="11"/>
  <c r="E3" i="11" s="1"/>
  <c r="G3" i="11"/>
  <c r="E4" i="11" s="1"/>
  <c r="D4" i="11"/>
  <c r="G5" i="11"/>
  <c r="G4" i="11"/>
  <c r="K3" i="11"/>
  <c r="D3" i="11"/>
  <c r="K4" i="11"/>
  <c r="E7" i="13" l="1"/>
  <c r="F5" i="13"/>
  <c r="E6" i="13"/>
  <c r="J5" i="13"/>
  <c r="E5" i="13"/>
  <c r="J3" i="13"/>
  <c r="J6" i="13" s="1"/>
  <c r="J4" i="13"/>
  <c r="J7" i="13" s="1"/>
  <c r="F3" i="13"/>
  <c r="F3" i="11"/>
  <c r="F5" i="11"/>
  <c r="J4" i="11"/>
  <c r="J3" i="11"/>
  <c r="D5" i="11"/>
  <c r="J5" i="11"/>
  <c r="E5" i="11"/>
  <c r="F4" i="11"/>
  <c r="F92" i="4"/>
  <c r="F88" i="4"/>
  <c r="E88" i="4"/>
  <c r="F82" i="4"/>
  <c r="F81" i="4"/>
  <c r="F78" i="4"/>
  <c r="E78" i="4"/>
  <c r="F72" i="4"/>
  <c r="F71" i="4"/>
  <c r="F68" i="4"/>
  <c r="E68" i="4"/>
  <c r="F62" i="4"/>
  <c r="E58" i="4"/>
  <c r="F58" i="4" s="1"/>
  <c r="F51" i="4"/>
  <c r="E48" i="4"/>
  <c r="F48" i="4" s="1"/>
  <c r="F38" i="4"/>
  <c r="E38" i="4"/>
  <c r="AQ74" i="1"/>
  <c r="E14" i="3" l="1"/>
  <c r="F14" i="3"/>
  <c r="G14" i="3"/>
  <c r="H14" i="3"/>
  <c r="I14" i="3"/>
  <c r="E15" i="3"/>
  <c r="F15" i="3"/>
  <c r="G15" i="3"/>
  <c r="H15" i="3"/>
  <c r="I15" i="3"/>
  <c r="E16" i="3"/>
  <c r="F16" i="3"/>
  <c r="G16" i="3"/>
  <c r="H16" i="3"/>
  <c r="I16" i="3"/>
  <c r="E17" i="3"/>
  <c r="F17" i="3"/>
  <c r="G17" i="3"/>
  <c r="H17" i="3"/>
  <c r="I17" i="3"/>
  <c r="E18" i="3"/>
  <c r="F18" i="3"/>
  <c r="G18" i="3"/>
  <c r="H18" i="3"/>
  <c r="I18" i="3"/>
  <c r="E19" i="3"/>
  <c r="F19" i="3"/>
  <c r="G19" i="3"/>
  <c r="H19" i="3"/>
  <c r="I19" i="3"/>
  <c r="E20" i="3"/>
  <c r="F20" i="3"/>
  <c r="G20" i="3"/>
  <c r="E21" i="3"/>
  <c r="F21" i="3"/>
  <c r="G21" i="3"/>
  <c r="H21" i="3"/>
  <c r="I21" i="3"/>
  <c r="E22" i="3"/>
  <c r="F22" i="3"/>
  <c r="G22" i="3"/>
  <c r="H22" i="3"/>
  <c r="I22" i="3"/>
  <c r="E23" i="3"/>
  <c r="F23" i="3"/>
  <c r="G23" i="3"/>
  <c r="H23" i="3"/>
  <c r="I23" i="3"/>
  <c r="E24" i="3"/>
  <c r="F24" i="3"/>
  <c r="G24" i="3"/>
  <c r="H24" i="3"/>
  <c r="I24" i="3"/>
  <c r="E25" i="3"/>
  <c r="F25" i="3"/>
  <c r="G25" i="3"/>
  <c r="H25" i="3"/>
  <c r="I25" i="3"/>
  <c r="E26" i="3"/>
  <c r="F26" i="3"/>
  <c r="G26" i="3"/>
  <c r="H26" i="3"/>
  <c r="I26" i="3"/>
  <c r="C30" i="3"/>
  <c r="H30" i="3" s="1"/>
  <c r="D30" i="3"/>
  <c r="AK5" i="3"/>
  <c r="AN5" i="3"/>
  <c r="AM6" i="3"/>
  <c r="AL6" i="3"/>
  <c r="AM5" i="3"/>
  <c r="AL5" i="3"/>
  <c r="E8" i="3"/>
  <c r="AQ98" i="1"/>
  <c r="AQ94" i="1"/>
  <c r="AP94" i="1"/>
  <c r="AQ87" i="1"/>
  <c r="AQ88" i="1"/>
  <c r="AP84" i="1"/>
  <c r="AQ84" i="1"/>
  <c r="AQ77" i="1"/>
  <c r="AQ78" i="1"/>
  <c r="AP74" i="1"/>
  <c r="AQ68" i="1"/>
  <c r="AP64" i="1"/>
  <c r="AQ64" i="1" s="1"/>
  <c r="I9" i="1"/>
  <c r="I10" i="1"/>
  <c r="H9" i="1"/>
  <c r="AP54" i="1"/>
  <c r="AQ54" i="1" s="1"/>
  <c r="AQ57" i="1"/>
  <c r="I66" i="1"/>
  <c r="H66" i="1"/>
  <c r="I11" i="1"/>
  <c r="I12" i="1"/>
  <c r="I13" i="1"/>
  <c r="I14" i="1"/>
  <c r="I17" i="1"/>
  <c r="I18" i="1"/>
  <c r="I19" i="1"/>
  <c r="I20" i="1"/>
  <c r="I24" i="1"/>
  <c r="I25" i="1"/>
  <c r="I26" i="1"/>
  <c r="I27" i="1"/>
  <c r="I28" i="1"/>
  <c r="I29" i="1"/>
  <c r="I30" i="1"/>
  <c r="I31" i="1"/>
  <c r="I32" i="1"/>
  <c r="I33" i="1"/>
  <c r="I36" i="1"/>
  <c r="I37" i="1"/>
  <c r="I42" i="1"/>
  <c r="I43" i="1"/>
  <c r="I45" i="1"/>
  <c r="I46" i="1"/>
  <c r="I47" i="1"/>
  <c r="I48" i="1"/>
  <c r="I52" i="1"/>
  <c r="I53" i="1"/>
  <c r="I54" i="1"/>
  <c r="I55" i="1"/>
  <c r="I56" i="1"/>
  <c r="I57" i="1"/>
  <c r="I58" i="1"/>
  <c r="I59" i="1"/>
  <c r="I61" i="1"/>
  <c r="I63" i="1"/>
  <c r="I64" i="1"/>
  <c r="I67" i="1"/>
  <c r="I68" i="1"/>
  <c r="I69" i="1"/>
  <c r="I73" i="1"/>
  <c r="I74" i="1"/>
  <c r="I75" i="1"/>
  <c r="I76" i="1"/>
  <c r="I77" i="1"/>
  <c r="I78" i="1"/>
  <c r="I79" i="1"/>
  <c r="I82" i="1"/>
  <c r="I83" i="1"/>
  <c r="I84" i="1"/>
  <c r="I85" i="1"/>
  <c r="I86" i="1"/>
  <c r="I89" i="1"/>
  <c r="I92" i="1"/>
  <c r="I95" i="1"/>
  <c r="I96" i="1"/>
  <c r="I97" i="1"/>
  <c r="I102" i="1"/>
  <c r="I104" i="1"/>
  <c r="I105" i="1"/>
  <c r="I106" i="1"/>
  <c r="I107" i="1"/>
  <c r="I109" i="1"/>
  <c r="I114" i="1"/>
  <c r="I115" i="1"/>
  <c r="I119" i="1"/>
  <c r="I120" i="1"/>
  <c r="I121" i="1"/>
  <c r="I122" i="1"/>
  <c r="I128" i="1"/>
  <c r="H12" i="1"/>
  <c r="H13" i="1"/>
  <c r="H14" i="1"/>
  <c r="H17" i="1"/>
  <c r="H18" i="1"/>
  <c r="H19" i="1"/>
  <c r="H20" i="1"/>
  <c r="H24" i="1"/>
  <c r="H25" i="1"/>
  <c r="H26" i="1"/>
  <c r="H27" i="1"/>
  <c r="H28" i="1"/>
  <c r="H29" i="1"/>
  <c r="H30" i="1"/>
  <c r="H31" i="1"/>
  <c r="H32" i="1"/>
  <c r="H33" i="1"/>
  <c r="H36" i="1"/>
  <c r="H37" i="1"/>
  <c r="H42" i="1"/>
  <c r="H43" i="1"/>
  <c r="H45" i="1"/>
  <c r="H46" i="1"/>
  <c r="H47" i="1"/>
  <c r="H48" i="1"/>
  <c r="H52" i="1"/>
  <c r="H53" i="1"/>
  <c r="H54" i="1"/>
  <c r="H55" i="1"/>
  <c r="H56" i="1"/>
  <c r="H57" i="1"/>
  <c r="H58" i="1"/>
  <c r="H59" i="1"/>
  <c r="H61" i="1"/>
  <c r="H63" i="1"/>
  <c r="H64" i="1"/>
  <c r="H67" i="1"/>
  <c r="H68" i="1"/>
  <c r="H69" i="1"/>
  <c r="H73" i="1"/>
  <c r="H74" i="1"/>
  <c r="H75" i="1"/>
  <c r="H76" i="1"/>
  <c r="H77" i="1"/>
  <c r="H78" i="1"/>
  <c r="H79" i="1"/>
  <c r="H82" i="1"/>
  <c r="H83" i="1"/>
  <c r="H84" i="1"/>
  <c r="H85" i="1"/>
  <c r="H86" i="1"/>
  <c r="H89" i="1"/>
  <c r="H90" i="1"/>
  <c r="H92" i="1"/>
  <c r="H95" i="1"/>
  <c r="H96" i="1"/>
  <c r="H97" i="1"/>
  <c r="H100" i="1"/>
  <c r="H102" i="1"/>
  <c r="H104" i="1"/>
  <c r="H105" i="1"/>
  <c r="H106" i="1"/>
  <c r="H107" i="1"/>
  <c r="H109" i="1"/>
  <c r="H114" i="1"/>
  <c r="H115" i="1"/>
  <c r="H119" i="1"/>
  <c r="H120" i="1"/>
  <c r="H121" i="1"/>
  <c r="H122" i="1"/>
  <c r="H128" i="1"/>
  <c r="H11" i="1"/>
  <c r="H10" i="1"/>
  <c r="AP44" i="1"/>
  <c r="AQ44" i="1" s="1"/>
  <c r="I7" i="3"/>
  <c r="I8" i="3"/>
  <c r="I9" i="3"/>
  <c r="I10" i="3"/>
  <c r="I11" i="3"/>
  <c r="I12" i="3"/>
  <c r="I13" i="3"/>
  <c r="H8" i="3"/>
  <c r="H9" i="3"/>
  <c r="H10" i="3"/>
  <c r="H11" i="3"/>
  <c r="H12" i="3"/>
  <c r="H13" i="3"/>
  <c r="H7" i="3"/>
  <c r="G9" i="3"/>
  <c r="G10" i="3"/>
  <c r="G11" i="3"/>
  <c r="G12" i="3"/>
  <c r="G13" i="3"/>
  <c r="G8" i="3"/>
  <c r="F9" i="3"/>
  <c r="F10" i="3"/>
  <c r="F11" i="3"/>
  <c r="F12" i="3"/>
  <c r="F13" i="3"/>
  <c r="F8" i="3"/>
  <c r="E13" i="3"/>
  <c r="E12" i="3"/>
  <c r="E10" i="3"/>
  <c r="E11" i="3"/>
  <c r="E9" i="3"/>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74" i="1"/>
  <c r="E27"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10" i="1"/>
  <c r="E68" i="1"/>
  <c r="E69" i="1"/>
  <c r="E70" i="1"/>
  <c r="E71" i="1"/>
  <c r="E72" i="1"/>
  <c r="E56" i="1"/>
  <c r="E57" i="1"/>
  <c r="E58" i="1"/>
  <c r="E59" i="1"/>
  <c r="E60" i="1"/>
  <c r="E61" i="1"/>
  <c r="E62" i="1"/>
  <c r="E63" i="1"/>
  <c r="E64" i="1"/>
  <c r="E65" i="1"/>
  <c r="E66" i="1"/>
  <c r="E67" i="1"/>
  <c r="E11" i="1"/>
  <c r="E12" i="1"/>
  <c r="E13" i="1"/>
  <c r="E14" i="1"/>
  <c r="E15" i="1"/>
  <c r="E16" i="1"/>
  <c r="E17" i="1"/>
  <c r="E18" i="1"/>
  <c r="E19" i="1"/>
  <c r="E20" i="1"/>
  <c r="E21" i="1"/>
  <c r="E22" i="1"/>
  <c r="E23" i="1"/>
  <c r="E24" i="1"/>
  <c r="E25" i="1"/>
  <c r="E26"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I30" i="3" l="1"/>
</calcChain>
</file>

<file path=xl/sharedStrings.xml><?xml version="1.0" encoding="utf-8"?>
<sst xmlns="http://schemas.openxmlformats.org/spreadsheetml/2006/main" count="1221" uniqueCount="590">
  <si>
    <t>Data Title</t>
  </si>
  <si>
    <t>BALANCE SHEEET</t>
  </si>
  <si>
    <t>Date Of Extract</t>
  </si>
  <si>
    <t>ITEMS</t>
  </si>
  <si>
    <t>2020</t>
  </si>
  <si>
    <t>2021</t>
  </si>
  <si>
    <t>2022</t>
  </si>
  <si>
    <t>TOTAL ASSETS</t>
  </si>
  <si>
    <t>CURRENT ASSETS</t>
  </si>
  <si>
    <t>Cash and cash equivalents</t>
  </si>
  <si>
    <t>Cash</t>
  </si>
  <si>
    <t>Cash equivalents</t>
  </si>
  <si>
    <t>Short-term investments</t>
  </si>
  <si>
    <t>Provision for diminution</t>
  </si>
  <si>
    <t>Held-to-maturity securities</t>
  </si>
  <si>
    <t>Accounts receivable</t>
  </si>
  <si>
    <t>Trade accounts receivable</t>
  </si>
  <si>
    <t>Prepayments to suppliers</t>
  </si>
  <si>
    <t>Intercompany receivables</t>
  </si>
  <si>
    <t>Construction contract in progress receivables</t>
  </si>
  <si>
    <t>Short-term loans receivables</t>
  </si>
  <si>
    <t>Other receivables</t>
  </si>
  <si>
    <t>Provision for doubtful debts</t>
  </si>
  <si>
    <t>Shortage of current assets waiting for solution</t>
  </si>
  <si>
    <t>Inventories</t>
  </si>
  <si>
    <t>Provision for decline in inventories</t>
  </si>
  <si>
    <t>Other current assets</t>
  </si>
  <si>
    <t>Short-term prepaid expenses</t>
  </si>
  <si>
    <t>VAT to be claimed</t>
  </si>
  <si>
    <t>Other taxes receivable</t>
  </si>
  <si>
    <t>Government bonds purchased for resale</t>
  </si>
  <si>
    <t>LONG-TERM ASSETS</t>
  </si>
  <si>
    <t>Long-term trade receivables</t>
  </si>
  <si>
    <t>Long-term trade receivables from customers</t>
  </si>
  <si>
    <t>Long-term prepayments to suppliers</t>
  </si>
  <si>
    <t>Paid-in capital in wholly-owned subsidiaries</t>
  </si>
  <si>
    <t>Long-term intercompany receivables</t>
  </si>
  <si>
    <t>Long-term loans receivables</t>
  </si>
  <si>
    <t>Other long-term receivables</t>
  </si>
  <si>
    <t>Provision for doubtful LT receivable</t>
  </si>
  <si>
    <t>Fixed assets</t>
  </si>
  <si>
    <t>Tangible fixed assets</t>
  </si>
  <si>
    <t>Cost</t>
  </si>
  <si>
    <t>Accumulated depreciation</t>
  </si>
  <si>
    <t>Finance leased assets</t>
  </si>
  <si>
    <t>Intangible fixed assets</t>
  </si>
  <si>
    <t>Investment properties</t>
  </si>
  <si>
    <t>Long-term incomplete assets</t>
  </si>
  <si>
    <t>Long-term cost of work in progress</t>
  </si>
  <si>
    <t>Construction in progress</t>
  </si>
  <si>
    <t>Long-term investments</t>
  </si>
  <si>
    <t>Investment in subsidiaries</t>
  </si>
  <si>
    <t>Investment in associates</t>
  </si>
  <si>
    <t>Other Long-term investments</t>
  </si>
  <si>
    <t>Provision for long-term investments</t>
  </si>
  <si>
    <t>Held-to-maturity investment</t>
  </si>
  <si>
    <t>Other long-term assets</t>
  </si>
  <si>
    <t>Long-term prepayments</t>
  </si>
  <si>
    <t>Deferred income tax assets</t>
  </si>
  <si>
    <t>Long-term equipment, material and spare parts</t>
  </si>
  <si>
    <t>Good will</t>
  </si>
  <si>
    <t>LIABILITIES</t>
  </si>
  <si>
    <t>Current liabilities</t>
  </si>
  <si>
    <t>Trade accounts payable</t>
  </si>
  <si>
    <t>Advances from customers</t>
  </si>
  <si>
    <t>Taxes and other payable to State Budget</t>
  </si>
  <si>
    <t>Payable to employees</t>
  </si>
  <si>
    <t>Accrued expenses</t>
  </si>
  <si>
    <t>Intercompany payables</t>
  </si>
  <si>
    <t>Construction contract in progress payables</t>
  </si>
  <si>
    <t>Short-term unrealized revenue</t>
  </si>
  <si>
    <t>Other payables</t>
  </si>
  <si>
    <t>Short-term borrowings</t>
  </si>
  <si>
    <t>Provision for ST liabilities</t>
  </si>
  <si>
    <t>Bonus and welfare funds</t>
  </si>
  <si>
    <t>Price stabilization fund</t>
  </si>
  <si>
    <t>Long-term liabilities</t>
  </si>
  <si>
    <t>Long-term trade payables</t>
  </si>
  <si>
    <t>Long-term advances from customers</t>
  </si>
  <si>
    <t>Long-term accrued expenses</t>
  </si>
  <si>
    <t>Intra-company payables for operating capital received</t>
  </si>
  <si>
    <t>Long-term intercompany payables</t>
  </si>
  <si>
    <t>Unrealized revenue</t>
  </si>
  <si>
    <t>Other long-term payables</t>
  </si>
  <si>
    <t>Long-term borrowings</t>
  </si>
  <si>
    <t>Convertible bonds</t>
  </si>
  <si>
    <t>Preferred shares</t>
  </si>
  <si>
    <t>Deferred income tax liabilities</t>
  </si>
  <si>
    <t>Provision for severance allowances</t>
  </si>
  <si>
    <t>Provision for long-term liabilities</t>
  </si>
  <si>
    <t>Technology-science development fund</t>
  </si>
  <si>
    <t>OWNER'S EQUITY</t>
  </si>
  <si>
    <t>Capital and reserves</t>
  </si>
  <si>
    <t>Paid-in capital</t>
  </si>
  <si>
    <t>Common shares</t>
  </si>
  <si>
    <t>Share premium</t>
  </si>
  <si>
    <t>Conversion options on convertible bonds</t>
  </si>
  <si>
    <t>Owner's other capitals</t>
  </si>
  <si>
    <t>Treasury shares</t>
  </si>
  <si>
    <t>Difference upon assets revaluation</t>
  </si>
  <si>
    <t>Foreign exchange differences</t>
  </si>
  <si>
    <t>Investment and development funds</t>
  </si>
  <si>
    <t>Enterprise arrangement fund</t>
  </si>
  <si>
    <t>Financial researve funds</t>
  </si>
  <si>
    <t>Other funds</t>
  </si>
  <si>
    <t>Undistributed earnings</t>
  </si>
  <si>
    <t>Beginning accumulated undistributed earnings</t>
  </si>
  <si>
    <t>Current period undistributed earnings</t>
  </si>
  <si>
    <t>Minority interests</t>
  </si>
  <si>
    <t>Budget sources and other funds</t>
  </si>
  <si>
    <t>Bonus and welfare funds (Before 2010)</t>
  </si>
  <si>
    <t>Funds used for fixed asset acquisitions</t>
  </si>
  <si>
    <t>Minority Interest</t>
  </si>
  <si>
    <t>TOTAL RESOURCES</t>
  </si>
  <si>
    <t>Powered by FiinTrade</t>
  </si>
  <si>
    <t>https://fiintrade.vn/</t>
  </si>
  <si>
    <t>CASH FLOW STATEMENT</t>
  </si>
  <si>
    <t>Net cash from operating activities</t>
  </si>
  <si>
    <t>Operating profit/(loss) before changes in Working Capital</t>
  </si>
  <si>
    <t>Net profit/(loss) before tax</t>
  </si>
  <si>
    <t>Depreciation and amortisation</t>
  </si>
  <si>
    <t>Amortisation of goodwill</t>
  </si>
  <si>
    <t>Provisions</t>
  </si>
  <si>
    <t>Unrealised foreign exchange gain/loss</t>
  </si>
  <si>
    <t>Profit/loss from investing activities</t>
  </si>
  <si>
    <t>Interest expense</t>
  </si>
  <si>
    <t>Other adjustments</t>
  </si>
  <si>
    <t>(Increase)/decrease in receivables</t>
  </si>
  <si>
    <t>(Increase)/decrease in inventories</t>
  </si>
  <si>
    <t>(Increase/(decrease) in payables</t>
  </si>
  <si>
    <t>(Increase)/decrease in prepaid expenses</t>
  </si>
  <si>
    <t>(Increase)/decrease in trading securities</t>
  </si>
  <si>
    <t>Interest paid</t>
  </si>
  <si>
    <t>Corporate Income Tax paid</t>
  </si>
  <si>
    <t>Other receipts from operating activities</t>
  </si>
  <si>
    <t>Other payments on operating activities</t>
  </si>
  <si>
    <t>Net cash inflows/(outflows) from investing activities</t>
  </si>
  <si>
    <t>Purchases of fixed assets and other long term assets</t>
  </si>
  <si>
    <t>Proceeds from disposal of fixed assets</t>
  </si>
  <si>
    <t>Loans granted, purchases of debt instruments</t>
  </si>
  <si>
    <t>Collection of loans, proceeds from sales of debts instruments</t>
  </si>
  <si>
    <t>Investments in other entities</t>
  </si>
  <si>
    <t>Proceeds from divestment in other entities</t>
  </si>
  <si>
    <t>Dividends and interest received</t>
  </si>
  <si>
    <t>Net cash inflows/(outflows) from financing activities</t>
  </si>
  <si>
    <t>Proceeds from issue of shares</t>
  </si>
  <si>
    <t>Proceeds from borrowings</t>
  </si>
  <si>
    <t>Repayment of borrowings</t>
  </si>
  <si>
    <t>Dividends paid</t>
  </si>
  <si>
    <t>Net increase in cash and cash equivalents</t>
  </si>
  <si>
    <t>Cash and cash equivalents at the beginning o period</t>
  </si>
  <si>
    <t>Effect of foreign exchange differences</t>
  </si>
  <si>
    <t>Cash and cash equivalents at the end of period</t>
  </si>
  <si>
    <t>INCOME STATEMENT</t>
  </si>
  <si>
    <t>Sales</t>
  </si>
  <si>
    <t>Sales deductions</t>
  </si>
  <si>
    <t>Net sales</t>
  </si>
  <si>
    <t>Cost of sales</t>
  </si>
  <si>
    <t>Financial income</t>
  </si>
  <si>
    <t>of which: interest expenses</t>
  </si>
  <si>
    <t>Gain/(loss) from joint ventures</t>
  </si>
  <si>
    <t>Selling expenses</t>
  </si>
  <si>
    <t>General and admin expenses</t>
  </si>
  <si>
    <t>Other incomes</t>
  </si>
  <si>
    <t>Other expenses</t>
  </si>
  <si>
    <t>Net other income/(expenses)</t>
  </si>
  <si>
    <t>Income from investments in other entities</t>
  </si>
  <si>
    <t>Corporate income tax - current</t>
  </si>
  <si>
    <t>Corporate income tax - deferred</t>
  </si>
  <si>
    <t>Corporate income tax expenses</t>
  </si>
  <si>
    <t>Minority interest</t>
  </si>
  <si>
    <t>Attributable to parent company</t>
  </si>
  <si>
    <t>EPS</t>
  </si>
  <si>
    <t>EPS diluted</t>
  </si>
  <si>
    <t>YEAR</t>
  </si>
  <si>
    <t>Owner's equity</t>
  </si>
  <si>
    <t>Gross Profit (EBITDA)</t>
  </si>
  <si>
    <t>COMMON SIZE ANALYIS</t>
  </si>
  <si>
    <t>VERTICAL ANALYSIS</t>
  </si>
  <si>
    <t>2020-2021</t>
  </si>
  <si>
    <t>2021-2022</t>
  </si>
  <si>
    <t xml:space="preserve">Net profit/(loss) after tax </t>
  </si>
  <si>
    <t>Year</t>
  </si>
  <si>
    <t>EBITDA</t>
  </si>
  <si>
    <t>Absolute change</t>
  </si>
  <si>
    <t>Percentage Change</t>
  </si>
  <si>
    <t>Revenue</t>
  </si>
  <si>
    <t>Net Profit</t>
  </si>
  <si>
    <t>Total Liability and Shareholder Equity</t>
  </si>
  <si>
    <t>Other Long-term Assets</t>
  </si>
  <si>
    <t>COMMON SIZE ANALYSIS</t>
  </si>
  <si>
    <t>Current Assets</t>
  </si>
  <si>
    <t>Current Asset</t>
  </si>
  <si>
    <t>Long-term Assets</t>
  </si>
  <si>
    <t>Long-term Asset</t>
  </si>
  <si>
    <t>Current Liabilities</t>
  </si>
  <si>
    <t>Long-term Liabilities</t>
  </si>
  <si>
    <t>Owner's Equity</t>
  </si>
  <si>
    <t>Operating expenses</t>
  </si>
  <si>
    <t>Tax Expense</t>
  </si>
  <si>
    <t>Cost of Sales</t>
  </si>
  <si>
    <t>Interest Expenses</t>
  </si>
  <si>
    <t>EBT</t>
  </si>
  <si>
    <t xml:space="preserve">Operating profit/(loss) </t>
  </si>
  <si>
    <t>Operating Profit</t>
  </si>
  <si>
    <t xml:space="preserve">Net accounting profit/(loss) before tax </t>
  </si>
  <si>
    <t>2014</t>
  </si>
  <si>
    <t>2015</t>
  </si>
  <si>
    <t>2016</t>
  </si>
  <si>
    <t>2017</t>
  </si>
  <si>
    <t>2018</t>
  </si>
  <si>
    <t>2019</t>
  </si>
  <si>
    <t>Row Labels</t>
  </si>
  <si>
    <t>Grand Total</t>
  </si>
  <si>
    <t>Column Labels</t>
  </si>
  <si>
    <t>Operating activities</t>
  </si>
  <si>
    <t>The beginning of period</t>
  </si>
  <si>
    <t>Investing activities</t>
  </si>
  <si>
    <t>Financing activities</t>
  </si>
  <si>
    <t>The end of period</t>
  </si>
  <si>
    <t>Secondary Axis for Column Chart</t>
  </si>
  <si>
    <t>Starting Color</t>
  </si>
  <si>
    <t>Ending Color</t>
  </si>
  <si>
    <t>Cash Flow</t>
  </si>
  <si>
    <t>Amount of Inflow/Outflow</t>
  </si>
  <si>
    <t>Sum of Amount of Inflow/Outflow</t>
  </si>
  <si>
    <t>Line X</t>
  </si>
  <si>
    <t>Ends</t>
  </si>
  <si>
    <t>Before</t>
  </si>
  <si>
    <t>After</t>
  </si>
  <si>
    <t>Line Y</t>
  </si>
  <si>
    <t>Center Y</t>
  </si>
  <si>
    <t>Above Y</t>
  </si>
  <si>
    <t>Below X</t>
  </si>
  <si>
    <t>Y Label</t>
  </si>
  <si>
    <t>Ending Inventory</t>
  </si>
  <si>
    <t>Vertical Bar</t>
  </si>
  <si>
    <t>X</t>
  </si>
  <si>
    <t>Y</t>
  </si>
  <si>
    <t>CFO</t>
  </si>
  <si>
    <t>CFI</t>
  </si>
  <si>
    <t>EBIT</t>
  </si>
  <si>
    <t>Tax Expenses</t>
  </si>
  <si>
    <t>DE</t>
  </si>
  <si>
    <t>OCA</t>
  </si>
  <si>
    <t>OCL</t>
  </si>
  <si>
    <t>DELTA Net Fixed Asset</t>
  </si>
  <si>
    <t>BALANCE SHEET</t>
  </si>
  <si>
    <t>A.CURRENT ASSETS</t>
  </si>
  <si>
    <t>I. Cash and cash equivalents</t>
  </si>
  <si>
    <t>1.Cash</t>
  </si>
  <si>
    <t>2.Cash equivalents</t>
  </si>
  <si>
    <t>II. Short-term investments</t>
  </si>
  <si>
    <t>1. Short-term investments</t>
  </si>
  <si>
    <t>2. Provision for diminution</t>
  </si>
  <si>
    <t>3. Held-to-maturity securities</t>
  </si>
  <si>
    <t>III. Accounts receivable</t>
  </si>
  <si>
    <t>1. Trade accounts receivable</t>
  </si>
  <si>
    <t>2. Prepayments to suppliers</t>
  </si>
  <si>
    <t>3. Intercompany receivables</t>
  </si>
  <si>
    <t>4. Construction contract in progress receivables</t>
  </si>
  <si>
    <t>5. Short-term loans receivables</t>
  </si>
  <si>
    <t>6. Other receivables</t>
  </si>
  <si>
    <t>7. Provision for doubtful debts</t>
  </si>
  <si>
    <t>8. Shortage of current assets waiting for solution</t>
  </si>
  <si>
    <t>IV. Inventories</t>
  </si>
  <si>
    <t>1. Inventories</t>
  </si>
  <si>
    <t>2. Provision for decline in inventories</t>
  </si>
  <si>
    <t>V. Other current assets</t>
  </si>
  <si>
    <t>1. Short-term prepaid expenses</t>
  </si>
  <si>
    <t>2. VAT to be claimed</t>
  </si>
  <si>
    <t>3. Other taxes receivable</t>
  </si>
  <si>
    <t>4. Government bonds purchased for resale</t>
  </si>
  <si>
    <t>5. Other current assets</t>
  </si>
  <si>
    <t>B. LONG-TERM ASSETS</t>
  </si>
  <si>
    <t>I. Long-term trade receivables</t>
  </si>
  <si>
    <t>1. Long-term trade receivables from customers</t>
  </si>
  <si>
    <t>2. Long-term prepayments to suppliers</t>
  </si>
  <si>
    <t>3. Paid-in capital in wholly-owned subsidiaries</t>
  </si>
  <si>
    <t>4. Long-term intercompany receivables</t>
  </si>
  <si>
    <t>5. Long-term loans receivables</t>
  </si>
  <si>
    <t>6. Other long-term receivables</t>
  </si>
  <si>
    <t>7.Provision for doubtful LT receivable</t>
  </si>
  <si>
    <t>II. Fixed assets</t>
  </si>
  <si>
    <t>1. Tangible fixed assets</t>
  </si>
  <si>
    <t>a. Cost</t>
  </si>
  <si>
    <t>b. Accumulated depreciation</t>
  </si>
  <si>
    <t>2. Finance leased assets</t>
  </si>
  <si>
    <t>3. Intangible fixed assets</t>
  </si>
  <si>
    <t>III. Investment properties</t>
  </si>
  <si>
    <t>1. Cost</t>
  </si>
  <si>
    <t>2. Accumulated depreciation</t>
  </si>
  <si>
    <t>IV. Long-term incomplete assets</t>
  </si>
  <si>
    <t>1. Long-term cost of work in progress</t>
  </si>
  <si>
    <t>2. Construction in progress</t>
  </si>
  <si>
    <t>V. Long-term investments</t>
  </si>
  <si>
    <t>1. Investment in subsidiaries</t>
  </si>
  <si>
    <t>2. Investment in associates</t>
  </si>
  <si>
    <t>3. Other Long-term investments</t>
  </si>
  <si>
    <t>4. Provision for long-term investments</t>
  </si>
  <si>
    <t>5. Held-to-maturity investment</t>
  </si>
  <si>
    <t>VI. Other long-term assets</t>
  </si>
  <si>
    <t>1. Long-term prepayments</t>
  </si>
  <si>
    <t>2. Deferred income tax assets</t>
  </si>
  <si>
    <t>3. Long-term equipment, material and spare parts</t>
  </si>
  <si>
    <t>4. Other long-term assets</t>
  </si>
  <si>
    <t>5. Good will</t>
  </si>
  <si>
    <t>C. LIABILITIES</t>
  </si>
  <si>
    <t>I. Current liabilities</t>
  </si>
  <si>
    <t>1. Trade accounts payable</t>
  </si>
  <si>
    <t>2. Advances from customers</t>
  </si>
  <si>
    <t>3. Taxes and other payable to State Budget</t>
  </si>
  <si>
    <t>4.Payable to employees</t>
  </si>
  <si>
    <t>5. Accrued expenses</t>
  </si>
  <si>
    <t>6. Intercompany payables</t>
  </si>
  <si>
    <t>7. Construction contract in progress payables</t>
  </si>
  <si>
    <t>8. Short-term unrealized revenue</t>
  </si>
  <si>
    <t>9. Other payables</t>
  </si>
  <si>
    <t>10. Short-term borrowings</t>
  </si>
  <si>
    <t>11. Provision for ST liabilities</t>
  </si>
  <si>
    <t>12. Bonus and welfare funds</t>
  </si>
  <si>
    <t>13. Price stabilization fund</t>
  </si>
  <si>
    <t>14. Government bonds purchased for resale</t>
  </si>
  <si>
    <t>II. Long-term liabilities</t>
  </si>
  <si>
    <t>1. Long-term trade payables</t>
  </si>
  <si>
    <t>2. Long-term advances from customers</t>
  </si>
  <si>
    <t>3. Long-term accrued expenses</t>
  </si>
  <si>
    <t>4. Intra-company payables for operating capital received</t>
  </si>
  <si>
    <t>5. Long-term intercompany payables</t>
  </si>
  <si>
    <t>6. Unrealized revenue</t>
  </si>
  <si>
    <t>7. Other long-term payables</t>
  </si>
  <si>
    <t>8. Long-term borrowings</t>
  </si>
  <si>
    <t>9. Convertible bonds</t>
  </si>
  <si>
    <t>10. Preferred shares</t>
  </si>
  <si>
    <t>11. Deferred income tax liabilities</t>
  </si>
  <si>
    <t>12. Provision for severance allowances</t>
  </si>
  <si>
    <t>13. Provision for long-term liabilities</t>
  </si>
  <si>
    <t>14. Technology-science development fund</t>
  </si>
  <si>
    <t>D. OWNER'S EQUITY</t>
  </si>
  <si>
    <t>I. Capital and reserves</t>
  </si>
  <si>
    <t>1.Paid-in capital</t>
  </si>
  <si>
    <t>a. Common shares</t>
  </si>
  <si>
    <t>b. Preferred shares</t>
  </si>
  <si>
    <t>2. Share premium</t>
  </si>
  <si>
    <t>3. Conversion options on convertible bonds</t>
  </si>
  <si>
    <t>4. Owner's other capitals</t>
  </si>
  <si>
    <t>5. Treasury shares</t>
  </si>
  <si>
    <t>6. Difference upon assets revaluation</t>
  </si>
  <si>
    <t>7. Foreign exchange differences</t>
  </si>
  <si>
    <t>8. Investment and development funds</t>
  </si>
  <si>
    <t>9. Enterprise arrangement fund</t>
  </si>
  <si>
    <t>10. Financial researve funds</t>
  </si>
  <si>
    <t>11. Other funds</t>
  </si>
  <si>
    <t>12. Undistributed earnings</t>
  </si>
  <si>
    <t>a. Beginning accumulated undistributed earnings</t>
  </si>
  <si>
    <t>b. Current period undistributed earnings</t>
  </si>
  <si>
    <t>13. Minority interests</t>
  </si>
  <si>
    <t>II. Budget sources and other funds</t>
  </si>
  <si>
    <t>III. Bonus and welfare funds (Before 2010)</t>
  </si>
  <si>
    <t>1. Budget sources and other funds</t>
  </si>
  <si>
    <t>2. Funds used for fixed asset acquisitions</t>
  </si>
  <si>
    <t>IV. Minority Interest</t>
  </si>
  <si>
    <t>Operating Expenses</t>
  </si>
  <si>
    <t>Other Profit/Loss</t>
  </si>
  <si>
    <t>Expenses</t>
  </si>
  <si>
    <t>Money</t>
  </si>
  <si>
    <t>Sum of Money</t>
  </si>
  <si>
    <t>Expense</t>
  </si>
  <si>
    <t>1.Sales</t>
  </si>
  <si>
    <t>2.Sales deductions</t>
  </si>
  <si>
    <t>3.Net sales</t>
  </si>
  <si>
    <t>4.Cost of sales</t>
  </si>
  <si>
    <t>5.Gross Profit (EBITDA)</t>
  </si>
  <si>
    <t>6.Financial income</t>
  </si>
  <si>
    <t>8.Gain/(loss) from joint ventures</t>
  </si>
  <si>
    <t>9.Selling expenses</t>
  </si>
  <si>
    <t>10.General and admin expenses</t>
  </si>
  <si>
    <t xml:space="preserve">11.Operating profit/(loss) </t>
  </si>
  <si>
    <t>12.Other incomes</t>
  </si>
  <si>
    <t>13.Other expenses</t>
  </si>
  <si>
    <t>14.Net other income/(expenses)</t>
  </si>
  <si>
    <t xml:space="preserve">15.Net accounting profit/(loss) before tax </t>
  </si>
  <si>
    <t>16.Corporate income tax - current</t>
  </si>
  <si>
    <t>17.Corporate income tax - deferred</t>
  </si>
  <si>
    <t>18.Corporate income tax expenses</t>
  </si>
  <si>
    <t xml:space="preserve">19.Net profit/(loss) after tax </t>
  </si>
  <si>
    <t>20.Minority interest</t>
  </si>
  <si>
    <t>21.Attributable to parent company</t>
  </si>
  <si>
    <t>22.Earning per share</t>
  </si>
  <si>
    <t>23.Earning per share diluted</t>
  </si>
  <si>
    <t>ARTICLE</t>
  </si>
  <si>
    <t>I. CASH FLOWS FROM OPERATING ACTIVITIES</t>
  </si>
  <si>
    <t>Increase/ Decrease in Receivables</t>
  </si>
  <si>
    <t>Increase/ Decrease in Inventories</t>
  </si>
  <si>
    <t>Increase/ Decrease in Payables</t>
  </si>
  <si>
    <t>Increase/ Decrease in Prepaid expenses</t>
  </si>
  <si>
    <t>Increase/ Decrease in Trading securities</t>
  </si>
  <si>
    <t>Other cash inflows from operating activities</t>
  </si>
  <si>
    <t>Other cash outflows from operating activities</t>
  </si>
  <si>
    <t>Net cash flows from operating activities</t>
  </si>
  <si>
    <t>II. CASH FLOWS FROM INVESTING ACTIVITIES</t>
  </si>
  <si>
    <t>Net cash flows from investing activities</t>
  </si>
  <si>
    <t>III. CASH FLOWS FROM FINANCING ACTIVITIES</t>
  </si>
  <si>
    <t>Drawdown of borrowings</t>
  </si>
  <si>
    <t>Dividends paid to equity holders</t>
  </si>
  <si>
    <t>IV. SUMMARY</t>
  </si>
  <si>
    <t>Cash and cash equivalents at the beginning of fiscal year</t>
  </si>
  <si>
    <t>Impact of exchange rate fluctuation</t>
  </si>
  <si>
    <t>Cash and cash equivalents at the end of fiscal year</t>
  </si>
  <si>
    <t>CASH FLOW STATEMENT SUMMARY</t>
  </si>
  <si>
    <t>Net cash flows from Operating activities (CFO)</t>
  </si>
  <si>
    <t>Net cash flows from Investing activities (CFI)</t>
  </si>
  <si>
    <t>Net cash flows from Financing activities (CFF)</t>
  </si>
  <si>
    <t>NET CASH</t>
  </si>
  <si>
    <t>Current ratio</t>
  </si>
  <si>
    <t>Quick Ratio</t>
  </si>
  <si>
    <t>Inventory turnover ratio</t>
  </si>
  <si>
    <t>Days Sales Outstanding</t>
  </si>
  <si>
    <t>Total Asset Turnover</t>
  </si>
  <si>
    <t>Fixed Asset Turnover</t>
  </si>
  <si>
    <t>Dept/Equity</t>
  </si>
  <si>
    <t>TIE Ratio</t>
  </si>
  <si>
    <t>Gross Profit Margin (%)</t>
  </si>
  <si>
    <t>EBIT Margin (%)</t>
  </si>
  <si>
    <t>Net Profit Margin (%)</t>
  </si>
  <si>
    <t>ROA(%)</t>
  </si>
  <si>
    <t>ROE(%)</t>
  </si>
  <si>
    <t>ROIC (%)</t>
  </si>
  <si>
    <t>BEP Ratio</t>
  </si>
  <si>
    <t>P/E</t>
  </si>
  <si>
    <t>P/B</t>
  </si>
  <si>
    <t>EV/EBITDA</t>
  </si>
  <si>
    <t>Financial Ratio</t>
  </si>
  <si>
    <t>Ratio</t>
  </si>
  <si>
    <t>Liquidity Ratio</t>
  </si>
  <si>
    <t>Debt Management Ratio</t>
  </si>
  <si>
    <t>Profitability Ratio</t>
  </si>
  <si>
    <t>Market Value Ratio</t>
  </si>
  <si>
    <t>FREE CASH FLOW CALCULATION</t>
  </si>
  <si>
    <t>Tax expenses</t>
  </si>
  <si>
    <t>Depreciation</t>
  </si>
  <si>
    <t>NOWC</t>
  </si>
  <si>
    <r>
      <rPr>
        <sz val="18"/>
        <color theme="1"/>
        <rFont val="Symbol"/>
        <charset val="2"/>
      </rPr>
      <t>D</t>
    </r>
    <r>
      <rPr>
        <sz val="18"/>
        <color theme="1"/>
        <rFont val="Arial"/>
        <family val="2"/>
        <scheme val="minor"/>
      </rPr>
      <t>NOWC</t>
    </r>
  </si>
  <si>
    <t>FCF</t>
  </si>
  <si>
    <t>OCF</t>
  </si>
  <si>
    <t>CHANGE IN INVESTMENT</t>
  </si>
  <si>
    <r>
      <rPr>
        <sz val="18"/>
        <color theme="1"/>
        <rFont val="Symbol"/>
        <charset val="2"/>
      </rPr>
      <t>D</t>
    </r>
    <r>
      <rPr>
        <sz val="18"/>
        <color theme="1"/>
        <rFont val="Arial (Headings)"/>
      </rPr>
      <t>FA</t>
    </r>
  </si>
  <si>
    <t>HOA PHAT CORPORATION - HPG GROUP</t>
  </si>
  <si>
    <t>BENCHMARKING</t>
  </si>
  <si>
    <t>RATIO</t>
  </si>
  <si>
    <t>Industry Average 2020</t>
  </si>
  <si>
    <t>Comment on 2020</t>
  </si>
  <si>
    <t>Industry Average 2021</t>
  </si>
  <si>
    <t>Comment on 2021</t>
  </si>
  <si>
    <t>Industry Average 2022</t>
  </si>
  <si>
    <t>Comment on 2022</t>
  </si>
  <si>
    <t>LIQUIDITY RATIOS</t>
  </si>
  <si>
    <t>Current Ratio</t>
  </si>
  <si>
    <t>ok</t>
  </si>
  <si>
    <t>low</t>
  </si>
  <si>
    <t>ASSET MANAGEMENT RATIOS</t>
  </si>
  <si>
    <t>Inventory Turnover</t>
  </si>
  <si>
    <t>-</t>
  </si>
  <si>
    <t>Days Inventory Outstanding</t>
  </si>
  <si>
    <t>Days Sale Outstanding</t>
  </si>
  <si>
    <t>good</t>
  </si>
  <si>
    <t>DEBT MANAGEMENT RATIOS</t>
  </si>
  <si>
    <t>Total debt/Total capital</t>
  </si>
  <si>
    <t>Time-Interest-Earned (TIE)</t>
  </si>
  <si>
    <t>PROFITABILITY RATIOS</t>
  </si>
  <si>
    <t>high</t>
  </si>
  <si>
    <t>Operating Margin (%)</t>
  </si>
  <si>
    <t>ROE (%)</t>
  </si>
  <si>
    <t>ROA (%)</t>
  </si>
  <si>
    <t>Basic Earning Power (BEP)</t>
  </si>
  <si>
    <t>MARKET VALUE RATIOS</t>
  </si>
  <si>
    <t>poor</t>
  </si>
  <si>
    <t>HPG</t>
  </si>
  <si>
    <t>Asset Manageent Ratio</t>
  </si>
  <si>
    <t>Asset Management Ratio</t>
  </si>
  <si>
    <t>Type of Ratio</t>
  </si>
  <si>
    <t>Market Average</t>
  </si>
  <si>
    <t>MVA</t>
  </si>
  <si>
    <t>MVA CALCULATION</t>
  </si>
  <si>
    <t>Price per share</t>
  </si>
  <si>
    <t>Common shares outstanding</t>
  </si>
  <si>
    <t>BVPS (VND)</t>
  </si>
  <si>
    <t>EVA CALCULATION</t>
  </si>
  <si>
    <t>NOPAT</t>
  </si>
  <si>
    <t>Capital Invested</t>
  </si>
  <si>
    <t>EVA</t>
  </si>
  <si>
    <t>7.Financial expenses</t>
  </si>
  <si>
    <t>DUPONT EQUATION</t>
  </si>
  <si>
    <t>Market</t>
  </si>
  <si>
    <t>Element</t>
  </si>
  <si>
    <t>ROE</t>
  </si>
  <si>
    <t>Equity Multiplier</t>
  </si>
  <si>
    <t>Net Profit Margin</t>
  </si>
  <si>
    <t>Hòa phát</t>
  </si>
  <si>
    <t>Hoa sen</t>
  </si>
  <si>
    <t>Vnidex</t>
  </si>
  <si>
    <t>Date</t>
  </si>
  <si>
    <t>Last</t>
  </si>
  <si>
    <t>% Change</t>
  </si>
  <si>
    <t>rHPG</t>
  </si>
  <si>
    <t>rM</t>
  </si>
  <si>
    <t>Beta</t>
  </si>
  <si>
    <t>rHSG</t>
  </si>
  <si>
    <t>Sum of HPG</t>
  </si>
  <si>
    <t>Sum of Market</t>
  </si>
  <si>
    <t>Company</t>
  </si>
  <si>
    <t>Value</t>
  </si>
  <si>
    <t>Sum of Value</t>
  </si>
  <si>
    <t>Hoa Phat Group Joint Stock Company</t>
  </si>
  <si>
    <t>Legal name</t>
  </si>
  <si>
    <t>Abbreviation</t>
  </si>
  <si>
    <t>Stock code</t>
  </si>
  <si>
    <t>HOSE: HPG</t>
  </si>
  <si>
    <t>Authorized capital</t>
  </si>
  <si>
    <t>58,147,857,000,000 VND</t>
  </si>
  <si>
    <t>Founded year</t>
  </si>
  <si>
    <t>Chairman of the Board of Directors</t>
  </si>
  <si>
    <t>Mr. Chan Dinh Long</t>
  </si>
  <si>
    <t>Headquaters</t>
  </si>
  <si>
    <t>66 Nguyễn Du - Hai Bà Trưng - Hà Nội</t>
  </si>
  <si>
    <t>Field</t>
  </si>
  <si>
    <t xml:space="preserve">Iron and steel </t>
  </si>
  <si>
    <t xml:space="preserve">Steel products </t>
  </si>
  <si>
    <t>Agriculture</t>
  </si>
  <si>
    <t xml:space="preserve">Real estate </t>
  </si>
  <si>
    <t>Home appliances</t>
  </si>
  <si>
    <t>Phone number</t>
  </si>
  <si>
    <t>024.628.48.666</t>
  </si>
  <si>
    <t>Fax</t>
  </si>
  <si>
    <t>024.628.48.456</t>
  </si>
  <si>
    <t>Website</t>
  </si>
  <si>
    <t>http://www.hoaphat.com.vn/</t>
  </si>
  <si>
    <t>Overview of Hoa Phat Group</t>
  </si>
  <si>
    <t>1. About HPG</t>
  </si>
  <si>
    <t>Hoa Phat is the leading industrial manufacturing group in Vietnam. Originating as a construction machine and equipment trading company in August 1992, Hoa Phat has gradually expanded its business to trading and production of Furniture, Steel Pipe, Steel, Refrigeration, Real Estate and Agriculture. Since November 15, 2007, Hoa Phat has been officially listed on the Stock Exchange under the stock ticker symbol ‘HPG’. Currently, the Group operates in 05 sectors: Iron and steel (construction steel, hot rolled coil) - Steel products (including steel pipes, galvanized steel, drawn steel wire, prestressed steel) - Agriculture - Real estate – Home appliances. Steel production is the core, accounting for 90% revenue and profit of the Group. With the capacity of 8.5 million tons of crude steel per year, Hoa Phat is the largest steel producer in the Southeast Asia.
Hoa Phat Group holds the No. 1 market share in Vietnam for construction steel, steel pipes; Top 5 of steel sheet. Currently, Hoa Phat is ranked as the Top 5 largest private enterprises in Vietnam, Top 50 most effective listed enterprises, Top 30 largest contributions to the State Budget, Top 3 enterprises of the largest charter capital in the stock market, Top 10 stocks with largest market capitalization in Vietnam stock market.
With the business philosophy of "Harmony for joint development", Hoa Phat spends hundreds of VND billions every year to fulfil its corporate social responsibilities to the community.</t>
  </si>
  <si>
    <t>2. Mission</t>
  </si>
  <si>
    <t>To become an industrial manufacturer with top quality in the core area of steel.</t>
  </si>
  <si>
    <t>3. Vision</t>
  </si>
  <si>
    <t>To provide leading products, contribute to improved life quality and gain customers’ trust.</t>
  </si>
  <si>
    <t>4. Position</t>
  </si>
  <si>
    <t>Hoa Phat – Vietnamese brand, global standard.</t>
  </si>
  <si>
    <t>5. Core values</t>
  </si>
  <si>
    <t>The core value of Hoa Phat Group is the philosophy of Harmony for Joint Development. This is reflected in the relationship among the employees, between the Group and its partners, agents, shareholders and the social community, ensuring the harmony of interests of stakeholders on the same boat, towards sustainable development. Especially, Hoa Phat Group has built a long-term, sustainable and trusting partnership with the sales agents who have been with the Group since the beginning of its establishment.</t>
  </si>
  <si>
    <t>6. Main bussiness lines</t>
  </si>
  <si>
    <t>1.Managing the entire iron and steel production and supporting activities of the Group. With the modern steel refining technologies from iron ore, Hoa Phat Steel meets all the most stringent standards both of Vietnam and the world with high and stable quality, diversified types and grades of steel.
2.Investing in deep processing for its products in the steel production chain from upstream, contributing to replace imported goods with strategic products such as prestressed steel, drawn steel wire, and concrete pile flange. 
3.Involving in high-tech and biosafe agriculture since mid-2015 with the production of animal feed, pig breeding, cow breeding and poultry farming. 
4.Manage all investment, production and sales activities of refrigeration and home appliances with the mission of bringing consumers the best quality refrigeration and home appliance products, improving life quality for every Vietnamese family.</t>
  </si>
  <si>
    <t>History of formation and Development of HPG</t>
  </si>
  <si>
    <t xml:space="preserve">Established Hoa Phat Equipment and Accessories Co., Ltd. </t>
  </si>
  <si>
    <t>1995 - 2007</t>
  </si>
  <si>
    <t>Building forces - Determining direction</t>
  </si>
  <si>
    <t>2007-2012</t>
  </si>
  <si>
    <t>Management improvement - Strengthening potential</t>
  </si>
  <si>
    <t>Hoa Phat turned to 20 years of establishment and development, received the Third Class Labor Medal of the President</t>
  </si>
  <si>
    <t>2012 - 2017</t>
  </si>
  <si>
    <t>Perfecting the organization -  Expanding the market</t>
  </si>
  <si>
    <t>This is a very special milestone because Hoa Phat Group officially completed 25 years of construction and development. Hoa Phat has become the leading industrial manufacturing corporation in Vietnam, a brand that has captured the hearts of millions of people. Affirming its stature with many important marks. Hoa Phat has become one of the 7 largest private enterprises in Vietnam, Top 50 most effective enterprises in Vietnam, National Brand since 2012, Top 40 largest tax paying enterprises in the country and many certificates. , other prestigious awards</t>
  </si>
  <si>
    <t>2017 - 2022</t>
  </si>
  <si>
    <t>Strengthening synergies - conquering the peak</t>
  </si>
  <si>
    <t>Celebrating 30 years of establishment of Hoa Phat Group. Hoa Phat Group was ranked No. 1 for the first time in the Top 10 largest private enterprises in Vietnam and ranked 5th in the Top 10 largest enterprises in Vietnam in 2022. The Group was voted National Brand for the 6th consecutive time, Top 50 Most Effective Business Enterprises in Vietnam for 10 consecutive years</t>
  </si>
  <si>
    <t>2022 - 2024</t>
  </si>
  <si>
    <t>Internal standard compliance - Brand positioning</t>
  </si>
  <si>
    <t>HPG's services products and services</t>
  </si>
  <si>
    <t>Currently, the Group operates in 05 sectors: Iron and steel (construction steel, hot rolled coil) - Steel products (including steel pipes, galvanized steel, drawn steel wire, prestressed steel) - Agriculture - Real estate – Home appliances. Steel production is the core, accounting for 90% revenue and profit of the Group. With the capacity of 8.5 million tons of crude steel per year, Hoa Phat is the largest steel producer in the Southeast Asia. 
Hoa Phat’s foundation is consolidated by a system of 30 modern, well-operated factories, complexes and farms and 30,000 professional employees to master technology and focus on research and development of high quality product lines. Hoa Phat also owns a variety of consumption markets, contributing to achieve foreign currency revenue and balance Vietnam’s trade balance. Export revenue in 2022 reached more than VND 31,600 billion, accounting for 22% of the Group’s total revenue. The export market is very diverse with nearly 30 countries and territories across 5 continents.</t>
  </si>
  <si>
    <t xml:space="preserve">Hoa Phat Group (HPG) has several subsidary companies in its bussiness network. Here is the list of some of them: </t>
  </si>
  <si>
    <t>Iron &amp; Steel</t>
  </si>
  <si>
    <t>1. Hoa Phat Hung Yen Steel Co., Ltd
2. Hoa Phat Hai Duong Steel JSC
3. Hoa Phat Dung Quat Steel JSC</t>
  </si>
  <si>
    <t>Steel Products</t>
  </si>
  <si>
    <t>1. Hoa Phat Steel Pipe Co., Ltd
2. Hoa Phat Steel Sheet Co., Ltd
3. Hoa Phat Metal Producing Co., Ltd</t>
  </si>
  <si>
    <t>1. Hoa Phat Hung Yen Feeds Co., Ltd
2. Hoa Phat Trading Co., Ltd
3. Hoa Phat Poultry Co., Ltd
4. Hoa Phat Development of Livestock JSC</t>
  </si>
  <si>
    <t>Real Estate</t>
  </si>
  <si>
    <t>1. Hoa Phat Urban Development and Construction JSC,
2. Hoa Phat Sai Gon Real Estate Development JSC
3.  Phat Ha Noi Real Estate Development JSC</t>
  </si>
  <si>
    <t>Home Applicances</t>
  </si>
  <si>
    <t>1. Hoa Phat Refrigeration Engineering Co., Ltd
2. Hoa Phat Ha Nam Home Appliances JSC
3. Hoa Phat Phu My Refrigeration Engineering JSC</t>
  </si>
  <si>
    <t>HPG's Organization stucture</t>
  </si>
  <si>
    <t>1. Chairman: Mr. Tran Dinh Long
2. Vice Presidents: Mr. Tran Tuan Duong, Mr. Nguyen Manh Tuan and Mr.  Gia Cuong
3. The remaining 3 members of the Board of Directors include: Mr. Hoang Quang Viet, Mr. Nguyen Viet Thang and Mr. Nguyen Ngoc Quang 
4. General Director: Mr. Nguyen Viet Thang
5. Deputy General Director: Ms. Nguyen Thi Thao Nguyen
6. Chief Financial Officer: Ms. Pham Thi Kim Oanh
7. Chief Accountant: Ms. Pham Thi Kim Oanh
8. Head of the Supervisory Board: Ms. Bui Thi Hai Van</t>
  </si>
  <si>
    <t>HPG's SWOT</t>
  </si>
  <si>
    <t>Opportunities</t>
  </si>
  <si>
    <t>Threats</t>
  </si>
  <si>
    <t>1. Located in Dung Quat Economic Zone with a special strategic location
2. Vietnam's political economy is relatively stable and developed.
3. Vietnam strengthens international economic integration, removing threatening trade barriers
4. Increase transparency in production business activities
5. Develop internet, logistics and e-commerce infrastructure, reducing tariff impacts</t>
  </si>
  <si>
    <t>1. Exchange rate fluctuations
2. The level of competition with competitors is still high
3. The company's environmental protection issue is still controversial
4. Cheap steel products from China distort the market</t>
  </si>
  <si>
    <t>Strenght</t>
  </si>
  <si>
    <t>Weak</t>
  </si>
  <si>
    <t>1. Optimized equipment infrastructure and production technology
2. Diverse, high quality, competitive products
3. Professional production and business management process system
4. Exclusive and diverse raw material sources
5. Strong finances and not stormy market6. Use capital effectively for production
7. Good, dynamic and highly knowledgeable human resources
8. The marketing mix system is synchronized.
9. Modern, proactive and creative company culture</t>
  </si>
  <si>
    <t>1. Still depends on the price of input materials and the price of finished steel products in the world
2. Too large production capacity poses the risk of oversupply in the short term.
3. Hoa Phat Dung Quat's HRC hot rolled steel coil products are new to the market and need to improve their quality, image and position in the hearts of consumers.</t>
  </si>
  <si>
    <t>HORIZONTAL ANALYSIS</t>
  </si>
  <si>
    <t>VERTICAL ANALYIS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</si>
</sst>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_(* \(#,##0\);_(* &quot;-&quot;_);_(@_)"/>
    <numFmt numFmtId="43" formatCode="_(* #,##0.00_);_(* \(#,##0.00\);_(* &quot;-&quot;??_);_(@_)"/>
    <numFmt numFmtId="164" formatCode="#,##0.0\ \T"/>
    <numFmt numFmtId="165" formatCode="0.0%"/>
    <numFmt numFmtId="166" formatCode="_(* #,##0_);_(* \(#,##0\);_(* &quot;-&quot;??_);_(@_)"/>
    <numFmt numFmtId="167" formatCode="_(* #,##0.0_);_(* \(#,##0.0\);_(* &quot;-&quot;??_);_(@_)"/>
    <numFmt numFmtId="168" formatCode="General;\-General;;"/>
    <numFmt numFmtId="169" formatCode="#,##0.0"/>
    <numFmt numFmtId="170" formatCode="#,##0;\(#,##0\)"/>
    <numFmt numFmtId="171" formatCode="0.0"/>
    <numFmt numFmtId="172" formatCode="_(* #,##0%_);_(* \(#,##0%\);_(* &quot;-&quot;??_);_(@_)"/>
  </numFmts>
  <fonts count="77" x14ac:knownFonts="1">
    <font>
      <sz val="11"/>
      <color theme="1"/>
      <name val="Arial"/>
      <family val="2"/>
      <scheme val="minor"/>
    </font>
    <font>
      <sz val="11"/>
      <color theme="1"/>
      <name val="Arial"/>
      <family val="2"/>
      <scheme val="minor"/>
    </font>
    <font>
      <sz val="8"/>
      <color theme="1"/>
      <name val="Trebuchet MS"/>
      <family val="2"/>
    </font>
    <font>
      <b/>
      <sz val="11"/>
      <color rgb="FFFFFFFF"/>
      <name val="Calibri"/>
      <family val="2"/>
    </font>
    <font>
      <sz val="8"/>
      <color theme="0" tint="-0.499984740745262"/>
      <name val="Trebuchet MS"/>
      <family val="2"/>
    </font>
    <font>
      <b/>
      <sz val="12"/>
      <color rgb="FF1F497D"/>
      <name val="Times New Roman"/>
      <family val="1"/>
    </font>
    <font>
      <sz val="12"/>
      <color rgb="FF1F497D"/>
      <name val="Times New Roman"/>
      <family val="1"/>
    </font>
    <font>
      <u/>
      <sz val="11"/>
      <color rgb="FF0000FF"/>
      <name val="Calibri"/>
      <family val="2"/>
    </font>
    <font>
      <sz val="11"/>
      <color rgb="FF1F497D"/>
      <name val="Times New Roman"/>
      <family val="1"/>
    </font>
    <font>
      <sz val="11"/>
      <color theme="1"/>
      <name val="Trebuchet MS"/>
      <family val="2"/>
    </font>
    <font>
      <u/>
      <sz val="11"/>
      <color theme="10"/>
      <name val="Arial"/>
      <family val="2"/>
      <scheme val="minor"/>
    </font>
    <font>
      <b/>
      <sz val="12"/>
      <color rgb="FF1F497D"/>
      <name val="Arial"/>
      <family val="2"/>
    </font>
    <font>
      <u/>
      <sz val="11"/>
      <color theme="10"/>
      <name val="Arial"/>
      <family val="2"/>
    </font>
    <font>
      <b/>
      <sz val="8"/>
      <color rgb="FFFFFFFF"/>
      <name val="Trebuchet MS"/>
      <family val="2"/>
    </font>
    <font>
      <i/>
      <sz val="8"/>
      <color theme="1"/>
      <name val="Trebuchet MS"/>
      <family val="2"/>
    </font>
    <font>
      <b/>
      <sz val="8"/>
      <color theme="4" tint="-0.249977111117893"/>
      <name val="Trebuchet MS"/>
      <family val="2"/>
    </font>
    <font>
      <sz val="8"/>
      <color theme="4" tint="-0.249977111117893"/>
      <name val="Trebuchet MS"/>
      <family val="2"/>
    </font>
    <font>
      <sz val="10"/>
      <color theme="1"/>
      <name val="Arial"/>
      <family val="2"/>
    </font>
    <font>
      <b/>
      <sz val="10"/>
      <color theme="4" tint="-0.249977111117893"/>
      <name val="Arial"/>
      <family val="2"/>
    </font>
    <font>
      <sz val="10"/>
      <color theme="4" tint="-0.249977111117893"/>
      <name val="Arial"/>
      <family val="2"/>
    </font>
    <font>
      <sz val="11"/>
      <color theme="1"/>
      <name val="Arial"/>
      <family val="2"/>
    </font>
    <font>
      <b/>
      <sz val="11"/>
      <color theme="4" tint="-0.249977111117893"/>
      <name val="Arial"/>
      <family val="2"/>
      <scheme val="minor"/>
    </font>
    <font>
      <sz val="8"/>
      <color rgb="FF000000"/>
      <name val="Trebuchet MS"/>
      <family val="2"/>
    </font>
    <font>
      <sz val="10"/>
      <color theme="1"/>
      <name val="Arial"/>
      <family val="2"/>
      <scheme val="minor"/>
    </font>
    <font>
      <b/>
      <sz val="10"/>
      <color theme="1"/>
      <name val="Arial"/>
      <family val="2"/>
      <scheme val="minor"/>
    </font>
    <font>
      <sz val="11"/>
      <color rgb="FF305496"/>
      <name val="Arial"/>
      <family val="2"/>
      <scheme val="minor"/>
    </font>
    <font>
      <b/>
      <sz val="10"/>
      <color rgb="FF000000"/>
      <name val="Calibri"/>
      <family val="2"/>
    </font>
    <font>
      <sz val="10"/>
      <color rgb="FF000000"/>
      <name val="Calibri"/>
      <family val="2"/>
    </font>
    <font>
      <sz val="8"/>
      <color rgb="FF000000"/>
      <name val="Segoe UI"/>
      <charset val="1"/>
    </font>
    <font>
      <b/>
      <u/>
      <sz val="10"/>
      <color rgb="FF000000"/>
      <name val="Calibri"/>
      <family val="2"/>
    </font>
    <font>
      <b/>
      <sz val="15"/>
      <color theme="3"/>
      <name val="Arial"/>
      <family val="2"/>
      <scheme val="minor"/>
    </font>
    <font>
      <b/>
      <sz val="22"/>
      <color rgb="FFFFFFFF"/>
      <name val="Arial"/>
      <family val="2"/>
      <scheme val="minor"/>
    </font>
    <font>
      <sz val="22"/>
      <color theme="1"/>
      <name val="Arial"/>
      <family val="2"/>
      <scheme val="minor"/>
    </font>
    <font>
      <b/>
      <sz val="48"/>
      <color theme="0"/>
      <name val="Times New Roman"/>
      <family val="1"/>
    </font>
    <font>
      <b/>
      <sz val="18"/>
      <color rgb="FFFFFFFF"/>
      <name val="Arial"/>
      <family val="2"/>
      <scheme val="minor"/>
    </font>
    <font>
      <b/>
      <sz val="18"/>
      <color theme="0"/>
      <name val="Arial"/>
      <family val="2"/>
      <scheme val="minor"/>
    </font>
    <font>
      <b/>
      <sz val="18"/>
      <color theme="1"/>
      <name val="Arial"/>
      <family val="2"/>
      <scheme val="minor"/>
    </font>
    <font>
      <sz val="18"/>
      <color theme="1"/>
      <name val="Arial"/>
      <family val="2"/>
      <scheme val="minor"/>
    </font>
    <font>
      <sz val="18"/>
      <color theme="0" tint="-0.499984740745262"/>
      <name val="Arial"/>
      <family val="2"/>
      <scheme val="minor"/>
    </font>
    <font>
      <sz val="18"/>
      <color theme="0"/>
      <name val="Arial"/>
      <family val="2"/>
      <scheme val="minor"/>
    </font>
    <font>
      <i/>
      <sz val="18"/>
      <color theme="1"/>
      <name val="Arial"/>
      <family val="2"/>
      <scheme val="minor"/>
    </font>
    <font>
      <i/>
      <sz val="18"/>
      <name val="Arial"/>
      <family val="2"/>
      <scheme val="minor"/>
    </font>
    <font>
      <sz val="10"/>
      <color rgb="FF000000"/>
      <name val="Arial"/>
      <family val="2"/>
    </font>
    <font>
      <sz val="18"/>
      <color theme="1"/>
      <name val="Arial"/>
      <family val="2"/>
      <scheme val="major"/>
    </font>
    <font>
      <b/>
      <sz val="18"/>
      <color rgb="FFFFFFFF"/>
      <name val="Arial"/>
      <family val="2"/>
      <scheme val="major"/>
    </font>
    <font>
      <b/>
      <sz val="18"/>
      <color theme="0"/>
      <name val="Arial"/>
      <family val="2"/>
      <scheme val="major"/>
    </font>
    <font>
      <sz val="18"/>
      <color rgb="FF000000"/>
      <name val="Arial"/>
      <family val="2"/>
      <scheme val="major"/>
    </font>
    <font>
      <i/>
      <sz val="18"/>
      <color theme="1"/>
      <name val="Arial"/>
      <family val="2"/>
      <scheme val="major"/>
    </font>
    <font>
      <b/>
      <sz val="18"/>
      <color theme="0"/>
      <name val="Arial (Headings)"/>
    </font>
    <font>
      <sz val="18"/>
      <color theme="1"/>
      <name val="Arial (Headings)"/>
    </font>
    <font>
      <sz val="18"/>
      <color theme="1"/>
      <name val="Symbol"/>
      <charset val="2"/>
    </font>
    <font>
      <sz val="18"/>
      <color theme="1"/>
      <name val="Arial"/>
      <family val="2"/>
      <charset val="2"/>
    </font>
    <font>
      <sz val="18"/>
      <color theme="1"/>
      <name val="Arial"/>
      <family val="2"/>
      <charset val="2"/>
      <scheme val="minor"/>
    </font>
    <font>
      <i/>
      <sz val="8"/>
      <color rgb="FF000000"/>
      <name val="Trebuchet MS"/>
      <family val="2"/>
    </font>
    <font>
      <sz val="18"/>
      <color theme="10"/>
      <name val="Arial"/>
      <family val="2"/>
      <scheme val="minor"/>
    </font>
    <font>
      <b/>
      <sz val="12"/>
      <color theme="4" tint="-0.499984740745262"/>
      <name val="Arial"/>
      <family val="2"/>
    </font>
    <font>
      <b/>
      <sz val="12"/>
      <color theme="1"/>
      <name val="Arial"/>
      <family val="2"/>
    </font>
    <font>
      <sz val="12"/>
      <color theme="1"/>
      <name val="Arial"/>
      <family val="2"/>
    </font>
    <font>
      <b/>
      <sz val="14"/>
      <color rgb="FFFFFFFF"/>
      <name val="Arial"/>
      <family val="2"/>
      <scheme val="minor"/>
    </font>
    <font>
      <sz val="14"/>
      <color theme="1"/>
      <name val="Arial"/>
      <family val="2"/>
      <scheme val="minor"/>
    </font>
    <font>
      <i/>
      <sz val="14"/>
      <color theme="1"/>
      <name val="Arial"/>
      <family val="2"/>
      <scheme val="minor"/>
    </font>
    <font>
      <b/>
      <sz val="12"/>
      <color theme="0"/>
      <name val="Arial"/>
      <family val="2"/>
    </font>
    <font>
      <sz val="11"/>
      <color theme="1"/>
      <name val="Calibri"/>
      <family val="2"/>
    </font>
    <font>
      <sz val="12"/>
      <color theme="1"/>
      <name val="Arial"/>
      <family val="2"/>
      <scheme val="major"/>
    </font>
    <font>
      <b/>
      <sz val="12"/>
      <color theme="0"/>
      <name val="Arial"/>
      <family val="2"/>
      <scheme val="major"/>
    </font>
    <font>
      <b/>
      <sz val="13"/>
      <color rgb="FFF3F3F3"/>
      <name val="Arial"/>
      <family val="2"/>
      <scheme val="minor"/>
    </font>
    <font>
      <sz val="13"/>
      <color theme="1"/>
      <name val="Arial"/>
      <family val="2"/>
      <scheme val="minor"/>
    </font>
    <font>
      <sz val="13"/>
      <color theme="1"/>
      <name val="Calibri"/>
      <family val="2"/>
    </font>
    <font>
      <sz val="11"/>
      <color rgb="FFA8B6DC"/>
      <name val="Arial"/>
      <family val="2"/>
      <scheme val="minor"/>
    </font>
    <font>
      <b/>
      <sz val="13"/>
      <color theme="1"/>
      <name val="Arial"/>
      <family val="2"/>
      <scheme val="minor"/>
    </font>
    <font>
      <b/>
      <sz val="11"/>
      <name val="Calibri"/>
      <family val="2"/>
    </font>
    <font>
      <sz val="36"/>
      <color theme="0"/>
      <name val="Times New Roman"/>
      <family val="1"/>
    </font>
    <font>
      <b/>
      <sz val="13"/>
      <color theme="1"/>
      <name val="Times New Roman"/>
      <family val="1"/>
    </font>
    <font>
      <sz val="13"/>
      <color theme="1"/>
      <name val="Times New Roman"/>
      <family val="1"/>
    </font>
    <font>
      <sz val="26"/>
      <color theme="0"/>
      <name val="Times New Roman"/>
      <family val="1"/>
    </font>
    <font>
      <b/>
      <sz val="13"/>
      <color theme="0"/>
      <name val="Times New Roman"/>
      <family val="1"/>
    </font>
    <font>
      <b/>
      <sz val="14"/>
      <color theme="0"/>
      <name val="Times New Roman"/>
      <family val="1"/>
    </font>
  </fonts>
  <fills count="23">
    <fill>
      <patternFill patternType="none"/>
    </fill>
    <fill>
      <patternFill patternType="gray125"/>
    </fill>
    <fill>
      <patternFill patternType="solid">
        <fgColor theme="0"/>
        <bgColor indexed="64"/>
      </patternFill>
    </fill>
    <fill>
      <patternFill patternType="solid">
        <fgColor rgb="FF0070C0"/>
        <bgColor rgb="FF0070C0"/>
      </patternFill>
    </fill>
    <fill>
      <patternFill patternType="solid">
        <fgColor rgb="FF0070C0"/>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D9E1F2"/>
        <bgColor rgb="FFD9E1F2"/>
      </patternFill>
    </fill>
    <fill>
      <patternFill patternType="solid">
        <fgColor rgb="FF002060"/>
        <bgColor rgb="FF0070C0"/>
      </patternFill>
    </fill>
    <fill>
      <patternFill patternType="solid">
        <fgColor theme="4" tint="-0.249977111117893"/>
        <bgColor indexed="64"/>
      </patternFill>
    </fill>
    <fill>
      <patternFill patternType="solid">
        <fgColor rgb="FF002060"/>
        <bgColor indexed="64"/>
      </patternFill>
    </fill>
    <fill>
      <patternFill patternType="solid">
        <fgColor theme="4" tint="0.59999389629810485"/>
        <bgColor indexed="64"/>
      </patternFill>
    </fill>
    <fill>
      <patternFill patternType="solid">
        <fgColor theme="4" tint="-0.249977111117893"/>
        <bgColor rgb="FFD9EAD3"/>
      </patternFill>
    </fill>
    <fill>
      <patternFill patternType="solid">
        <fgColor theme="4" tint="0.79998168889431442"/>
        <bgColor indexed="64"/>
      </patternFill>
    </fill>
    <fill>
      <patternFill patternType="solid">
        <fgColor theme="4" tint="-0.499984740745262"/>
        <bgColor indexed="64"/>
      </patternFill>
    </fill>
    <fill>
      <patternFill patternType="solid">
        <fgColor theme="4" tint="-0.499984740745262"/>
        <bgColor rgb="FF0070C0"/>
      </patternFill>
    </fill>
    <fill>
      <patternFill patternType="solid">
        <fgColor theme="0"/>
        <bgColor rgb="FF0070C0"/>
      </patternFill>
    </fill>
    <fill>
      <patternFill patternType="solid">
        <fgColor theme="4" tint="0.39997558519241921"/>
        <bgColor indexed="64"/>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
      <patternFill patternType="solid">
        <fgColor theme="4" tint="-0.499984740745262"/>
        <bgColor rgb="FF0B5394"/>
      </patternFill>
    </fill>
    <fill>
      <patternFill patternType="solid">
        <fgColor theme="8" tint="-0.249977111117893"/>
        <bgColor indexed="64"/>
      </patternFill>
    </fill>
  </fills>
  <borders count="185">
    <border>
      <left/>
      <right/>
      <top/>
      <bottom/>
      <diagonal/>
    </border>
    <border>
      <left style="thin">
        <color auto="1"/>
      </left>
      <right style="thin">
        <color auto="1"/>
      </right>
      <top style="thin">
        <color auto="1"/>
      </top>
      <bottom style="thin">
        <color auto="1"/>
      </bottom>
      <diagonal/>
    </border>
    <border>
      <left/>
      <right/>
      <top style="thin">
        <color theme="4"/>
      </top>
      <bottom style="thin">
        <color theme="4"/>
      </bottom>
      <diagonal/>
    </border>
    <border>
      <left/>
      <right/>
      <top/>
      <bottom style="thin">
        <color theme="4"/>
      </bottom>
      <diagonal/>
    </border>
    <border>
      <left/>
      <right/>
      <top/>
      <bottom style="thick">
        <color theme="4"/>
      </bottom>
      <diagonal/>
    </border>
    <border>
      <left style="thin">
        <color auto="1"/>
      </left>
      <right/>
      <top style="medium">
        <color indexed="64"/>
      </top>
      <bottom/>
      <diagonal/>
    </border>
    <border>
      <left style="thin">
        <color auto="1"/>
      </left>
      <right/>
      <top/>
      <bottom/>
      <diagonal/>
    </border>
    <border>
      <left style="thin">
        <color auto="1"/>
      </left>
      <right style="thin">
        <color auto="1"/>
      </right>
      <top style="thin">
        <color auto="1"/>
      </top>
      <bottom/>
      <diagonal/>
    </border>
    <border>
      <left style="thin">
        <color auto="1"/>
      </left>
      <right style="medium">
        <color indexed="64"/>
      </right>
      <top style="thin">
        <color indexed="64"/>
      </top>
      <bottom style="thin">
        <color indexed="64"/>
      </bottom>
      <diagonal/>
    </border>
    <border>
      <left style="medium">
        <color indexed="64"/>
      </left>
      <right style="dashed">
        <color indexed="64"/>
      </right>
      <top style="thin">
        <color indexed="64"/>
      </top>
      <bottom style="double">
        <color indexed="64"/>
      </bottom>
      <diagonal/>
    </border>
    <border>
      <left style="dashed">
        <color indexed="64"/>
      </left>
      <right style="dashed">
        <color indexed="64"/>
      </right>
      <top style="thin">
        <color indexed="64"/>
      </top>
      <bottom style="double">
        <color indexed="64"/>
      </bottom>
      <diagonal/>
    </border>
    <border>
      <left style="dashed">
        <color indexed="64"/>
      </left>
      <right style="medium">
        <color indexed="64"/>
      </right>
      <top style="thin">
        <color indexed="64"/>
      </top>
      <bottom style="double">
        <color indexed="64"/>
      </bottom>
      <diagonal/>
    </border>
    <border>
      <left style="medium">
        <color indexed="64"/>
      </left>
      <right style="dashed">
        <color indexed="64"/>
      </right>
      <top/>
      <bottom style="double">
        <color indexed="64"/>
      </bottom>
      <diagonal/>
    </border>
    <border>
      <left style="dashed">
        <color indexed="64"/>
      </left>
      <right style="dashed">
        <color indexed="64"/>
      </right>
      <top/>
      <bottom style="double">
        <color indexed="64"/>
      </bottom>
      <diagonal/>
    </border>
    <border>
      <left style="dashed">
        <color indexed="64"/>
      </left>
      <right style="medium">
        <color indexed="64"/>
      </right>
      <top/>
      <bottom style="double">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style="dashed">
        <color indexed="64"/>
      </top>
      <bottom style="double">
        <color indexed="64"/>
      </bottom>
      <diagonal/>
    </border>
    <border>
      <left style="dashed">
        <color indexed="64"/>
      </left>
      <right style="dashed">
        <color indexed="64"/>
      </right>
      <top style="dashed">
        <color indexed="64"/>
      </top>
      <bottom style="double">
        <color indexed="64"/>
      </bottom>
      <diagonal/>
    </border>
    <border>
      <left style="dashed">
        <color indexed="64"/>
      </left>
      <right style="medium">
        <color indexed="64"/>
      </right>
      <top style="dashed">
        <color indexed="64"/>
      </top>
      <bottom style="double">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medium">
        <color indexed="64"/>
      </left>
      <right style="dashed">
        <color indexed="64"/>
      </right>
      <top style="double">
        <color indexed="64"/>
      </top>
      <bottom style="double">
        <color indexed="64"/>
      </bottom>
      <diagonal/>
    </border>
    <border>
      <left style="dashed">
        <color indexed="64"/>
      </left>
      <right style="dashed">
        <color indexed="64"/>
      </right>
      <top style="double">
        <color indexed="64"/>
      </top>
      <bottom style="double">
        <color indexed="64"/>
      </bottom>
      <diagonal/>
    </border>
    <border>
      <left style="dashed">
        <color indexed="64"/>
      </left>
      <right style="medium">
        <color indexed="64"/>
      </right>
      <top style="double">
        <color indexed="64"/>
      </top>
      <bottom style="double">
        <color indexed="64"/>
      </bottom>
      <diagonal/>
    </border>
    <border>
      <left style="medium">
        <color indexed="64"/>
      </left>
      <right/>
      <top style="dashed">
        <color indexed="64"/>
      </top>
      <bottom style="double">
        <color indexed="64"/>
      </bottom>
      <diagonal/>
    </border>
    <border>
      <left/>
      <right/>
      <top style="dashed">
        <color indexed="64"/>
      </top>
      <bottom style="double">
        <color indexed="64"/>
      </bottom>
      <diagonal/>
    </border>
    <border>
      <left/>
      <right style="medium">
        <color indexed="64"/>
      </right>
      <top style="dashed">
        <color indexed="64"/>
      </top>
      <bottom style="double">
        <color indexed="64"/>
      </bottom>
      <diagonal/>
    </border>
    <border>
      <left/>
      <right style="medium">
        <color indexed="64"/>
      </right>
      <top/>
      <bottom style="dashed">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dashed">
        <color indexed="64"/>
      </left>
      <right/>
      <top style="medium">
        <color indexed="64"/>
      </top>
      <bottom style="dashed">
        <color indexed="64"/>
      </bottom>
      <diagonal/>
    </border>
    <border>
      <left style="dashed">
        <color indexed="64"/>
      </left>
      <right/>
      <top style="dashed">
        <color indexed="64"/>
      </top>
      <bottom style="dashed">
        <color indexed="64"/>
      </bottom>
      <diagonal/>
    </border>
    <border>
      <left style="dashed">
        <color indexed="64"/>
      </left>
      <right style="medium">
        <color indexed="64"/>
      </right>
      <top style="dashed">
        <color indexed="64"/>
      </top>
      <bottom style="medium">
        <color indexed="64"/>
      </bottom>
      <diagonal/>
    </border>
    <border>
      <left style="medium">
        <color indexed="64"/>
      </left>
      <right style="thin">
        <color theme="4" tint="0.59999389629810485"/>
      </right>
      <top style="thin">
        <color theme="4" tint="0.59999389629810485"/>
      </top>
      <bottom/>
      <diagonal/>
    </border>
    <border>
      <left style="thin">
        <color theme="4" tint="0.59999389629810485"/>
      </left>
      <right style="thin">
        <color theme="4" tint="0.59999389629810485"/>
      </right>
      <top style="thin">
        <color theme="4" tint="0.59999389629810485"/>
      </top>
      <bottom/>
      <diagonal/>
    </border>
    <border>
      <left style="thin">
        <color theme="4" tint="0.59999389629810485"/>
      </left>
      <right style="medium">
        <color indexed="64"/>
      </right>
      <top style="thin">
        <color theme="4" tint="0.59999389629810485"/>
      </top>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hair">
        <color indexed="64"/>
      </bottom>
      <diagonal/>
    </border>
    <border>
      <left style="thin">
        <color auto="1"/>
      </left>
      <right style="thin">
        <color auto="1"/>
      </right>
      <top style="hair">
        <color indexed="64"/>
      </top>
      <bottom style="thin">
        <color auto="1"/>
      </bottom>
      <diagonal/>
    </border>
    <border>
      <left style="thin">
        <color indexed="64"/>
      </left>
      <right style="thin">
        <color indexed="64"/>
      </right>
      <top style="hair">
        <color indexed="64"/>
      </top>
      <bottom style="hair">
        <color indexed="64"/>
      </bottom>
      <diagonal/>
    </border>
    <border>
      <left style="thin">
        <color auto="1"/>
      </left>
      <right style="thin">
        <color auto="1"/>
      </right>
      <top style="hair">
        <color indexed="64"/>
      </top>
      <bottom/>
      <diagonal/>
    </border>
    <border>
      <left style="thin">
        <color indexed="64"/>
      </left>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ashed">
        <color indexed="64"/>
      </right>
      <top style="medium">
        <color indexed="64"/>
      </top>
      <bottom style="dashed">
        <color indexed="64"/>
      </bottom>
      <diagonal/>
    </border>
    <border>
      <left style="medium">
        <color indexed="64"/>
      </left>
      <right/>
      <top/>
      <bottom/>
      <diagonal/>
    </border>
    <border>
      <left/>
      <right style="medium">
        <color indexed="64"/>
      </right>
      <top style="dashed">
        <color indexed="64"/>
      </top>
      <bottom style="dashed">
        <color indexed="64"/>
      </bottom>
      <diagonal/>
    </border>
    <border>
      <left/>
      <right style="medium">
        <color indexed="64"/>
      </right>
      <top style="dashed">
        <color indexed="64"/>
      </top>
      <bottom/>
      <diagonal/>
    </border>
    <border>
      <left/>
      <right/>
      <top/>
      <bottom style="dotted">
        <color indexed="64"/>
      </bottom>
      <diagonal/>
    </border>
    <border>
      <left/>
      <right/>
      <top style="dashed">
        <color indexed="64"/>
      </top>
      <bottom style="dashed">
        <color indexed="64"/>
      </bottom>
      <diagonal/>
    </border>
    <border>
      <left style="medium">
        <color indexed="64"/>
      </left>
      <right style="dotted">
        <color indexed="64"/>
      </right>
      <top style="medium">
        <color indexed="64"/>
      </top>
      <bottom style="dashed">
        <color indexed="64"/>
      </bottom>
      <diagonal/>
    </border>
    <border>
      <left style="medium">
        <color indexed="64"/>
      </left>
      <right style="dotted">
        <color indexed="64"/>
      </right>
      <top style="dashed">
        <color indexed="64"/>
      </top>
      <bottom style="dashed">
        <color indexed="64"/>
      </bottom>
      <diagonal/>
    </border>
    <border>
      <left/>
      <right style="dashed">
        <color indexed="64"/>
      </right>
      <top style="dashed">
        <color indexed="64"/>
      </top>
      <bottom style="medium">
        <color indexed="64"/>
      </bottom>
      <diagonal/>
    </border>
    <border>
      <left style="medium">
        <color indexed="64"/>
      </left>
      <right style="dotted">
        <color indexed="64"/>
      </right>
      <top/>
      <bottom style="dashed">
        <color indexed="64"/>
      </bottom>
      <diagonal/>
    </border>
    <border>
      <left style="medium">
        <color indexed="64"/>
      </left>
      <right style="dotted">
        <color indexed="64"/>
      </right>
      <top style="dashed">
        <color indexed="64"/>
      </top>
      <bottom style="medium">
        <color indexed="64"/>
      </bottom>
      <diagonal/>
    </border>
    <border>
      <left/>
      <right style="dotted">
        <color indexed="64"/>
      </right>
      <top style="medium">
        <color indexed="64"/>
      </top>
      <bottom style="dotted">
        <color indexed="64"/>
      </bottom>
      <diagonal/>
    </border>
    <border>
      <left/>
      <right style="dotted">
        <color indexed="64"/>
      </right>
      <top/>
      <bottom style="dashed">
        <color indexed="64"/>
      </bottom>
      <diagonal/>
    </border>
    <border>
      <left style="medium">
        <color indexed="64"/>
      </left>
      <right style="dotted">
        <color indexed="64"/>
      </right>
      <top style="dashed">
        <color indexed="64"/>
      </top>
      <bottom style="thin">
        <color indexed="64"/>
      </bottom>
      <diagonal/>
    </border>
    <border>
      <left style="dotted">
        <color indexed="64"/>
      </left>
      <right style="dotted">
        <color indexed="64"/>
      </right>
      <top style="medium">
        <color indexed="64"/>
      </top>
      <bottom style="dashed">
        <color indexed="64"/>
      </bottom>
      <diagonal/>
    </border>
    <border>
      <left style="dotted">
        <color indexed="64"/>
      </left>
      <right style="dotted">
        <color indexed="64"/>
      </right>
      <top style="dashed">
        <color indexed="64"/>
      </top>
      <bottom style="dashed">
        <color indexed="64"/>
      </bottom>
      <diagonal/>
    </border>
    <border>
      <left style="dotted">
        <color indexed="64"/>
      </left>
      <right style="dotted">
        <color indexed="64"/>
      </right>
      <top style="dashed">
        <color indexed="64"/>
      </top>
      <bottom style="medium">
        <color indexed="64"/>
      </bottom>
      <diagonal/>
    </border>
    <border>
      <left/>
      <right style="dotted">
        <color indexed="64"/>
      </right>
      <top style="dashed">
        <color indexed="64"/>
      </top>
      <bottom style="medium">
        <color indexed="64"/>
      </bottom>
      <diagonal/>
    </border>
    <border>
      <left style="medium">
        <color indexed="64"/>
      </left>
      <right style="dotted">
        <color indexed="64"/>
      </right>
      <top style="dashed">
        <color indexed="64"/>
      </top>
      <bottom style="dotted">
        <color indexed="64"/>
      </bottom>
      <diagonal/>
    </border>
    <border>
      <left/>
      <right style="dotted">
        <color indexed="64"/>
      </right>
      <top style="dashed">
        <color indexed="64"/>
      </top>
      <bottom style="dashed">
        <color indexed="64"/>
      </bottom>
      <diagonal/>
    </border>
    <border>
      <left style="dotted">
        <color indexed="64"/>
      </left>
      <right style="dotted">
        <color indexed="64"/>
      </right>
      <top/>
      <bottom/>
      <diagonal/>
    </border>
    <border>
      <left style="dashed">
        <color indexed="64"/>
      </left>
      <right style="dotted">
        <color indexed="64"/>
      </right>
      <top style="dashed">
        <color indexed="64"/>
      </top>
      <bottom style="dashed">
        <color indexed="64"/>
      </bottom>
      <diagonal/>
    </border>
    <border>
      <left style="dotted">
        <color indexed="64"/>
      </left>
      <right style="medium">
        <color indexed="64"/>
      </right>
      <top style="dashed">
        <color indexed="64"/>
      </top>
      <bottom style="medium">
        <color indexed="64"/>
      </bottom>
      <diagonal/>
    </border>
    <border>
      <left/>
      <right/>
      <top style="dashed">
        <color indexed="64"/>
      </top>
      <bottom style="medium">
        <color indexed="64"/>
      </bottom>
      <diagonal/>
    </border>
    <border>
      <left style="dotted">
        <color indexed="64"/>
      </left>
      <right/>
      <top style="dash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hair">
        <color indexed="64"/>
      </top>
      <bottom style="dotted">
        <color indexed="64"/>
      </bottom>
      <diagonal/>
    </border>
    <border>
      <left style="thin">
        <color indexed="64"/>
      </left>
      <right/>
      <top style="thin">
        <color indexed="64"/>
      </top>
      <bottom/>
      <diagonal/>
    </border>
    <border>
      <left style="thin">
        <color indexed="64"/>
      </left>
      <right style="thin">
        <color indexed="64"/>
      </right>
      <top style="dotted">
        <color indexed="64"/>
      </top>
      <bottom/>
      <diagonal/>
    </border>
    <border>
      <left/>
      <right style="thin">
        <color indexed="64"/>
      </right>
      <top style="hair">
        <color indexed="64"/>
      </top>
      <bottom/>
      <diagonal/>
    </border>
    <border>
      <left style="thin">
        <color indexed="64"/>
      </left>
      <right style="thin">
        <color indexed="64"/>
      </right>
      <top/>
      <bottom style="dotted">
        <color indexed="64"/>
      </bottom>
      <diagonal/>
    </border>
    <border>
      <left/>
      <right/>
      <top style="thin">
        <color indexed="64"/>
      </top>
      <bottom/>
      <diagonal/>
    </border>
    <border>
      <left style="thin">
        <color theme="1"/>
      </left>
      <right style="thin">
        <color indexed="64"/>
      </right>
      <top style="thin">
        <color theme="1"/>
      </top>
      <bottom/>
      <diagonal/>
    </border>
    <border>
      <left style="thin">
        <color theme="1"/>
      </left>
      <right style="thin">
        <color indexed="64"/>
      </right>
      <top/>
      <bottom/>
      <diagonal/>
    </border>
    <border>
      <left style="thin">
        <color theme="1"/>
      </left>
      <right style="thin">
        <color indexed="64"/>
      </right>
      <top/>
      <bottom style="thin">
        <color theme="1"/>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theme="1"/>
      </bottom>
      <diagonal/>
    </border>
    <border>
      <left/>
      <right/>
      <top style="thin">
        <color theme="1"/>
      </top>
      <bottom/>
      <diagonal/>
    </border>
    <border>
      <left style="thin">
        <color theme="1"/>
      </left>
      <right style="thin">
        <color indexed="64"/>
      </right>
      <top/>
      <bottom style="hair">
        <color theme="1"/>
      </bottom>
      <diagonal/>
    </border>
    <border>
      <left style="thin">
        <color theme="1"/>
      </left>
      <right/>
      <top/>
      <bottom/>
      <diagonal/>
    </border>
    <border>
      <left/>
      <right/>
      <top style="thin">
        <color theme="1"/>
      </top>
      <bottom style="thin">
        <color theme="1"/>
      </bottom>
      <diagonal/>
    </border>
    <border>
      <left style="thin">
        <color auto="1"/>
      </left>
      <right style="thin">
        <color auto="1"/>
      </right>
      <top style="hair">
        <color indexed="64"/>
      </top>
      <bottom style="hair">
        <color theme="6"/>
      </bottom>
      <diagonal/>
    </border>
    <border>
      <left style="medium">
        <color theme="1"/>
      </left>
      <right/>
      <top/>
      <bottom/>
      <diagonal/>
    </border>
    <border>
      <left/>
      <right/>
      <top/>
      <bottom style="thin">
        <color theme="1"/>
      </bottom>
      <diagonal/>
    </border>
    <border>
      <left/>
      <right style="thin">
        <color theme="1"/>
      </right>
      <top/>
      <bottom/>
      <diagonal/>
    </border>
    <border>
      <left/>
      <right style="thin">
        <color theme="1"/>
      </right>
      <top/>
      <bottom style="thin">
        <color theme="1"/>
      </bottom>
      <diagonal/>
    </border>
    <border>
      <left style="thin">
        <color theme="1"/>
      </left>
      <right style="thin">
        <color theme="1"/>
      </right>
      <top style="thin">
        <color theme="6"/>
      </top>
      <bottom style="thin">
        <color theme="1"/>
      </bottom>
      <diagonal/>
    </border>
    <border>
      <left style="thin">
        <color theme="1"/>
      </left>
      <right/>
      <top style="thin">
        <color theme="6"/>
      </top>
      <bottom style="thin">
        <color theme="1"/>
      </bottom>
      <diagonal/>
    </border>
    <border>
      <left style="thin">
        <color theme="1"/>
      </left>
      <right style="thin">
        <color theme="1"/>
      </right>
      <top style="thin">
        <color theme="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bottom style="hair">
        <color theme="6"/>
      </bottom>
      <diagonal/>
    </border>
    <border>
      <left style="thin">
        <color theme="1"/>
      </left>
      <right/>
      <top/>
      <bottom style="hair">
        <color theme="6"/>
      </bottom>
      <diagonal/>
    </border>
    <border>
      <left/>
      <right/>
      <top/>
      <bottom style="hair">
        <color theme="6"/>
      </bottom>
      <diagonal/>
    </border>
    <border>
      <left/>
      <right style="thin">
        <color theme="1"/>
      </right>
      <top/>
      <bottom style="hair">
        <color theme="6"/>
      </bottom>
      <diagonal/>
    </border>
    <border>
      <left style="thin">
        <color indexed="64"/>
      </left>
      <right style="thin">
        <color indexed="64"/>
      </right>
      <top style="hair">
        <color indexed="64"/>
      </top>
      <bottom style="thin">
        <color theme="1"/>
      </bottom>
      <diagonal/>
    </border>
    <border>
      <left style="thin">
        <color indexed="64"/>
      </left>
      <right style="thin">
        <color indexed="64"/>
      </right>
      <top style="hair">
        <color theme="1"/>
      </top>
      <bottom style="hair">
        <color indexed="64"/>
      </bottom>
      <diagonal/>
    </border>
    <border>
      <left/>
      <right style="thin">
        <color indexed="64"/>
      </right>
      <top/>
      <bottom style="hair">
        <color theme="1"/>
      </bottom>
      <diagonal/>
    </border>
    <border>
      <left/>
      <right style="thin">
        <color theme="1"/>
      </right>
      <top style="hair">
        <color indexed="64"/>
      </top>
      <bottom style="thin">
        <color theme="1"/>
      </bottom>
      <diagonal/>
    </border>
    <border>
      <left/>
      <right style="thin">
        <color theme="1"/>
      </right>
      <top style="hair">
        <color theme="2" tint="-0.249977111117893"/>
      </top>
      <bottom style="thin">
        <color theme="1"/>
      </bottom>
      <diagonal/>
    </border>
    <border>
      <left style="thin">
        <color indexed="64"/>
      </left>
      <right style="thin">
        <color indexed="64"/>
      </right>
      <top style="thin">
        <color theme="1"/>
      </top>
      <bottom style="hair">
        <color indexed="64"/>
      </bottom>
      <diagonal/>
    </border>
    <border>
      <left style="thin">
        <color indexed="64"/>
      </left>
      <right style="thin">
        <color indexed="64"/>
      </right>
      <top style="hair">
        <color indexed="64"/>
      </top>
      <bottom style="hair">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diagonal/>
    </border>
    <border>
      <left/>
      <right style="medium">
        <color theme="1"/>
      </right>
      <top style="thin">
        <color theme="1"/>
      </top>
      <bottom/>
      <diagonal/>
    </border>
    <border>
      <left/>
      <right style="medium">
        <color theme="1"/>
      </right>
      <top/>
      <bottom/>
      <diagonal/>
    </border>
    <border>
      <left style="thin">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medium">
        <color theme="1"/>
      </right>
      <top/>
      <bottom style="thin">
        <color theme="1"/>
      </bottom>
      <diagonal/>
    </border>
    <border>
      <left/>
      <right style="thin">
        <color theme="1"/>
      </right>
      <top style="thin">
        <color theme="1"/>
      </top>
      <bottom/>
      <diagonal/>
    </border>
    <border>
      <left style="medium">
        <color theme="1"/>
      </left>
      <right/>
      <top/>
      <bottom style="thin">
        <color theme="1"/>
      </bottom>
      <diagonal/>
    </border>
    <border>
      <left style="medium">
        <color theme="1"/>
      </left>
      <right/>
      <top/>
      <bottom style="medium">
        <color theme="1"/>
      </bottom>
      <diagonal/>
    </border>
    <border>
      <left/>
      <right/>
      <top/>
      <bottom style="medium">
        <color theme="1"/>
      </bottom>
      <diagonal/>
    </border>
    <border>
      <left/>
      <right style="thin">
        <color theme="1"/>
      </right>
      <top/>
      <bottom style="medium">
        <color theme="1"/>
      </bottom>
      <diagonal/>
    </border>
    <border>
      <left style="thin">
        <color theme="1"/>
      </left>
      <right/>
      <top/>
      <bottom style="medium">
        <color theme="1"/>
      </bottom>
      <diagonal/>
    </border>
    <border>
      <left/>
      <right style="medium">
        <color theme="1"/>
      </right>
      <top/>
      <bottom style="medium">
        <color theme="1"/>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ouble">
        <color indexed="64"/>
      </bottom>
      <diagonal/>
    </border>
    <border>
      <left style="medium">
        <color indexed="64"/>
      </left>
      <right style="dotted">
        <color indexed="64"/>
      </right>
      <top style="dashed">
        <color indexed="64"/>
      </top>
      <bottom style="double">
        <color indexed="64"/>
      </bottom>
      <diagonal/>
    </border>
    <border>
      <left/>
      <right style="dashed">
        <color indexed="64"/>
      </right>
      <top style="dashed">
        <color indexed="64"/>
      </top>
      <bottom style="dashed">
        <color indexed="64"/>
      </bottom>
      <diagonal/>
    </border>
    <border>
      <left/>
      <right style="medium">
        <color indexed="64"/>
      </right>
      <top/>
      <bottom style="medium">
        <color indexed="64"/>
      </bottom>
      <diagonal/>
    </border>
    <border>
      <left/>
      <right style="medium">
        <color indexed="64"/>
      </right>
      <top style="double">
        <color indexed="64"/>
      </top>
      <bottom style="double">
        <color indexed="64"/>
      </bottom>
      <diagonal/>
    </border>
    <border>
      <left style="dashed">
        <color indexed="64"/>
      </left>
      <right style="dotted">
        <color indexed="64"/>
      </right>
      <top/>
      <bottom style="double">
        <color indexed="64"/>
      </bottom>
      <diagonal/>
    </border>
    <border>
      <left/>
      <right style="dotted">
        <color indexed="64"/>
      </right>
      <top/>
      <bottom/>
      <diagonal/>
    </border>
    <border>
      <left style="dashed">
        <color indexed="64"/>
      </left>
      <right style="dotted">
        <color indexed="64"/>
      </right>
      <top/>
      <bottom style="medium">
        <color indexed="64"/>
      </bottom>
      <diagonal/>
    </border>
    <border>
      <left style="dashed">
        <color indexed="64"/>
      </left>
      <right style="dotted">
        <color indexed="64"/>
      </right>
      <top style="double">
        <color indexed="64"/>
      </top>
      <bottom style="double">
        <color indexed="64"/>
      </bottom>
      <diagonal/>
    </border>
    <border>
      <left style="dotted">
        <color indexed="64"/>
      </left>
      <right style="dotted">
        <color indexed="64"/>
      </right>
      <top/>
      <bottom style="double">
        <color indexed="64"/>
      </bottom>
      <diagonal/>
    </border>
    <border>
      <left style="dotted">
        <color indexed="64"/>
      </left>
      <right style="dotted">
        <color indexed="64"/>
      </right>
      <top/>
      <bottom style="medium">
        <color indexed="64"/>
      </bottom>
      <diagonal/>
    </border>
    <border>
      <left style="dotted">
        <color indexed="64"/>
      </left>
      <right style="dotted">
        <color indexed="64"/>
      </right>
      <top style="double">
        <color indexed="64"/>
      </top>
      <bottom style="double">
        <color indexed="64"/>
      </bottom>
      <diagonal/>
    </border>
    <border>
      <left style="dotted">
        <color indexed="64"/>
      </left>
      <right style="dotted">
        <color indexed="64"/>
      </right>
      <top style="dashed">
        <color indexed="64"/>
      </top>
      <bottom style="double">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dotted">
        <color indexed="64"/>
      </left>
      <right style="medium">
        <color indexed="64"/>
      </right>
      <top style="dashed">
        <color indexed="64"/>
      </top>
      <bottom style="dashed">
        <color indexed="64"/>
      </bottom>
      <diagonal/>
    </border>
    <border>
      <left/>
      <right style="medium">
        <color indexed="64"/>
      </right>
      <top/>
      <bottom/>
      <diagonal/>
    </border>
    <border>
      <left style="dotted">
        <color indexed="64"/>
      </left>
      <right style="medium">
        <color indexed="64"/>
      </right>
      <top style="dashed">
        <color indexed="64"/>
      </top>
      <bottom style="double">
        <color indexed="64"/>
      </bottom>
      <diagonal/>
    </border>
    <border>
      <left style="medium">
        <color indexed="64"/>
      </left>
      <right style="dotted">
        <color indexed="64"/>
      </right>
      <top/>
      <bottom style="double">
        <color indexed="64"/>
      </bottom>
      <diagonal/>
    </border>
    <border>
      <left style="medium">
        <color indexed="64"/>
      </left>
      <right style="dotted">
        <color indexed="64"/>
      </right>
      <top/>
      <bottom style="medium">
        <color indexed="64"/>
      </bottom>
      <diagonal/>
    </border>
    <border>
      <left style="medium">
        <color indexed="64"/>
      </left>
      <right style="dotted">
        <color indexed="64"/>
      </right>
      <top style="double">
        <color indexed="64"/>
      </top>
      <bottom style="double">
        <color indexed="64"/>
      </bottom>
      <diagonal/>
    </border>
    <border>
      <left style="medium">
        <color indexed="64"/>
      </left>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thin">
        <color theme="1"/>
      </left>
      <right/>
      <top/>
      <bottom style="thin">
        <color indexed="64"/>
      </bottom>
      <diagonal/>
    </border>
    <border>
      <left/>
      <right/>
      <top/>
      <bottom style="thin">
        <color indexed="64"/>
      </bottom>
      <diagonal/>
    </border>
    <border>
      <left/>
      <right style="medium">
        <color theme="1"/>
      </right>
      <top/>
      <bottom style="thin">
        <color indexed="64"/>
      </bottom>
      <diagonal/>
    </border>
    <border>
      <left style="thin">
        <color theme="1"/>
      </left>
      <right style="medium">
        <color theme="1"/>
      </right>
      <top/>
      <bottom style="thin">
        <color theme="1"/>
      </bottom>
      <diagonal/>
    </border>
    <border>
      <left style="thin">
        <color indexed="64"/>
      </left>
      <right/>
      <top/>
      <bottom style="thin">
        <color indexed="64"/>
      </bottom>
      <diagonal/>
    </border>
  </borders>
  <cellStyleXfs count="7">
    <xf numFmtId="0" fontId="0" fillId="0" borderId="0"/>
    <xf numFmtId="43" fontId="1" fillId="0" borderId="0"/>
    <xf numFmtId="0" fontId="10" fillId="0" borderId="0"/>
    <xf numFmtId="9" fontId="1" fillId="0" borderId="0" applyFont="0" applyFill="0" applyBorder="0" applyAlignment="0" applyProtection="0"/>
    <xf numFmtId="41" fontId="1" fillId="0" borderId="0" applyFont="0" applyFill="0" applyBorder="0" applyAlignment="0" applyProtection="0"/>
    <xf numFmtId="0" fontId="30" fillId="0" borderId="4" applyNumberFormat="0" applyFill="0" applyAlignment="0" applyProtection="0"/>
    <xf numFmtId="0" fontId="42" fillId="0" borderId="0"/>
  </cellStyleXfs>
  <cellXfs count="569">
    <xf numFmtId="0" fontId="0" fillId="0" borderId="0" xfId="0"/>
    <xf numFmtId="0" fontId="2" fillId="2" borderId="0" xfId="0" applyFont="1" applyFill="1"/>
    <xf numFmtId="0" fontId="3" fillId="3" borderId="1" xfId="0" applyFont="1" applyFill="1" applyBorder="1" applyAlignment="1">
      <alignment vertical="center" wrapText="1"/>
    </xf>
    <xf numFmtId="49" fontId="0" fillId="0" borderId="1" xfId="0" applyNumberFormat="1" applyBorder="1"/>
    <xf numFmtId="0" fontId="4" fillId="0" borderId="0" xfId="0" applyFont="1" applyAlignment="1">
      <alignment horizontal="left"/>
    </xf>
    <xf numFmtId="0" fontId="2" fillId="0" borderId="0" xfId="0" applyFont="1"/>
    <xf numFmtId="14" fontId="0" fillId="0" borderId="1" xfId="0" applyNumberFormat="1" applyBorder="1" applyAlignment="1">
      <alignment horizontal="right"/>
    </xf>
    <xf numFmtId="14" fontId="2" fillId="0" borderId="0" xfId="1" applyNumberFormat="1"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1" fillId="0" borderId="0" xfId="0" applyFont="1"/>
    <xf numFmtId="0" fontId="12" fillId="0" borderId="0" xfId="2" applyFont="1"/>
    <xf numFmtId="0" fontId="13" fillId="4" borderId="0" xfId="0" applyFont="1" applyFill="1" applyAlignment="1">
      <alignment vertical="center"/>
    </xf>
    <xf numFmtId="4" fontId="2" fillId="0" borderId="0" xfId="0" applyNumberFormat="1" applyFont="1"/>
    <xf numFmtId="4" fontId="14" fillId="0" borderId="0" xfId="0" applyNumberFormat="1" applyFont="1"/>
    <xf numFmtId="4" fontId="14" fillId="0" borderId="0" xfId="0" applyNumberFormat="1" applyFont="1" applyAlignment="1">
      <alignment indent="3"/>
    </xf>
    <xf numFmtId="4" fontId="14" fillId="0" borderId="0" xfId="0" applyNumberFormat="1" applyFont="1" applyAlignment="1">
      <alignment indent="6"/>
    </xf>
    <xf numFmtId="4" fontId="14" fillId="0" borderId="0" xfId="0" quotePrefix="1" applyNumberFormat="1" applyFont="1"/>
    <xf numFmtId="9" fontId="2" fillId="0" borderId="0" xfId="0" applyNumberFormat="1" applyFont="1"/>
    <xf numFmtId="0" fontId="2" fillId="0" borderId="0" xfId="0" applyFont="1" applyAlignment="1">
      <alignment horizontal="right"/>
    </xf>
    <xf numFmtId="4" fontId="2" fillId="0" borderId="0" xfId="0" applyNumberFormat="1" applyFont="1" applyAlignment="1">
      <alignment horizontal="right"/>
    </xf>
    <xf numFmtId="9" fontId="2" fillId="0" borderId="0" xfId="3" applyFont="1"/>
    <xf numFmtId="9" fontId="2" fillId="0" borderId="0" xfId="3" applyFont="1" applyAlignment="1">
      <alignment horizontal="right"/>
    </xf>
    <xf numFmtId="0" fontId="15" fillId="0" borderId="2" xfId="0" applyFont="1" applyBorder="1" applyAlignment="1">
      <alignment horizontal="right"/>
    </xf>
    <xf numFmtId="0" fontId="16" fillId="5" borderId="0" xfId="0" applyFont="1" applyFill="1" applyAlignment="1">
      <alignment horizontal="right"/>
    </xf>
    <xf numFmtId="0" fontId="16" fillId="0" borderId="0" xfId="0" applyFont="1" applyAlignment="1">
      <alignment horizontal="right"/>
    </xf>
    <xf numFmtId="0" fontId="16" fillId="5" borderId="3" xfId="0" applyFont="1" applyFill="1" applyBorder="1" applyAlignment="1">
      <alignment horizontal="right"/>
    </xf>
    <xf numFmtId="9" fontId="0" fillId="0" borderId="0" xfId="3" applyFont="1"/>
    <xf numFmtId="4" fontId="2" fillId="6" borderId="0" xfId="0" applyNumberFormat="1" applyFont="1" applyFill="1"/>
    <xf numFmtId="9" fontId="0" fillId="6" borderId="0" xfId="3" applyFont="1" applyFill="1"/>
    <xf numFmtId="9" fontId="1" fillId="6" borderId="0" xfId="3" applyFont="1" applyFill="1"/>
    <xf numFmtId="9" fontId="0" fillId="0" borderId="0" xfId="3" applyFont="1" applyFill="1"/>
    <xf numFmtId="0" fontId="0" fillId="0" borderId="0" xfId="0" applyAlignment="1">
      <alignment horizontal="center"/>
    </xf>
    <xf numFmtId="9" fontId="0" fillId="6" borderId="0" xfId="0" applyNumberFormat="1" applyFill="1"/>
    <xf numFmtId="164" fontId="0" fillId="0" borderId="0" xfId="3" applyNumberFormat="1" applyFont="1"/>
    <xf numFmtId="0" fontId="17" fillId="0" borderId="0" xfId="0" applyFont="1" applyAlignment="1">
      <alignment horizontal="right"/>
    </xf>
    <xf numFmtId="0" fontId="17" fillId="0" borderId="0" xfId="0" applyFont="1"/>
    <xf numFmtId="0" fontId="18" fillId="0" borderId="2" xfId="0" applyFont="1" applyBorder="1" applyAlignment="1">
      <alignment horizontal="right"/>
    </xf>
    <xf numFmtId="0" fontId="19" fillId="0" borderId="0" xfId="0" applyFont="1"/>
    <xf numFmtId="0" fontId="19" fillId="5" borderId="0" xfId="0" applyFont="1" applyFill="1" applyAlignment="1">
      <alignment horizontal="right"/>
    </xf>
    <xf numFmtId="0" fontId="19" fillId="0" borderId="0" xfId="0" applyFont="1" applyAlignment="1">
      <alignment horizontal="right"/>
    </xf>
    <xf numFmtId="0" fontId="19" fillId="5" borderId="0" xfId="0" applyFont="1" applyFill="1"/>
    <xf numFmtId="0" fontId="19" fillId="5" borderId="3" xfId="0" applyFont="1" applyFill="1" applyBorder="1"/>
    <xf numFmtId="9" fontId="0" fillId="0" borderId="0" xfId="0" applyNumberFormat="1"/>
    <xf numFmtId="164" fontId="0" fillId="0" borderId="0" xfId="0" applyNumberFormat="1"/>
    <xf numFmtId="0" fontId="21" fillId="0" borderId="2" xfId="0" applyFont="1" applyBorder="1"/>
    <xf numFmtId="4" fontId="22" fillId="0" borderId="0" xfId="0" applyNumberFormat="1" applyFont="1"/>
    <xf numFmtId="4" fontId="17" fillId="0" borderId="0" xfId="0" applyNumberFormat="1" applyFont="1"/>
    <xf numFmtId="4" fontId="20" fillId="0" borderId="0" xfId="0" applyNumberFormat="1" applyFont="1"/>
    <xf numFmtId="165" fontId="0" fillId="0" borderId="0" xfId="3" applyNumberFormat="1" applyFont="1"/>
    <xf numFmtId="4" fontId="0" fillId="0" borderId="0" xfId="0" applyNumberFormat="1"/>
    <xf numFmtId="0" fontId="23" fillId="0" borderId="0" xfId="0" applyFont="1" applyAlignment="1">
      <alignment horizontal="right"/>
    </xf>
    <xf numFmtId="0" fontId="23" fillId="0" borderId="0" xfId="0" applyFont="1"/>
    <xf numFmtId="0" fontId="23" fillId="0" borderId="0" xfId="4" applyNumberFormat="1" applyFont="1"/>
    <xf numFmtId="0" fontId="24" fillId="0" borderId="2" xfId="0" applyFont="1" applyBorder="1" applyAlignment="1">
      <alignment horizontal="right"/>
    </xf>
    <xf numFmtId="0" fontId="0" fillId="0" borderId="0" xfId="0" pivotButton="1"/>
    <xf numFmtId="0" fontId="25" fillId="7" borderId="0" xfId="0" applyFont="1" applyFill="1"/>
    <xf numFmtId="0" fontId="25" fillId="0" borderId="0" xfId="0" applyFont="1"/>
    <xf numFmtId="0" fontId="0" fillId="0" borderId="0" xfId="0" applyAlignment="1">
      <alignment horizontal="left"/>
    </xf>
    <xf numFmtId="0" fontId="24" fillId="0" borderId="0" xfId="0" applyFont="1"/>
    <xf numFmtId="0" fontId="26" fillId="0" borderId="0" xfId="0" applyFont="1"/>
    <xf numFmtId="0" fontId="27" fillId="0" borderId="0" xfId="0" applyFont="1"/>
    <xf numFmtId="166" fontId="27" fillId="0" borderId="0" xfId="0" applyNumberFormat="1" applyFont="1"/>
    <xf numFmtId="167" fontId="27" fillId="0" borderId="0" xfId="0" applyNumberFormat="1" applyFont="1"/>
    <xf numFmtId="168" fontId="0" fillId="0" borderId="0" xfId="0" applyNumberFormat="1"/>
    <xf numFmtId="0" fontId="26" fillId="0" borderId="0" xfId="0" applyFont="1" applyAlignment="1">
      <alignment horizontal="center"/>
    </xf>
    <xf numFmtId="0" fontId="27" fillId="0" borderId="0" xfId="0" applyFont="1" applyAlignment="1">
      <alignment horizontal="center"/>
    </xf>
    <xf numFmtId="0" fontId="29" fillId="0" borderId="0" xfId="0" applyFont="1"/>
    <xf numFmtId="4" fontId="14" fillId="6" borderId="0" xfId="0" applyNumberFormat="1" applyFont="1" applyFill="1" applyAlignment="1">
      <alignment indent="6"/>
    </xf>
    <xf numFmtId="4" fontId="14" fillId="6" borderId="0" xfId="0" applyNumberFormat="1" applyFont="1" applyFill="1"/>
    <xf numFmtId="0" fontId="31" fillId="8" borderId="1" xfId="0" applyFont="1" applyFill="1" applyBorder="1" applyAlignment="1">
      <alignment vertical="center" wrapText="1"/>
    </xf>
    <xf numFmtId="49" fontId="32" fillId="0" borderId="1" xfId="0" applyNumberFormat="1" applyFont="1" applyBorder="1" applyAlignment="1">
      <alignment horizontal="right"/>
    </xf>
    <xf numFmtId="0" fontId="33" fillId="0" borderId="5" xfId="0" applyFont="1" applyBorder="1" applyAlignment="1">
      <alignment vertical="center"/>
    </xf>
    <xf numFmtId="0" fontId="33" fillId="0" borderId="0" xfId="0" applyFont="1" applyAlignment="1">
      <alignment vertical="center"/>
    </xf>
    <xf numFmtId="14" fontId="32" fillId="0" borderId="1" xfId="0" applyNumberFormat="1" applyFont="1" applyBorder="1" applyAlignment="1">
      <alignment horizontal="right"/>
    </xf>
    <xf numFmtId="0" fontId="33" fillId="0" borderId="6" xfId="0" applyFont="1" applyBorder="1" applyAlignment="1">
      <alignment vertical="center"/>
    </xf>
    <xf numFmtId="0" fontId="34" fillId="0" borderId="0" xfId="0" applyFont="1" applyAlignment="1">
      <alignment vertical="center" wrapText="1"/>
    </xf>
    <xf numFmtId="4" fontId="35" fillId="10" borderId="12" xfId="0" applyNumberFormat="1" applyFont="1" applyFill="1" applyBorder="1"/>
    <xf numFmtId="4" fontId="35" fillId="10" borderId="13" xfId="0" applyNumberFormat="1" applyFont="1" applyFill="1" applyBorder="1"/>
    <xf numFmtId="4" fontId="35" fillId="10" borderId="14" xfId="0" applyNumberFormat="1" applyFont="1" applyFill="1" applyBorder="1"/>
    <xf numFmtId="4" fontId="36" fillId="11" borderId="15" xfId="0" applyNumberFormat="1" applyFont="1" applyFill="1" applyBorder="1"/>
    <xf numFmtId="4" fontId="36" fillId="11" borderId="16" xfId="0" applyNumberFormat="1" applyFont="1" applyFill="1" applyBorder="1"/>
    <xf numFmtId="4" fontId="36" fillId="11" borderId="17" xfId="0" applyNumberFormat="1" applyFont="1" applyFill="1" applyBorder="1"/>
    <xf numFmtId="4" fontId="37" fillId="0" borderId="15" xfId="0" applyNumberFormat="1" applyFont="1" applyBorder="1" applyAlignment="1">
      <alignment indent="3"/>
    </xf>
    <xf numFmtId="4" fontId="37" fillId="0" borderId="16" xfId="0" applyNumberFormat="1" applyFont="1" applyBorder="1"/>
    <xf numFmtId="4" fontId="37" fillId="0" borderId="17" xfId="0" applyNumberFormat="1" applyFont="1" applyBorder="1"/>
    <xf numFmtId="4" fontId="37" fillId="0" borderId="15" xfId="0" applyNumberFormat="1" applyFont="1" applyBorder="1" applyAlignment="1">
      <alignment indent="6"/>
    </xf>
    <xf numFmtId="4" fontId="37" fillId="0" borderId="21" xfId="0" applyNumberFormat="1" applyFont="1" applyBorder="1" applyAlignment="1">
      <alignment indent="3"/>
    </xf>
    <xf numFmtId="4" fontId="37" fillId="0" borderId="22" xfId="0" applyNumberFormat="1" applyFont="1" applyBorder="1"/>
    <xf numFmtId="4" fontId="37" fillId="0" borderId="23" xfId="0" applyNumberFormat="1" applyFont="1" applyBorder="1"/>
    <xf numFmtId="4" fontId="36" fillId="11" borderId="21" xfId="0" applyNumberFormat="1" applyFont="1" applyFill="1" applyBorder="1"/>
    <xf numFmtId="4" fontId="36" fillId="11" borderId="22" xfId="0" applyNumberFormat="1" applyFont="1" applyFill="1" applyBorder="1"/>
    <xf numFmtId="4" fontId="36" fillId="11" borderId="23" xfId="0" applyNumberFormat="1" applyFont="1" applyFill="1" applyBorder="1"/>
    <xf numFmtId="4" fontId="35" fillId="10" borderId="24" xfId="0" applyNumberFormat="1" applyFont="1" applyFill="1" applyBorder="1"/>
    <xf numFmtId="4" fontId="35" fillId="10" borderId="25" xfId="0" applyNumberFormat="1" applyFont="1" applyFill="1" applyBorder="1"/>
    <xf numFmtId="4" fontId="35" fillId="10" borderId="26" xfId="0" applyNumberFormat="1" applyFont="1" applyFill="1" applyBorder="1"/>
    <xf numFmtId="4" fontId="36" fillId="11" borderId="31" xfId="0" applyNumberFormat="1" applyFont="1" applyFill="1" applyBorder="1"/>
    <xf numFmtId="4" fontId="36" fillId="11" borderId="32" xfId="0" applyNumberFormat="1" applyFont="1" applyFill="1" applyBorder="1"/>
    <xf numFmtId="4" fontId="36" fillId="11" borderId="33" xfId="0" applyNumberFormat="1" applyFont="1" applyFill="1" applyBorder="1"/>
    <xf numFmtId="169" fontId="0" fillId="0" borderId="0" xfId="0" applyNumberFormat="1"/>
    <xf numFmtId="9" fontId="27" fillId="0" borderId="0" xfId="3" applyFont="1"/>
    <xf numFmtId="0" fontId="38" fillId="0" borderId="0" xfId="0" applyFont="1" applyAlignment="1">
      <alignment horizontal="left"/>
    </xf>
    <xf numFmtId="0" fontId="37" fillId="0" borderId="0" xfId="0" applyFont="1"/>
    <xf numFmtId="0" fontId="34" fillId="9" borderId="34" xfId="0" applyFont="1" applyFill="1" applyBorder="1" applyAlignment="1">
      <alignment horizontal="center" vertical="center"/>
    </xf>
    <xf numFmtId="0" fontId="34" fillId="9" borderId="35" xfId="0" applyFont="1" applyFill="1" applyBorder="1" applyAlignment="1">
      <alignment horizontal="center" vertical="center"/>
    </xf>
    <xf numFmtId="0" fontId="34" fillId="9" borderId="37" xfId="0" applyFont="1" applyFill="1" applyBorder="1" applyAlignment="1">
      <alignment horizontal="center" vertical="center"/>
    </xf>
    <xf numFmtId="0" fontId="39" fillId="9" borderId="15" xfId="0" applyFont="1" applyFill="1" applyBorder="1" applyAlignment="1">
      <alignment horizontal="center"/>
    </xf>
    <xf numFmtId="0" fontId="39" fillId="9" borderId="16" xfId="0" applyFont="1" applyFill="1" applyBorder="1" applyAlignment="1">
      <alignment horizontal="center"/>
    </xf>
    <xf numFmtId="0" fontId="39" fillId="9" borderId="17" xfId="0" applyFont="1" applyFill="1" applyBorder="1" applyAlignment="1">
      <alignment horizontal="center"/>
    </xf>
    <xf numFmtId="0" fontId="36" fillId="0" borderId="15" xfId="0" applyFont="1" applyBorder="1"/>
    <xf numFmtId="0" fontId="36" fillId="0" borderId="16" xfId="0" applyFont="1" applyBorder="1"/>
    <xf numFmtId="0" fontId="36" fillId="0" borderId="17" xfId="0" applyFont="1" applyBorder="1"/>
    <xf numFmtId="4" fontId="37" fillId="0" borderId="15" xfId="0" applyNumberFormat="1" applyFont="1" applyBorder="1"/>
    <xf numFmtId="9" fontId="37" fillId="0" borderId="15" xfId="3" applyFont="1" applyFill="1" applyBorder="1"/>
    <xf numFmtId="9" fontId="37" fillId="0" borderId="16" xfId="3" applyFont="1" applyFill="1" applyBorder="1"/>
    <xf numFmtId="4" fontId="40" fillId="0" borderId="15" xfId="0" applyNumberFormat="1" applyFont="1" applyBorder="1" applyAlignment="1">
      <alignment indent="3"/>
    </xf>
    <xf numFmtId="4" fontId="40" fillId="0" borderId="16" xfId="0" applyNumberFormat="1" applyFont="1" applyBorder="1"/>
    <xf numFmtId="0" fontId="35" fillId="10" borderId="40" xfId="0" applyFont="1" applyFill="1" applyBorder="1" applyAlignment="1">
      <alignment horizontal="center" vertical="center"/>
    </xf>
    <xf numFmtId="0" fontId="35" fillId="10" borderId="41" xfId="0" applyFont="1" applyFill="1" applyBorder="1" applyAlignment="1">
      <alignment horizontal="center" vertical="center"/>
    </xf>
    <xf numFmtId="0" fontId="35" fillId="10" borderId="42" xfId="0" applyFont="1" applyFill="1" applyBorder="1" applyAlignment="1">
      <alignment horizontal="center" vertical="center"/>
    </xf>
    <xf numFmtId="170" fontId="35" fillId="9" borderId="39" xfId="6" applyNumberFormat="1" applyFont="1" applyFill="1" applyBorder="1" applyAlignment="1">
      <alignment horizontal="right" vertical="center" wrapText="1"/>
    </xf>
    <xf numFmtId="0" fontId="0" fillId="0" borderId="6" xfId="0" applyBorder="1"/>
    <xf numFmtId="0" fontId="44" fillId="14" borderId="0" xfId="0" applyFont="1" applyFill="1" applyAlignment="1">
      <alignment horizontal="right" vertical="center"/>
    </xf>
    <xf numFmtId="0" fontId="45" fillId="15" borderId="1" xfId="0" applyFont="1" applyFill="1" applyBorder="1" applyAlignment="1">
      <alignment vertical="center" wrapText="1"/>
    </xf>
    <xf numFmtId="49" fontId="46" fillId="0" borderId="56" xfId="0" applyNumberFormat="1" applyFont="1" applyBorder="1"/>
    <xf numFmtId="0" fontId="45" fillId="15" borderId="50" xfId="0" applyFont="1" applyFill="1" applyBorder="1" applyAlignment="1">
      <alignment vertical="center" wrapText="1"/>
    </xf>
    <xf numFmtId="14" fontId="46" fillId="0" borderId="48" xfId="0" applyNumberFormat="1" applyFont="1" applyBorder="1" applyAlignment="1">
      <alignment horizontal="right"/>
    </xf>
    <xf numFmtId="14" fontId="46" fillId="0" borderId="0" xfId="0" applyNumberFormat="1" applyFont="1" applyAlignment="1">
      <alignment horizontal="right"/>
    </xf>
    <xf numFmtId="0" fontId="45" fillId="16" borderId="0" xfId="0" applyFont="1" applyFill="1" applyAlignment="1">
      <alignment vertical="center" wrapText="1"/>
    </xf>
    <xf numFmtId="4" fontId="43" fillId="2" borderId="51" xfId="0" applyNumberFormat="1" applyFont="1" applyFill="1" applyBorder="1"/>
    <xf numFmtId="4" fontId="43" fillId="2" borderId="7" xfId="0" applyNumberFormat="1" applyFont="1" applyFill="1" applyBorder="1"/>
    <xf numFmtId="4" fontId="43" fillId="2" borderId="49" xfId="0" applyNumberFormat="1" applyFont="1" applyFill="1" applyBorder="1"/>
    <xf numFmtId="4" fontId="43" fillId="2" borderId="53" xfId="0" applyNumberFormat="1" applyFont="1" applyFill="1" applyBorder="1"/>
    <xf numFmtId="4" fontId="43" fillId="2" borderId="54" xfId="0" applyNumberFormat="1" applyFont="1" applyFill="1" applyBorder="1"/>
    <xf numFmtId="2" fontId="43" fillId="2" borderId="53" xfId="0" applyNumberFormat="1" applyFont="1" applyFill="1" applyBorder="1"/>
    <xf numFmtId="2" fontId="43" fillId="2" borderId="54" xfId="0" applyNumberFormat="1" applyFont="1" applyFill="1" applyBorder="1"/>
    <xf numFmtId="4" fontId="43" fillId="2" borderId="52" xfId="0" applyNumberFormat="1" applyFont="1" applyFill="1" applyBorder="1"/>
    <xf numFmtId="4" fontId="43" fillId="2" borderId="50" xfId="0" applyNumberFormat="1" applyFont="1" applyFill="1" applyBorder="1"/>
    <xf numFmtId="4" fontId="43" fillId="2" borderId="55" xfId="0" applyNumberFormat="1" applyFont="1" applyFill="1" applyBorder="1"/>
    <xf numFmtId="2" fontId="43" fillId="2" borderId="50" xfId="0" applyNumberFormat="1" applyFont="1" applyFill="1" applyBorder="1"/>
    <xf numFmtId="10" fontId="43" fillId="2" borderId="51" xfId="0" applyNumberFormat="1" applyFont="1" applyFill="1" applyBorder="1"/>
    <xf numFmtId="10" fontId="43" fillId="2" borderId="53" xfId="0" applyNumberFormat="1" applyFont="1" applyFill="1" applyBorder="1"/>
    <xf numFmtId="10" fontId="43" fillId="2" borderId="49" xfId="0" applyNumberFormat="1" applyFont="1" applyFill="1" applyBorder="1"/>
    <xf numFmtId="10" fontId="43" fillId="2" borderId="53" xfId="3" applyNumberFormat="1" applyFont="1" applyFill="1" applyBorder="1"/>
    <xf numFmtId="10" fontId="43" fillId="2" borderId="54" xfId="3" applyNumberFormat="1" applyFont="1" applyFill="1" applyBorder="1"/>
    <xf numFmtId="10" fontId="43" fillId="2" borderId="47" xfId="3" applyNumberFormat="1" applyFont="1" applyFill="1" applyBorder="1"/>
    <xf numFmtId="10" fontId="43" fillId="2" borderId="49" xfId="3" applyNumberFormat="1" applyFont="1" applyFill="1" applyBorder="1"/>
    <xf numFmtId="4" fontId="43" fillId="2" borderId="48" xfId="0" applyNumberFormat="1" applyFont="1" applyFill="1" applyBorder="1"/>
    <xf numFmtId="0" fontId="43" fillId="11" borderId="51" xfId="0" applyFont="1" applyFill="1" applyBorder="1"/>
    <xf numFmtId="0" fontId="43" fillId="11" borderId="53" xfId="0" applyFont="1" applyFill="1" applyBorder="1"/>
    <xf numFmtId="0" fontId="43" fillId="11" borderId="7" xfId="0" applyFont="1" applyFill="1" applyBorder="1"/>
    <xf numFmtId="0" fontId="43" fillId="11" borderId="55" xfId="0" applyFont="1" applyFill="1" applyBorder="1"/>
    <xf numFmtId="0" fontId="43" fillId="11" borderId="50" xfId="0" applyFont="1" applyFill="1" applyBorder="1"/>
    <xf numFmtId="0" fontId="47" fillId="11" borderId="51" xfId="0" applyFont="1" applyFill="1" applyBorder="1"/>
    <xf numFmtId="0" fontId="47" fillId="11" borderId="53" xfId="0" applyFont="1" applyFill="1" applyBorder="1"/>
    <xf numFmtId="0" fontId="47" fillId="11" borderId="49" xfId="0" applyFont="1" applyFill="1" applyBorder="1"/>
    <xf numFmtId="0" fontId="47" fillId="11" borderId="52" xfId="0" applyFont="1" applyFill="1" applyBorder="1"/>
    <xf numFmtId="0" fontId="45" fillId="14" borderId="46" xfId="0" applyFont="1" applyFill="1" applyBorder="1" applyAlignment="1">
      <alignment horizontal="left"/>
    </xf>
    <xf numFmtId="4" fontId="43" fillId="14" borderId="49" xfId="0" applyNumberFormat="1" applyFont="1" applyFill="1" applyBorder="1"/>
    <xf numFmtId="0" fontId="48" fillId="14" borderId="49" xfId="0" applyFont="1" applyFill="1" applyBorder="1"/>
    <xf numFmtId="2" fontId="43" fillId="14" borderId="49" xfId="0" applyNumberFormat="1" applyFont="1" applyFill="1" applyBorder="1"/>
    <xf numFmtId="2" fontId="43" fillId="14" borderId="47" xfId="0" applyNumberFormat="1" applyFont="1" applyFill="1" applyBorder="1"/>
    <xf numFmtId="0" fontId="45" fillId="14" borderId="49" xfId="0" applyFont="1" applyFill="1" applyBorder="1"/>
    <xf numFmtId="0" fontId="45" fillId="14" borderId="57" xfId="0" applyFont="1" applyFill="1" applyBorder="1"/>
    <xf numFmtId="1" fontId="0" fillId="0" borderId="0" xfId="0" applyNumberFormat="1"/>
    <xf numFmtId="0" fontId="13" fillId="14" borderId="0" xfId="0" applyFont="1" applyFill="1" applyAlignment="1">
      <alignment vertical="center"/>
    </xf>
    <xf numFmtId="4" fontId="2" fillId="11" borderId="0" xfId="0" applyNumberFormat="1" applyFont="1" applyFill="1"/>
    <xf numFmtId="4" fontId="53" fillId="0" borderId="0" xfId="0" applyNumberFormat="1" applyFont="1"/>
    <xf numFmtId="0" fontId="0" fillId="0" borderId="59" xfId="0" applyBorder="1"/>
    <xf numFmtId="3" fontId="36" fillId="11" borderId="61" xfId="5" applyNumberFormat="1" applyFont="1" applyFill="1" applyBorder="1" applyAlignment="1" applyProtection="1">
      <alignment horizontal="right" vertical="center"/>
    </xf>
    <xf numFmtId="0" fontId="39" fillId="9" borderId="30" xfId="0" applyFont="1" applyFill="1" applyBorder="1"/>
    <xf numFmtId="3" fontId="40" fillId="0" borderId="60" xfId="0" applyNumberFormat="1" applyFont="1" applyBorder="1"/>
    <xf numFmtId="3" fontId="36" fillId="11" borderId="63" xfId="0" applyNumberFormat="1" applyFont="1" applyFill="1" applyBorder="1"/>
    <xf numFmtId="3" fontId="36" fillId="11" borderId="60" xfId="0" applyNumberFormat="1" applyFont="1" applyFill="1" applyBorder="1"/>
    <xf numFmtId="0" fontId="39" fillId="9" borderId="60" xfId="0" applyFont="1" applyFill="1" applyBorder="1"/>
    <xf numFmtId="3" fontId="36" fillId="0" borderId="60" xfId="0" applyNumberFormat="1" applyFont="1" applyBorder="1"/>
    <xf numFmtId="3" fontId="36" fillId="0" borderId="61" xfId="0" applyNumberFormat="1" applyFont="1" applyBorder="1"/>
    <xf numFmtId="0" fontId="39" fillId="12" borderId="63" xfId="6" quotePrefix="1" applyFont="1" applyFill="1" applyBorder="1" applyAlignment="1">
      <alignment horizontal="center" vertical="center" wrapText="1"/>
    </xf>
    <xf numFmtId="170" fontId="36" fillId="0" borderId="63" xfId="6" applyNumberFormat="1" applyFont="1" applyBorder="1" applyAlignment="1">
      <alignment horizontal="right" vertical="center" wrapText="1"/>
    </xf>
    <xf numFmtId="0" fontId="39" fillId="12" borderId="60" xfId="6" quotePrefix="1" applyFont="1" applyFill="1" applyBorder="1" applyAlignment="1">
      <alignment horizontal="center" vertical="center" wrapText="1"/>
    </xf>
    <xf numFmtId="0" fontId="35" fillId="9" borderId="64" xfId="0" applyFont="1" applyFill="1" applyBorder="1"/>
    <xf numFmtId="4" fontId="40" fillId="2" borderId="65" xfId="0" applyNumberFormat="1" applyFont="1" applyFill="1" applyBorder="1" applyAlignment="1">
      <alignment horizontal="left" vertical="top"/>
    </xf>
    <xf numFmtId="4" fontId="40" fillId="2" borderId="65" xfId="0" applyNumberFormat="1" applyFont="1" applyFill="1" applyBorder="1" applyAlignment="1">
      <alignment horizontal="left" vertical="top" indent="4"/>
    </xf>
    <xf numFmtId="4" fontId="41" fillId="2" borderId="65" xfId="0" applyNumberFormat="1" applyFont="1" applyFill="1" applyBorder="1" applyAlignment="1">
      <alignment horizontal="left" vertical="top" indent="4"/>
    </xf>
    <xf numFmtId="4" fontId="40" fillId="0" borderId="65" xfId="0" applyNumberFormat="1" applyFont="1" applyBorder="1"/>
    <xf numFmtId="4" fontId="36" fillId="11" borderId="65" xfId="0" applyNumberFormat="1" applyFont="1" applyFill="1" applyBorder="1"/>
    <xf numFmtId="0" fontId="35" fillId="9" borderId="65" xfId="0" applyFont="1" applyFill="1" applyBorder="1"/>
    <xf numFmtId="170" fontId="35" fillId="9" borderId="66" xfId="6" applyNumberFormat="1" applyFont="1" applyFill="1" applyBorder="1" applyAlignment="1">
      <alignment horizontal="right" vertical="center" wrapText="1"/>
    </xf>
    <xf numFmtId="170" fontId="36" fillId="0" borderId="67" xfId="6" applyNumberFormat="1" applyFont="1" applyBorder="1" applyAlignment="1">
      <alignment vertical="center"/>
    </xf>
    <xf numFmtId="170" fontId="36" fillId="0" borderId="65" xfId="6" applyNumberFormat="1" applyFont="1" applyBorder="1" applyAlignment="1">
      <alignment vertical="center" wrapText="1"/>
    </xf>
    <xf numFmtId="170" fontId="35" fillId="9" borderId="68" xfId="6" applyNumberFormat="1" applyFont="1" applyFill="1" applyBorder="1" applyAlignment="1">
      <alignment vertical="center" wrapText="1"/>
    </xf>
    <xf numFmtId="0" fontId="0" fillId="0" borderId="69" xfId="0" applyBorder="1"/>
    <xf numFmtId="0" fontId="0" fillId="0" borderId="70" xfId="0" applyBorder="1"/>
    <xf numFmtId="4" fontId="37" fillId="0" borderId="65" xfId="0" applyNumberFormat="1" applyFont="1" applyBorder="1"/>
    <xf numFmtId="4" fontId="37" fillId="0" borderId="65" xfId="0" applyNumberFormat="1" applyFont="1" applyBorder="1" applyAlignment="1">
      <alignment horizontal="left"/>
    </xf>
    <xf numFmtId="4" fontId="52" fillId="0" borderId="65" xfId="0" applyNumberFormat="1" applyFont="1" applyBorder="1"/>
    <xf numFmtId="4" fontId="51" fillId="0" borderId="65" xfId="0" applyNumberFormat="1" applyFont="1" applyBorder="1"/>
    <xf numFmtId="4" fontId="35" fillId="9" borderId="71" xfId="0" applyNumberFormat="1" applyFont="1" applyFill="1" applyBorder="1"/>
    <xf numFmtId="0" fontId="39" fillId="9" borderId="72" xfId="0" applyFont="1" applyFill="1" applyBorder="1"/>
    <xf numFmtId="3" fontId="40" fillId="0" borderId="73" xfId="0" applyNumberFormat="1" applyFont="1" applyBorder="1"/>
    <xf numFmtId="3" fontId="36" fillId="11" borderId="73" xfId="0" applyNumberFormat="1" applyFont="1" applyFill="1" applyBorder="1"/>
    <xf numFmtId="4" fontId="40" fillId="0" borderId="73" xfId="0" applyNumberFormat="1" applyFont="1" applyBorder="1"/>
    <xf numFmtId="0" fontId="39" fillId="9" borderId="73" xfId="0" applyFont="1" applyFill="1" applyBorder="1"/>
    <xf numFmtId="3" fontId="36" fillId="0" borderId="73" xfId="0" applyNumberFormat="1" applyFont="1" applyBorder="1"/>
    <xf numFmtId="3" fontId="36" fillId="0" borderId="74" xfId="0" applyNumberFormat="1" applyFont="1" applyBorder="1"/>
    <xf numFmtId="0" fontId="39" fillId="12" borderId="76" xfId="6" quotePrefix="1" applyFont="1" applyFill="1" applyBorder="1" applyAlignment="1">
      <alignment horizontal="center" vertical="center" wrapText="1"/>
    </xf>
    <xf numFmtId="170" fontId="36" fillId="0" borderId="70" xfId="6" applyNumberFormat="1" applyFont="1" applyBorder="1" applyAlignment="1">
      <alignment horizontal="right" vertical="center" wrapText="1"/>
    </xf>
    <xf numFmtId="170" fontId="36" fillId="0" borderId="77" xfId="6" applyNumberFormat="1" applyFont="1" applyBorder="1" applyAlignment="1">
      <alignment horizontal="right" vertical="center" wrapText="1"/>
    </xf>
    <xf numFmtId="170" fontId="35" fillId="9" borderId="75" xfId="6" applyNumberFormat="1" applyFont="1" applyFill="1" applyBorder="1" applyAlignment="1">
      <alignment horizontal="right" vertical="center" wrapText="1"/>
    </xf>
    <xf numFmtId="0" fontId="39" fillId="12" borderId="73" xfId="6" quotePrefix="1" applyFont="1" applyFill="1" applyBorder="1" applyAlignment="1">
      <alignment horizontal="center" vertical="center" wrapText="1"/>
    </xf>
    <xf numFmtId="3" fontId="36" fillId="11" borderId="78" xfId="5" applyNumberFormat="1" applyFont="1" applyFill="1" applyBorder="1" applyAlignment="1" applyProtection="1">
      <alignment horizontal="right" vertical="center"/>
    </xf>
    <xf numFmtId="170" fontId="36" fillId="0" borderId="73" xfId="6" applyNumberFormat="1" applyFont="1" applyBorder="1" applyAlignment="1">
      <alignment horizontal="right" vertical="center" wrapText="1"/>
    </xf>
    <xf numFmtId="0" fontId="39" fillId="9" borderId="77" xfId="0" applyFont="1" applyFill="1" applyBorder="1"/>
    <xf numFmtId="3" fontId="40" fillId="0" borderId="77" xfId="0" applyNumberFormat="1" applyFont="1" applyBorder="1"/>
    <xf numFmtId="3" fontId="36" fillId="11" borderId="77" xfId="0" applyNumberFormat="1" applyFont="1" applyFill="1" applyBorder="1"/>
    <xf numFmtId="4" fontId="40" fillId="0" borderId="60" xfId="0" applyNumberFormat="1" applyFont="1" applyBorder="1"/>
    <xf numFmtId="4" fontId="37" fillId="0" borderId="76" xfId="0" applyNumberFormat="1" applyFont="1" applyBorder="1"/>
    <xf numFmtId="171" fontId="0" fillId="0" borderId="0" xfId="0" applyNumberFormat="1"/>
    <xf numFmtId="170" fontId="35" fillId="9" borderId="81" xfId="6" applyNumberFormat="1" applyFont="1" applyFill="1" applyBorder="1" applyAlignment="1">
      <alignment horizontal="right" vertical="center" wrapText="1"/>
    </xf>
    <xf numFmtId="170" fontId="35" fillId="9" borderId="80" xfId="6" applyNumberFormat="1" applyFont="1" applyFill="1" applyBorder="1" applyAlignment="1">
      <alignment horizontal="right" vertical="center" wrapText="1"/>
    </xf>
    <xf numFmtId="170" fontId="35" fillId="9" borderId="82" xfId="6" applyNumberFormat="1" applyFont="1" applyFill="1" applyBorder="1" applyAlignment="1">
      <alignment horizontal="right" vertical="center" wrapText="1"/>
    </xf>
    <xf numFmtId="0" fontId="56" fillId="0" borderId="86" xfId="0" applyFont="1" applyBorder="1" applyAlignment="1">
      <alignment vertical="center"/>
    </xf>
    <xf numFmtId="4" fontId="57" fillId="0" borderId="1" xfId="0" applyNumberFormat="1" applyFont="1" applyBorder="1" applyAlignment="1">
      <alignment horizontal="center"/>
    </xf>
    <xf numFmtId="2" fontId="56" fillId="0" borderId="86" xfId="0" applyNumberFormat="1" applyFont="1" applyBorder="1" applyAlignment="1">
      <alignment vertical="center"/>
    </xf>
    <xf numFmtId="2" fontId="57" fillId="0" borderId="1" xfId="0" applyNumberFormat="1" applyFont="1" applyBorder="1" applyAlignment="1">
      <alignment horizontal="center" vertical="center"/>
    </xf>
    <xf numFmtId="10" fontId="57" fillId="0" borderId="1" xfId="0" applyNumberFormat="1" applyFont="1" applyBorder="1" applyAlignment="1">
      <alignment horizontal="center"/>
    </xf>
    <xf numFmtId="0" fontId="57" fillId="0" borderId="1" xfId="0" applyFont="1" applyBorder="1" applyAlignment="1">
      <alignment horizontal="center" vertical="center"/>
    </xf>
    <xf numFmtId="0" fontId="56" fillId="0" borderId="86" xfId="0" applyFont="1" applyBorder="1" applyAlignment="1">
      <alignment horizontal="left" vertical="center"/>
    </xf>
    <xf numFmtId="0" fontId="56" fillId="0" borderId="87" xfId="0" applyFont="1" applyBorder="1" applyAlignment="1">
      <alignment horizontal="left" vertical="center"/>
    </xf>
    <xf numFmtId="4" fontId="57" fillId="0" borderId="88" xfId="0" applyNumberFormat="1" applyFont="1" applyBorder="1" applyAlignment="1">
      <alignment horizontal="center"/>
    </xf>
    <xf numFmtId="4" fontId="43" fillId="2" borderId="90" xfId="0" applyNumberFormat="1" applyFont="1" applyFill="1" applyBorder="1"/>
    <xf numFmtId="2" fontId="43" fillId="2" borderId="47" xfId="0" applyNumberFormat="1" applyFont="1" applyFill="1" applyBorder="1"/>
    <xf numFmtId="2" fontId="43" fillId="2" borderId="91" xfId="0" applyNumberFormat="1" applyFont="1" applyFill="1" applyBorder="1"/>
    <xf numFmtId="2" fontId="43" fillId="2" borderId="92" xfId="0" applyNumberFormat="1" applyFont="1" applyFill="1" applyBorder="1"/>
    <xf numFmtId="4" fontId="43" fillId="2" borderId="92" xfId="0" applyNumberFormat="1" applyFont="1" applyFill="1" applyBorder="1"/>
    <xf numFmtId="10" fontId="43" fillId="2" borderId="93" xfId="0" applyNumberFormat="1" applyFont="1" applyFill="1" applyBorder="1"/>
    <xf numFmtId="0" fontId="37" fillId="0" borderId="15" xfId="0" applyFont="1" applyBorder="1"/>
    <xf numFmtId="0" fontId="37" fillId="0" borderId="16" xfId="0" applyFont="1" applyBorder="1"/>
    <xf numFmtId="0" fontId="37" fillId="0" borderId="17" xfId="0" applyFont="1" applyBorder="1"/>
    <xf numFmtId="9" fontId="37" fillId="0" borderId="17" xfId="3" applyFont="1" applyFill="1" applyBorder="1"/>
    <xf numFmtId="0" fontId="45" fillId="14" borderId="94" xfId="0" applyFont="1" applyFill="1" applyBorder="1"/>
    <xf numFmtId="0" fontId="47" fillId="11" borderId="91" xfId="0" applyFont="1" applyFill="1" applyBorder="1"/>
    <xf numFmtId="0" fontId="45" fillId="14" borderId="1" xfId="0" applyFont="1" applyFill="1" applyBorder="1" applyAlignment="1">
      <alignment horizontal="left"/>
    </xf>
    <xf numFmtId="0" fontId="44" fillId="14" borderId="1" xfId="0" applyFont="1" applyFill="1" applyBorder="1" applyAlignment="1">
      <alignment horizontal="right" vertical="center"/>
    </xf>
    <xf numFmtId="0" fontId="47" fillId="11" borderId="54" xfId="0" applyFont="1" applyFill="1" applyBorder="1"/>
    <xf numFmtId="4" fontId="43" fillId="2" borderId="95" xfId="0" applyNumberFormat="1" applyFont="1" applyFill="1" applyBorder="1"/>
    <xf numFmtId="4" fontId="43" fillId="2" borderId="96" xfId="0" applyNumberFormat="1" applyFont="1" applyFill="1" applyBorder="1"/>
    <xf numFmtId="2" fontId="43" fillId="2" borderId="97" xfId="0" applyNumberFormat="1" applyFont="1" applyFill="1" applyBorder="1"/>
    <xf numFmtId="0" fontId="45" fillId="14" borderId="1" xfId="0" applyFont="1" applyFill="1" applyBorder="1"/>
    <xf numFmtId="4" fontId="45" fillId="14" borderId="1" xfId="0" applyNumberFormat="1" applyFont="1" applyFill="1" applyBorder="1"/>
    <xf numFmtId="0" fontId="58" fillId="14" borderId="0" xfId="0" applyFont="1" applyFill="1" applyAlignment="1">
      <alignment horizontal="right" vertical="center"/>
    </xf>
    <xf numFmtId="0" fontId="58" fillId="14" borderId="0" xfId="0" applyFont="1" applyFill="1" applyAlignment="1">
      <alignment horizontal="left" vertical="center"/>
    </xf>
    <xf numFmtId="0" fontId="59" fillId="0" borderId="0" xfId="0" applyFont="1" applyAlignment="1">
      <alignment horizontal="left"/>
    </xf>
    <xf numFmtId="0" fontId="60" fillId="0" borderId="0" xfId="0" applyFont="1" applyAlignment="1">
      <alignment horizontal="left"/>
    </xf>
    <xf numFmtId="9" fontId="59" fillId="0" borderId="0" xfId="3" applyFont="1" applyFill="1" applyBorder="1" applyAlignment="1"/>
    <xf numFmtId="9" fontId="59" fillId="0" borderId="0" xfId="0" applyNumberFormat="1" applyFont="1"/>
    <xf numFmtId="2" fontId="59" fillId="0" borderId="0" xfId="0" applyNumberFormat="1" applyFont="1"/>
    <xf numFmtId="2" fontId="59" fillId="0" borderId="0" xfId="3" applyNumberFormat="1" applyFont="1" applyFill="1" applyBorder="1" applyAlignment="1"/>
    <xf numFmtId="3" fontId="40" fillId="0" borderId="73" xfId="0" applyNumberFormat="1" applyFont="1" applyBorder="1" applyAlignment="1">
      <alignment horizontal="right"/>
    </xf>
    <xf numFmtId="3" fontId="40" fillId="0" borderId="60" xfId="0" applyNumberFormat="1" applyFont="1" applyBorder="1" applyAlignment="1">
      <alignment horizontal="right"/>
    </xf>
    <xf numFmtId="0" fontId="44" fillId="14" borderId="105" xfId="0" applyFont="1" applyFill="1" applyBorder="1" applyAlignment="1">
      <alignment horizontal="left" vertical="center"/>
    </xf>
    <xf numFmtId="10" fontId="43" fillId="2" borderId="106" xfId="3" applyNumberFormat="1" applyFont="1" applyFill="1" applyBorder="1"/>
    <xf numFmtId="0" fontId="44" fillId="14" borderId="108" xfId="0" applyFont="1" applyFill="1" applyBorder="1" applyAlignment="1">
      <alignment horizontal="right" vertical="center"/>
    </xf>
    <xf numFmtId="4" fontId="43" fillId="2" borderId="109" xfId="0" applyNumberFormat="1" applyFont="1" applyFill="1" applyBorder="1"/>
    <xf numFmtId="0" fontId="61" fillId="14" borderId="86" xfId="0" applyFont="1" applyFill="1" applyBorder="1" applyAlignment="1">
      <alignment horizontal="center" vertical="center"/>
    </xf>
    <xf numFmtId="0" fontId="61" fillId="14" borderId="1" xfId="0" applyFont="1" applyFill="1" applyBorder="1" applyAlignment="1">
      <alignment horizontal="center" vertical="center"/>
    </xf>
    <xf numFmtId="0" fontId="61" fillId="14" borderId="1" xfId="0" applyFont="1" applyFill="1" applyBorder="1" applyAlignment="1">
      <alignment horizontal="center" vertical="center" wrapText="1"/>
    </xf>
    <xf numFmtId="0" fontId="61" fillId="14" borderId="8" xfId="0" applyFont="1" applyFill="1" applyBorder="1" applyAlignment="1">
      <alignment horizontal="center" vertical="center" wrapText="1"/>
    </xf>
    <xf numFmtId="0" fontId="57" fillId="13" borderId="1" xfId="0" applyFont="1" applyFill="1" applyBorder="1" applyAlignment="1">
      <alignment horizontal="center" vertical="center"/>
    </xf>
    <xf numFmtId="2" fontId="57" fillId="13" borderId="1" xfId="0" applyNumberFormat="1" applyFont="1" applyFill="1" applyBorder="1" applyAlignment="1">
      <alignment horizontal="center" vertical="center"/>
    </xf>
    <xf numFmtId="0" fontId="57" fillId="13" borderId="88" xfId="0" applyFont="1" applyFill="1" applyBorder="1" applyAlignment="1">
      <alignment horizontal="center" vertical="center"/>
    </xf>
    <xf numFmtId="0" fontId="57" fillId="13" borderId="8" xfId="0" applyFont="1" applyFill="1" applyBorder="1" applyAlignment="1">
      <alignment horizontal="center" vertical="center"/>
    </xf>
    <xf numFmtId="2" fontId="57" fillId="13" borderId="8" xfId="0" applyNumberFormat="1" applyFont="1" applyFill="1" applyBorder="1" applyAlignment="1">
      <alignment horizontal="center" vertical="center"/>
    </xf>
    <xf numFmtId="0" fontId="57" fillId="13" borderId="89" xfId="0" applyFont="1" applyFill="1" applyBorder="1" applyAlignment="1">
      <alignment horizontal="center" vertical="center"/>
    </xf>
    <xf numFmtId="0" fontId="57" fillId="13" borderId="57" xfId="0" applyFont="1" applyFill="1" applyBorder="1" applyAlignment="1">
      <alignment horizontal="center" vertical="center"/>
    </xf>
    <xf numFmtId="0" fontId="0" fillId="0" borderId="110" xfId="0" applyBorder="1"/>
    <xf numFmtId="0" fontId="62" fillId="0" borderId="0" xfId="0" applyFont="1"/>
    <xf numFmtId="0" fontId="63" fillId="0" borderId="104" xfId="0" applyFont="1" applyBorder="1"/>
    <xf numFmtId="14" fontId="63" fillId="0" borderId="107" xfId="0" applyNumberFormat="1" applyFont="1" applyBorder="1"/>
    <xf numFmtId="10" fontId="63" fillId="0" borderId="0" xfId="0" applyNumberFormat="1" applyFont="1"/>
    <xf numFmtId="10" fontId="63" fillId="0" borderId="112" xfId="0" applyNumberFormat="1" applyFont="1" applyBorder="1"/>
    <xf numFmtId="14" fontId="63" fillId="0" borderId="104" xfId="0" applyNumberFormat="1" applyFont="1" applyBorder="1"/>
    <xf numFmtId="10" fontId="63" fillId="0" borderId="111" xfId="0" applyNumberFormat="1" applyFont="1" applyBorder="1"/>
    <xf numFmtId="10" fontId="63" fillId="0" borderId="113" xfId="0" applyNumberFormat="1" applyFont="1" applyBorder="1"/>
    <xf numFmtId="0" fontId="63" fillId="17" borderId="104" xfId="0" applyFont="1" applyFill="1" applyBorder="1" applyAlignment="1">
      <alignment horizontal="right" vertical="center"/>
    </xf>
    <xf numFmtId="0" fontId="63" fillId="17" borderId="115" xfId="0" applyFont="1" applyFill="1" applyBorder="1" applyAlignment="1">
      <alignment horizontal="right" vertical="center"/>
    </xf>
    <xf numFmtId="0" fontId="63" fillId="17" borderId="114" xfId="0" applyFont="1" applyFill="1" applyBorder="1" applyAlignment="1">
      <alignment horizontal="right" vertical="center"/>
    </xf>
    <xf numFmtId="4" fontId="63" fillId="0" borderId="116" xfId="0" applyNumberFormat="1" applyFont="1" applyBorder="1"/>
    <xf numFmtId="4" fontId="63" fillId="0" borderId="102" xfId="0" applyNumberFormat="1" applyFont="1" applyBorder="1"/>
    <xf numFmtId="4" fontId="63" fillId="0" borderId="103" xfId="0" applyNumberFormat="1" applyFont="1" applyBorder="1"/>
    <xf numFmtId="0" fontId="63" fillId="0" borderId="102" xfId="0" applyFont="1" applyBorder="1"/>
    <xf numFmtId="0" fontId="63" fillId="0" borderId="103" xfId="0" applyFont="1" applyBorder="1"/>
    <xf numFmtId="0" fontId="66" fillId="18" borderId="117" xfId="0" applyFont="1" applyFill="1" applyBorder="1" applyAlignment="1">
      <alignment horizontal="center"/>
    </xf>
    <xf numFmtId="165" fontId="67" fillId="18" borderId="117" xfId="0" applyNumberFormat="1" applyFont="1" applyFill="1" applyBorder="1" applyAlignment="1">
      <alignment horizontal="center"/>
    </xf>
    <xf numFmtId="4" fontId="67" fillId="18" borderId="117" xfId="0" applyNumberFormat="1" applyFont="1" applyFill="1" applyBorder="1" applyAlignment="1">
      <alignment horizontal="center"/>
    </xf>
    <xf numFmtId="0" fontId="66" fillId="0" borderId="117" xfId="0" applyFont="1" applyBorder="1" applyAlignment="1">
      <alignment horizontal="center"/>
    </xf>
    <xf numFmtId="165" fontId="67" fillId="0" borderId="117" xfId="0" applyNumberFormat="1" applyFont="1" applyBorder="1" applyAlignment="1">
      <alignment horizontal="center"/>
    </xf>
    <xf numFmtId="4" fontId="67" fillId="0" borderId="117" xfId="0" applyNumberFormat="1" applyFont="1" applyBorder="1" applyAlignment="1">
      <alignment horizontal="center"/>
    </xf>
    <xf numFmtId="0" fontId="66" fillId="19" borderId="117" xfId="0" applyFont="1" applyFill="1" applyBorder="1" applyAlignment="1">
      <alignment horizontal="center"/>
    </xf>
    <xf numFmtId="165" fontId="67" fillId="19" borderId="117" xfId="0" applyNumberFormat="1" applyFont="1" applyFill="1" applyBorder="1" applyAlignment="1">
      <alignment horizontal="center"/>
    </xf>
    <xf numFmtId="4" fontId="67" fillId="19" borderId="117" xfId="0" applyNumberFormat="1" applyFont="1" applyFill="1" applyBorder="1" applyAlignment="1">
      <alignment horizontal="center"/>
    </xf>
    <xf numFmtId="4" fontId="66" fillId="20" borderId="117" xfId="0" applyNumberFormat="1" applyFont="1" applyFill="1" applyBorder="1" applyAlignment="1">
      <alignment horizontal="center"/>
    </xf>
    <xf numFmtId="0" fontId="17" fillId="0" borderId="117" xfId="0" applyFont="1" applyBorder="1" applyAlignment="1">
      <alignment wrapText="1"/>
    </xf>
    <xf numFmtId="14" fontId="63" fillId="0" borderId="122" xfId="0" applyNumberFormat="1" applyFont="1" applyBorder="1"/>
    <xf numFmtId="4" fontId="63" fillId="0" borderId="121" xfId="0" applyNumberFormat="1" applyFont="1" applyBorder="1"/>
    <xf numFmtId="10" fontId="63" fillId="0" borderId="123" xfId="0" applyNumberFormat="1" applyFont="1" applyBorder="1"/>
    <xf numFmtId="0" fontId="63" fillId="0" borderId="121" xfId="0" applyFont="1" applyBorder="1"/>
    <xf numFmtId="10" fontId="63" fillId="0" borderId="124" xfId="0" applyNumberFormat="1" applyFont="1" applyBorder="1"/>
    <xf numFmtId="165" fontId="63" fillId="0" borderId="116" xfId="3" applyNumberFormat="1" applyFont="1" applyBorder="1"/>
    <xf numFmtId="165" fontId="63" fillId="0" borderId="112" xfId="3" applyNumberFormat="1" applyFont="1" applyBorder="1"/>
    <xf numFmtId="165" fontId="63" fillId="0" borderId="102" xfId="3" applyNumberFormat="1" applyFont="1" applyBorder="1"/>
    <xf numFmtId="165" fontId="63" fillId="0" borderId="121" xfId="3" applyNumberFormat="1" applyFont="1" applyBorder="1"/>
    <xf numFmtId="165" fontId="63" fillId="0" borderId="124" xfId="3" applyNumberFormat="1" applyFont="1" applyBorder="1"/>
    <xf numFmtId="165" fontId="63" fillId="0" borderId="103" xfId="3" applyNumberFormat="1" applyFont="1" applyBorder="1"/>
    <xf numFmtId="165" fontId="63" fillId="0" borderId="113" xfId="3" applyNumberFormat="1" applyFont="1" applyBorder="1"/>
    <xf numFmtId="0" fontId="65" fillId="21" borderId="117" xfId="0" applyFont="1" applyFill="1" applyBorder="1" applyAlignment="1">
      <alignment horizontal="center"/>
    </xf>
    <xf numFmtId="0" fontId="68" fillId="0" borderId="0" xfId="0" applyFont="1"/>
    <xf numFmtId="0" fontId="47" fillId="11" borderId="125" xfId="0" applyFont="1" applyFill="1" applyBorder="1"/>
    <xf numFmtId="0" fontId="47" fillId="11" borderId="126" xfId="0" applyFont="1" applyFill="1" applyBorder="1"/>
    <xf numFmtId="10" fontId="43" fillId="2" borderId="127" xfId="3" applyNumberFormat="1" applyFont="1" applyFill="1" applyBorder="1"/>
    <xf numFmtId="10" fontId="43" fillId="2" borderId="90" xfId="3" applyNumberFormat="1" applyFont="1" applyFill="1" applyBorder="1"/>
    <xf numFmtId="10" fontId="43" fillId="2" borderId="96" xfId="3" applyNumberFormat="1" applyFont="1" applyFill="1" applyBorder="1"/>
    <xf numFmtId="0" fontId="47" fillId="11" borderId="130" xfId="0" applyFont="1" applyFill="1" applyBorder="1"/>
    <xf numFmtId="0" fontId="47" fillId="11" borderId="131" xfId="0" applyFont="1" applyFill="1" applyBorder="1"/>
    <xf numFmtId="2" fontId="37" fillId="0" borderId="128" xfId="0" applyNumberFormat="1" applyFont="1" applyBorder="1"/>
    <xf numFmtId="2" fontId="37" fillId="0" borderId="129" xfId="0" applyNumberFormat="1" applyFont="1" applyBorder="1"/>
    <xf numFmtId="10" fontId="0" fillId="0" borderId="0" xfId="0" applyNumberFormat="1"/>
    <xf numFmtId="2" fontId="0" fillId="0" borderId="0" xfId="0" applyNumberFormat="1"/>
    <xf numFmtId="172" fontId="27" fillId="0" borderId="0" xfId="0" applyNumberFormat="1" applyFont="1"/>
    <xf numFmtId="4" fontId="35" fillId="9" borderId="71" xfId="0" applyNumberFormat="1" applyFont="1" applyFill="1" applyBorder="1" applyAlignment="1">
      <alignment vertical="center"/>
    </xf>
    <xf numFmtId="170" fontId="0" fillId="0" borderId="0" xfId="0" applyNumberFormat="1"/>
    <xf numFmtId="4" fontId="36" fillId="0" borderId="59" xfId="0" applyNumberFormat="1" applyFont="1" applyBorder="1"/>
    <xf numFmtId="9" fontId="36" fillId="11" borderId="17" xfId="3" applyFont="1" applyFill="1" applyBorder="1"/>
    <xf numFmtId="9" fontId="35" fillId="10" borderId="156" xfId="3" applyFont="1" applyFill="1" applyBorder="1"/>
    <xf numFmtId="9" fontId="35" fillId="10" borderId="157" xfId="3" applyFont="1" applyFill="1" applyBorder="1"/>
    <xf numFmtId="9" fontId="36" fillId="11" borderId="60" xfId="3" applyFont="1" applyFill="1" applyBorder="1"/>
    <xf numFmtId="9" fontId="36" fillId="11" borderId="159" xfId="3" applyFont="1" applyFill="1" applyBorder="1"/>
    <xf numFmtId="9" fontId="35" fillId="10" borderId="160" xfId="3" applyFont="1" applyFill="1" applyBorder="1"/>
    <xf numFmtId="9" fontId="36" fillId="11" borderId="79" xfId="3" applyFont="1" applyFill="1" applyBorder="1"/>
    <xf numFmtId="9" fontId="36" fillId="0" borderId="65" xfId="3" applyFont="1" applyBorder="1"/>
    <xf numFmtId="9" fontId="35" fillId="10" borderId="161" xfId="3" applyFont="1" applyFill="1" applyBorder="1"/>
    <xf numFmtId="4" fontId="36" fillId="0" borderId="162" xfId="0" applyNumberFormat="1" applyFont="1" applyBorder="1"/>
    <xf numFmtId="9" fontId="36" fillId="11" borderId="163" xfId="3" applyFont="1" applyFill="1" applyBorder="1"/>
    <xf numFmtId="9" fontId="35" fillId="10" borderId="164" xfId="3" applyFont="1" applyFill="1" applyBorder="1"/>
    <xf numFmtId="9" fontId="36" fillId="11" borderId="73" xfId="3" applyFont="1" applyFill="1" applyBorder="1"/>
    <xf numFmtId="9" fontId="36" fillId="0" borderId="73" xfId="3" applyFont="1" applyBorder="1"/>
    <xf numFmtId="9" fontId="35" fillId="10" borderId="165" xfId="3" applyFont="1" applyFill="1" applyBorder="1"/>
    <xf numFmtId="4" fontId="36" fillId="0" borderId="78" xfId="0" applyNumberFormat="1" applyFont="1" applyBorder="1"/>
    <xf numFmtId="9" fontId="36" fillId="11" borderId="166" xfId="3" applyFont="1" applyFill="1" applyBorder="1"/>
    <xf numFmtId="9" fontId="35" fillId="10" borderId="167" xfId="3" applyFont="1" applyFill="1" applyBorder="1"/>
    <xf numFmtId="9" fontId="35" fillId="10" borderId="168" xfId="3" applyFont="1" applyFill="1" applyBorder="1"/>
    <xf numFmtId="0" fontId="35" fillId="9" borderId="169" xfId="0" applyFont="1" applyFill="1" applyBorder="1" applyAlignment="1">
      <alignment horizontal="center" vertical="center"/>
    </xf>
    <xf numFmtId="0" fontId="35" fillId="9" borderId="170" xfId="0" applyFont="1" applyFill="1" applyBorder="1" applyAlignment="1">
      <alignment horizontal="center" vertical="center"/>
    </xf>
    <xf numFmtId="0" fontId="35" fillId="9" borderId="85" xfId="0" applyFont="1" applyFill="1" applyBorder="1" applyAlignment="1">
      <alignment horizontal="center" vertical="center"/>
    </xf>
    <xf numFmtId="4" fontId="36" fillId="0" borderId="0" xfId="0" applyNumberFormat="1" applyFont="1"/>
    <xf numFmtId="9" fontId="36" fillId="0" borderId="171" xfId="3" applyFont="1" applyBorder="1"/>
    <xf numFmtId="0" fontId="39" fillId="9" borderId="158" xfId="0" applyFont="1" applyFill="1" applyBorder="1" applyAlignment="1">
      <alignment horizontal="center"/>
    </xf>
    <xf numFmtId="9" fontId="36" fillId="0" borderId="60" xfId="3" applyFont="1" applyBorder="1"/>
    <xf numFmtId="4" fontId="36" fillId="0" borderId="172" xfId="0" applyNumberFormat="1" applyFont="1" applyBorder="1"/>
    <xf numFmtId="9" fontId="35" fillId="10" borderId="173" xfId="3" applyFont="1" applyFill="1" applyBorder="1"/>
    <xf numFmtId="9" fontId="36" fillId="11" borderId="65" xfId="3" applyFont="1" applyFill="1" applyBorder="1"/>
    <xf numFmtId="9" fontId="35" fillId="10" borderId="174" xfId="3" applyFont="1" applyFill="1" applyBorder="1"/>
    <xf numFmtId="9" fontId="36" fillId="11" borderId="175" xfId="3" applyFont="1" applyFill="1" applyBorder="1"/>
    <xf numFmtId="9" fontId="35" fillId="10" borderId="176" xfId="3" applyFont="1" applyFill="1" applyBorder="1"/>
    <xf numFmtId="9" fontId="36" fillId="11" borderId="38" xfId="3" applyFont="1" applyFill="1" applyBorder="1"/>
    <xf numFmtId="0" fontId="37" fillId="0" borderId="158" xfId="0" applyFont="1" applyBorder="1"/>
    <xf numFmtId="9" fontId="36" fillId="11" borderId="63" xfId="3" applyFont="1" applyFill="1" applyBorder="1"/>
    <xf numFmtId="9" fontId="37" fillId="0" borderId="158" xfId="3" applyFont="1" applyFill="1" applyBorder="1"/>
    <xf numFmtId="0" fontId="36" fillId="0" borderId="158" xfId="0" applyFont="1" applyBorder="1"/>
    <xf numFmtId="4" fontId="40" fillId="0" borderId="17" xfId="0" applyNumberFormat="1" applyFont="1" applyBorder="1"/>
    <xf numFmtId="0" fontId="39" fillId="9" borderId="38" xfId="0" applyFont="1" applyFill="1" applyBorder="1" applyAlignment="1">
      <alignment horizontal="center"/>
    </xf>
    <xf numFmtId="0" fontId="36" fillId="0" borderId="38" xfId="0" applyFont="1" applyBorder="1"/>
    <xf numFmtId="0" fontId="37" fillId="0" borderId="38" xfId="0" applyFont="1" applyBorder="1"/>
    <xf numFmtId="9" fontId="37" fillId="0" borderId="38" xfId="3" applyFont="1" applyFill="1" applyBorder="1"/>
    <xf numFmtId="9" fontId="36" fillId="11" borderId="177" xfId="3" applyFont="1" applyFill="1" applyBorder="1"/>
    <xf numFmtId="9" fontId="36" fillId="0" borderId="178" xfId="3" applyFont="1" applyFill="1" applyBorder="1"/>
    <xf numFmtId="9" fontId="36" fillId="0" borderId="39" xfId="3" applyFont="1" applyFill="1" applyBorder="1"/>
    <xf numFmtId="4" fontId="37" fillId="0" borderId="179" xfId="0" applyNumberFormat="1" applyFont="1" applyBorder="1"/>
    <xf numFmtId="4" fontId="37" fillId="0" borderId="39" xfId="0" applyNumberFormat="1" applyFont="1" applyBorder="1"/>
    <xf numFmtId="9" fontId="37" fillId="0" borderId="66" xfId="3" applyFont="1" applyFill="1" applyBorder="1"/>
    <xf numFmtId="9" fontId="37" fillId="0" borderId="179" xfId="3" applyFont="1" applyFill="1" applyBorder="1"/>
    <xf numFmtId="9" fontId="37" fillId="0" borderId="39" xfId="3" applyFont="1" applyFill="1" applyBorder="1"/>
    <xf numFmtId="4" fontId="37" fillId="0" borderId="178" xfId="0" applyNumberFormat="1" applyFont="1" applyBorder="1"/>
    <xf numFmtId="0" fontId="72" fillId="11" borderId="135" xfId="0" applyFont="1" applyFill="1" applyBorder="1" applyAlignment="1">
      <alignment horizontal="left"/>
    </xf>
    <xf numFmtId="0" fontId="72" fillId="11" borderId="136" xfId="0" applyFont="1" applyFill="1" applyBorder="1" applyAlignment="1">
      <alignment horizontal="left"/>
    </xf>
    <xf numFmtId="0" fontId="73" fillId="0" borderId="136" xfId="0" applyFont="1" applyBorder="1" applyAlignment="1">
      <alignment horizontal="left"/>
    </xf>
    <xf numFmtId="0" fontId="73" fillId="0" borderId="137" xfId="0" applyFont="1" applyBorder="1" applyAlignment="1">
      <alignment horizontal="left"/>
    </xf>
    <xf numFmtId="0" fontId="71" fillId="9" borderId="132" xfId="0" applyFont="1" applyFill="1" applyBorder="1" applyAlignment="1">
      <alignment horizontal="center" vertical="center"/>
    </xf>
    <xf numFmtId="0" fontId="71" fillId="9" borderId="133" xfId="0" applyFont="1" applyFill="1" applyBorder="1" applyAlignment="1">
      <alignment horizontal="center" vertical="center"/>
    </xf>
    <xf numFmtId="0" fontId="71" fillId="9" borderId="134" xfId="0" applyFont="1" applyFill="1" applyBorder="1" applyAlignment="1">
      <alignment horizontal="center" vertical="center"/>
    </xf>
    <xf numFmtId="0" fontId="71" fillId="9" borderId="135" xfId="0" applyFont="1" applyFill="1" applyBorder="1" applyAlignment="1">
      <alignment horizontal="center" vertical="center"/>
    </xf>
    <xf numFmtId="0" fontId="71" fillId="9" borderId="136" xfId="0" applyFont="1" applyFill="1" applyBorder="1" applyAlignment="1">
      <alignment horizontal="center" vertical="center"/>
    </xf>
    <xf numFmtId="0" fontId="71" fillId="9" borderId="137" xfId="0" applyFont="1" applyFill="1" applyBorder="1" applyAlignment="1">
      <alignment horizontal="center" vertical="center"/>
    </xf>
    <xf numFmtId="0" fontId="72" fillId="0" borderId="135" xfId="0" applyFont="1" applyBorder="1" applyAlignment="1">
      <alignment horizontal="left"/>
    </xf>
    <xf numFmtId="0" fontId="72" fillId="0" borderId="136" xfId="0" applyFont="1" applyBorder="1" applyAlignment="1">
      <alignment horizontal="left"/>
    </xf>
    <xf numFmtId="0" fontId="72" fillId="0" borderId="135" xfId="0" applyFont="1" applyBorder="1" applyAlignment="1">
      <alignment horizontal="left" vertical="center"/>
    </xf>
    <xf numFmtId="0" fontId="72" fillId="0" borderId="136" xfId="0" applyFont="1" applyBorder="1" applyAlignment="1">
      <alignment horizontal="left" vertical="center"/>
    </xf>
    <xf numFmtId="0" fontId="10" fillId="0" borderId="136" xfId="2" applyBorder="1" applyAlignment="1">
      <alignment horizontal="left"/>
    </xf>
    <xf numFmtId="0" fontId="10" fillId="0" borderId="137" xfId="2" applyBorder="1" applyAlignment="1">
      <alignment horizontal="left"/>
    </xf>
    <xf numFmtId="0" fontId="0" fillId="0" borderId="138" xfId="0" applyBorder="1" applyAlignment="1">
      <alignment horizontal="center"/>
    </xf>
    <xf numFmtId="0" fontId="0" fillId="0" borderId="105" xfId="0" applyBorder="1" applyAlignment="1">
      <alignment horizontal="center"/>
    </xf>
    <xf numFmtId="0" fontId="0" fillId="0" borderId="139" xfId="0" applyBorder="1" applyAlignment="1">
      <alignment horizontal="center"/>
    </xf>
    <xf numFmtId="0" fontId="0" fillId="0" borderId="110" xfId="0" applyBorder="1" applyAlignment="1">
      <alignment horizontal="center"/>
    </xf>
    <xf numFmtId="0" fontId="0" fillId="0" borderId="0" xfId="0" applyAlignment="1">
      <alignment horizontal="center"/>
    </xf>
    <xf numFmtId="0" fontId="0" fillId="0" borderId="140" xfId="0" applyBorder="1" applyAlignment="1">
      <alignment horizontal="center"/>
    </xf>
    <xf numFmtId="0" fontId="74" fillId="9" borderId="135" xfId="0" applyFont="1" applyFill="1" applyBorder="1" applyAlignment="1">
      <alignment horizontal="center" vertical="center"/>
    </xf>
    <xf numFmtId="0" fontId="74" fillId="9" borderId="136" xfId="0" applyFont="1" applyFill="1" applyBorder="1" applyAlignment="1">
      <alignment horizontal="center" vertical="center"/>
    </xf>
    <xf numFmtId="0" fontId="74" fillId="9" borderId="137" xfId="0" applyFont="1" applyFill="1" applyBorder="1" applyAlignment="1">
      <alignment horizontal="center" vertical="center"/>
    </xf>
    <xf numFmtId="0" fontId="73" fillId="0" borderId="136" xfId="0" applyFont="1" applyBorder="1" applyAlignment="1">
      <alignment horizontal="left" vertical="center" wrapText="1"/>
    </xf>
    <xf numFmtId="0" fontId="73" fillId="0" borderId="137" xfId="0" applyFont="1" applyBorder="1" applyAlignment="1">
      <alignment horizontal="left" vertical="center" wrapText="1"/>
    </xf>
    <xf numFmtId="0" fontId="73" fillId="11" borderId="136" xfId="0" applyFont="1" applyFill="1" applyBorder="1" applyAlignment="1">
      <alignment horizontal="left" vertical="center"/>
    </xf>
    <xf numFmtId="0" fontId="73" fillId="11" borderId="137" xfId="0" applyFont="1" applyFill="1" applyBorder="1" applyAlignment="1">
      <alignment horizontal="left" vertical="center"/>
    </xf>
    <xf numFmtId="0" fontId="73" fillId="0" borderId="136" xfId="0" applyFont="1" applyBorder="1" applyAlignment="1">
      <alignment horizontal="left" vertical="center"/>
    </xf>
    <xf numFmtId="0" fontId="73" fillId="0" borderId="137" xfId="0" applyFont="1" applyBorder="1" applyAlignment="1">
      <alignment horizontal="left" vertical="center"/>
    </xf>
    <xf numFmtId="0" fontId="72" fillId="11" borderId="135" xfId="0" applyFont="1" applyFill="1" applyBorder="1" applyAlignment="1">
      <alignment horizontal="left" vertical="center"/>
    </xf>
    <xf numFmtId="0" fontId="72" fillId="11" borderId="136" xfId="0" applyFont="1" applyFill="1" applyBorder="1" applyAlignment="1">
      <alignment horizontal="left" vertical="center"/>
    </xf>
    <xf numFmtId="0" fontId="73" fillId="11" borderId="141" xfId="0" applyFont="1" applyFill="1" applyBorder="1" applyAlignment="1">
      <alignment horizontal="left" vertical="center" wrapText="1"/>
    </xf>
    <xf numFmtId="0" fontId="73" fillId="11" borderId="108" xfId="0" applyFont="1" applyFill="1" applyBorder="1" applyAlignment="1">
      <alignment horizontal="left" vertical="center" wrapText="1"/>
    </xf>
    <xf numFmtId="0" fontId="73" fillId="11" borderId="142" xfId="0" applyFont="1" applyFill="1" applyBorder="1" applyAlignment="1">
      <alignment horizontal="left" vertical="center" wrapText="1"/>
    </xf>
    <xf numFmtId="0" fontId="73" fillId="11" borderId="136" xfId="0" applyFont="1" applyFill="1" applyBorder="1" applyAlignment="1">
      <alignment horizontal="left" vertical="center" wrapText="1"/>
    </xf>
    <xf numFmtId="0" fontId="73" fillId="11" borderId="137" xfId="0" applyFont="1" applyFill="1" applyBorder="1" applyAlignment="1">
      <alignment horizontal="left" vertical="center" wrapText="1"/>
    </xf>
    <xf numFmtId="0" fontId="73" fillId="0" borderId="141" xfId="0" applyFont="1" applyBorder="1" applyAlignment="1">
      <alignment horizontal="left" vertical="center" wrapText="1"/>
    </xf>
    <xf numFmtId="0" fontId="73" fillId="0" borderId="108" xfId="0" applyFont="1" applyBorder="1" applyAlignment="1">
      <alignment horizontal="left" vertical="center" wrapText="1"/>
    </xf>
    <xf numFmtId="0" fontId="73" fillId="0" borderId="142" xfId="0" applyFont="1" applyBorder="1" applyAlignment="1">
      <alignment horizontal="left" vertical="center" wrapText="1"/>
    </xf>
    <xf numFmtId="0" fontId="72" fillId="11" borderId="143" xfId="0" applyFont="1" applyFill="1" applyBorder="1" applyAlignment="1">
      <alignment horizontal="left" vertical="center"/>
    </xf>
    <xf numFmtId="0" fontId="72" fillId="11" borderId="108" xfId="0" applyFont="1" applyFill="1" applyBorder="1" applyAlignment="1">
      <alignment horizontal="left" vertical="center"/>
    </xf>
    <xf numFmtId="0" fontId="72" fillId="11" borderId="144" xfId="0" applyFont="1" applyFill="1" applyBorder="1" applyAlignment="1">
      <alignment horizontal="left" vertical="center"/>
    </xf>
    <xf numFmtId="0" fontId="73" fillId="0" borderId="135" xfId="0" applyFont="1" applyBorder="1" applyAlignment="1">
      <alignment horizontal="left" vertical="center" wrapText="1"/>
    </xf>
    <xf numFmtId="0" fontId="75" fillId="22" borderId="135" xfId="0" applyFont="1" applyFill="1" applyBorder="1" applyAlignment="1">
      <alignment horizontal="left" vertical="center" wrapText="1"/>
    </xf>
    <xf numFmtId="0" fontId="75" fillId="22" borderId="136" xfId="0" applyFont="1" applyFill="1" applyBorder="1" applyAlignment="1">
      <alignment horizontal="left" vertical="center" wrapText="1"/>
    </xf>
    <xf numFmtId="0" fontId="75" fillId="22" borderId="137" xfId="0" applyFont="1" applyFill="1" applyBorder="1" applyAlignment="1">
      <alignment horizontal="left" vertical="center" wrapText="1"/>
    </xf>
    <xf numFmtId="0" fontId="73" fillId="0" borderId="145" xfId="0" applyFont="1" applyBorder="1" applyAlignment="1">
      <alignment horizontal="left" vertical="center" wrapText="1"/>
    </xf>
    <xf numFmtId="0" fontId="73" fillId="0" borderId="105" xfId="0" applyFont="1" applyBorder="1" applyAlignment="1">
      <alignment horizontal="left" vertical="center" wrapText="1"/>
    </xf>
    <xf numFmtId="0" fontId="73" fillId="0" borderId="139" xfId="0" applyFont="1" applyBorder="1" applyAlignment="1">
      <alignment horizontal="left" vertical="center" wrapText="1"/>
    </xf>
    <xf numFmtId="0" fontId="73" fillId="0" borderId="107" xfId="0" applyFont="1" applyBorder="1" applyAlignment="1">
      <alignment horizontal="left" vertical="center" wrapText="1"/>
    </xf>
    <xf numFmtId="0" fontId="73" fillId="0" borderId="0" xfId="0" applyFont="1" applyAlignment="1">
      <alignment horizontal="left" vertical="center" wrapText="1"/>
    </xf>
    <xf numFmtId="0" fontId="73" fillId="0" borderId="140" xfId="0" applyFont="1" applyBorder="1" applyAlignment="1">
      <alignment horizontal="left" vertical="center" wrapText="1"/>
    </xf>
    <xf numFmtId="0" fontId="73" fillId="0" borderId="104" xfId="0" applyFont="1" applyBorder="1" applyAlignment="1">
      <alignment horizontal="left" vertical="center" wrapText="1"/>
    </xf>
    <xf numFmtId="0" fontId="73" fillId="0" borderId="111" xfId="0" applyFont="1" applyBorder="1" applyAlignment="1">
      <alignment horizontal="left" vertical="center" wrapText="1"/>
    </xf>
    <xf numFmtId="0" fontId="73" fillId="0" borderId="146" xfId="0" applyFont="1" applyBorder="1" applyAlignment="1">
      <alignment horizontal="left" vertical="center" wrapText="1"/>
    </xf>
    <xf numFmtId="0" fontId="73" fillId="11" borderId="135" xfId="0" applyFont="1" applyFill="1" applyBorder="1" applyAlignment="1">
      <alignment horizontal="left" vertical="center" wrapText="1"/>
    </xf>
    <xf numFmtId="0" fontId="73" fillId="11" borderId="145" xfId="0" applyFont="1" applyFill="1" applyBorder="1" applyAlignment="1">
      <alignment horizontal="left" vertical="center" wrapText="1"/>
    </xf>
    <xf numFmtId="0" fontId="73" fillId="11" borderId="105" xfId="0" applyFont="1" applyFill="1" applyBorder="1" applyAlignment="1">
      <alignment horizontal="left" vertical="center"/>
    </xf>
    <xf numFmtId="0" fontId="73" fillId="11" borderId="139" xfId="0" applyFont="1" applyFill="1" applyBorder="1" applyAlignment="1">
      <alignment horizontal="left" vertical="center"/>
    </xf>
    <xf numFmtId="0" fontId="73" fillId="11" borderId="107" xfId="0" applyFont="1" applyFill="1" applyBorder="1" applyAlignment="1">
      <alignment horizontal="left" vertical="center"/>
    </xf>
    <xf numFmtId="0" fontId="73" fillId="11" borderId="140" xfId="0" applyFont="1" applyFill="1" applyBorder="1" applyAlignment="1">
      <alignment horizontal="left" vertical="center"/>
    </xf>
    <xf numFmtId="0" fontId="73" fillId="0" borderId="0" xfId="0" applyFont="1" applyAlignment="1">
      <alignment horizontal="left" vertical="center"/>
    </xf>
    <xf numFmtId="0" fontId="73" fillId="0" borderId="140" xfId="0" applyFont="1" applyBorder="1" applyAlignment="1">
      <alignment horizontal="left" vertical="center"/>
    </xf>
    <xf numFmtId="0" fontId="73" fillId="0" borderId="107" xfId="0" applyFont="1" applyBorder="1" applyAlignment="1">
      <alignment horizontal="left" vertical="center"/>
    </xf>
    <xf numFmtId="0" fontId="73" fillId="0" borderId="138" xfId="0" applyFont="1" applyBorder="1" applyAlignment="1">
      <alignment horizontal="left" vertical="center" wrapText="1"/>
    </xf>
    <xf numFmtId="0" fontId="73" fillId="0" borderId="147" xfId="0" applyFont="1" applyBorder="1" applyAlignment="1">
      <alignment horizontal="left" vertical="center" wrapText="1"/>
    </xf>
    <xf numFmtId="0" fontId="73" fillId="0" borderId="110" xfId="0" applyFont="1" applyBorder="1" applyAlignment="1">
      <alignment horizontal="left" vertical="center" wrapText="1"/>
    </xf>
    <xf numFmtId="0" fontId="73" fillId="0" borderId="112" xfId="0" applyFont="1" applyBorder="1" applyAlignment="1">
      <alignment horizontal="left" vertical="center" wrapText="1"/>
    </xf>
    <xf numFmtId="0" fontId="73" fillId="0" borderId="148" xfId="0" applyFont="1" applyBorder="1" applyAlignment="1">
      <alignment horizontal="left" vertical="center" wrapText="1"/>
    </xf>
    <xf numFmtId="0" fontId="73" fillId="0" borderId="113" xfId="0" applyFont="1" applyBorder="1" applyAlignment="1">
      <alignment horizontal="left" vertical="center" wrapText="1"/>
    </xf>
    <xf numFmtId="0" fontId="73" fillId="0" borderId="136" xfId="0" applyFont="1" applyBorder="1" applyAlignment="1">
      <alignment horizontal="left" vertical="top" wrapText="1"/>
    </xf>
    <xf numFmtId="0" fontId="73" fillId="0" borderId="137" xfId="0" applyFont="1" applyBorder="1" applyAlignment="1">
      <alignment horizontal="left" vertical="top" wrapText="1"/>
    </xf>
    <xf numFmtId="0" fontId="76" fillId="22" borderId="141" xfId="0" applyFont="1" applyFill="1" applyBorder="1" applyAlignment="1">
      <alignment horizontal="center" vertical="center" wrapText="1"/>
    </xf>
    <xf numFmtId="0" fontId="76" fillId="22" borderId="108" xfId="0" applyFont="1" applyFill="1" applyBorder="1" applyAlignment="1">
      <alignment horizontal="center" vertical="center" wrapText="1"/>
    </xf>
    <xf numFmtId="0" fontId="76" fillId="22" borderId="144" xfId="0" applyFont="1" applyFill="1" applyBorder="1" applyAlignment="1">
      <alignment horizontal="center" vertical="center" wrapText="1"/>
    </xf>
    <xf numFmtId="0" fontId="76" fillId="22" borderId="141" xfId="0" applyFont="1" applyFill="1" applyBorder="1" applyAlignment="1">
      <alignment horizontal="center" vertical="center"/>
    </xf>
    <xf numFmtId="0" fontId="76" fillId="22" borderId="108" xfId="0" applyFont="1" applyFill="1" applyBorder="1" applyAlignment="1">
      <alignment horizontal="center" vertical="center"/>
    </xf>
    <xf numFmtId="0" fontId="76" fillId="22" borderId="144" xfId="0" applyFont="1" applyFill="1" applyBorder="1" applyAlignment="1">
      <alignment horizontal="center" vertical="center"/>
    </xf>
    <xf numFmtId="0" fontId="73" fillId="0" borderId="107" xfId="0" applyFont="1" applyBorder="1" applyAlignment="1">
      <alignment horizontal="left" vertical="top" wrapText="1"/>
    </xf>
    <xf numFmtId="0" fontId="73" fillId="0" borderId="0" xfId="0" applyFont="1" applyAlignment="1">
      <alignment horizontal="left" vertical="top" wrapText="1"/>
    </xf>
    <xf numFmtId="0" fontId="73" fillId="0" borderId="112" xfId="0" applyFont="1" applyBorder="1" applyAlignment="1">
      <alignment horizontal="left" vertical="top" wrapText="1"/>
    </xf>
    <xf numFmtId="0" fontId="73" fillId="0" borderId="152" xfId="0" applyFont="1" applyBorder="1" applyAlignment="1">
      <alignment horizontal="left" vertical="top" wrapText="1"/>
    </xf>
    <xf numFmtId="0" fontId="73" fillId="0" borderId="150" xfId="0" applyFont="1" applyBorder="1" applyAlignment="1">
      <alignment horizontal="left" vertical="top" wrapText="1"/>
    </xf>
    <xf numFmtId="0" fontId="73" fillId="0" borderId="151" xfId="0" applyFont="1" applyBorder="1" applyAlignment="1">
      <alignment horizontal="left" vertical="top" wrapText="1"/>
    </xf>
    <xf numFmtId="0" fontId="73" fillId="0" borderId="0" xfId="0" applyFont="1" applyAlignment="1">
      <alignment horizontal="left" vertical="top"/>
    </xf>
    <xf numFmtId="0" fontId="73" fillId="0" borderId="140" xfId="0" applyFont="1" applyBorder="1" applyAlignment="1">
      <alignment horizontal="left" vertical="top"/>
    </xf>
    <xf numFmtId="0" fontId="73" fillId="0" borderId="107" xfId="0" applyFont="1" applyBorder="1" applyAlignment="1">
      <alignment horizontal="left" vertical="top"/>
    </xf>
    <xf numFmtId="0" fontId="73" fillId="0" borderId="152" xfId="0" applyFont="1" applyBorder="1" applyAlignment="1">
      <alignment horizontal="left" vertical="top"/>
    </xf>
    <xf numFmtId="0" fontId="73" fillId="0" borderId="150" xfId="0" applyFont="1" applyBorder="1" applyAlignment="1">
      <alignment horizontal="left" vertical="top"/>
    </xf>
    <xf numFmtId="0" fontId="73" fillId="0" borderId="153" xfId="0" applyFont="1" applyBorder="1" applyAlignment="1">
      <alignment horizontal="left" vertical="top"/>
    </xf>
    <xf numFmtId="0" fontId="73" fillId="0" borderId="138" xfId="0" applyFont="1" applyBorder="1" applyAlignment="1">
      <alignment horizontal="left" vertical="top" wrapText="1"/>
    </xf>
    <xf numFmtId="0" fontId="73" fillId="0" borderId="105" xfId="0" applyFont="1" applyBorder="1" applyAlignment="1">
      <alignment horizontal="left" vertical="top" wrapText="1"/>
    </xf>
    <xf numFmtId="0" fontId="73" fillId="0" borderId="139" xfId="0" applyFont="1" applyBorder="1" applyAlignment="1">
      <alignment horizontal="left" vertical="top" wrapText="1"/>
    </xf>
    <xf numFmtId="0" fontId="73" fillId="0" borderId="110" xfId="0" applyFont="1" applyBorder="1" applyAlignment="1">
      <alignment horizontal="left" vertical="top" wrapText="1"/>
    </xf>
    <xf numFmtId="0" fontId="73" fillId="0" borderId="140" xfId="0" applyFont="1" applyBorder="1" applyAlignment="1">
      <alignment horizontal="left" vertical="top" wrapText="1"/>
    </xf>
    <xf numFmtId="0" fontId="72" fillId="0" borderId="138" xfId="0" applyFont="1" applyBorder="1" applyAlignment="1">
      <alignment horizontal="center" vertical="center"/>
    </xf>
    <xf numFmtId="0" fontId="72" fillId="0" borderId="105" xfId="0" applyFont="1" applyBorder="1" applyAlignment="1">
      <alignment horizontal="center" vertical="center"/>
    </xf>
    <xf numFmtId="0" fontId="72" fillId="0" borderId="147" xfId="0" applyFont="1" applyBorder="1" applyAlignment="1">
      <alignment horizontal="center" vertical="center"/>
    </xf>
    <xf numFmtId="0" fontId="72" fillId="0" borderId="110" xfId="0" applyFont="1" applyBorder="1" applyAlignment="1">
      <alignment horizontal="center" vertical="center"/>
    </xf>
    <xf numFmtId="0" fontId="72" fillId="0" borderId="0" xfId="0" applyFont="1" applyAlignment="1">
      <alignment horizontal="center" vertical="center"/>
    </xf>
    <xf numFmtId="0" fontId="72" fillId="0" borderId="112" xfId="0" applyFont="1" applyBorder="1" applyAlignment="1">
      <alignment horizontal="center" vertical="center"/>
    </xf>
    <xf numFmtId="0" fontId="72" fillId="0" borderId="149" xfId="0" applyFont="1" applyBorder="1" applyAlignment="1">
      <alignment horizontal="center" vertical="center"/>
    </xf>
    <xf numFmtId="0" fontId="72" fillId="0" borderId="150" xfId="0" applyFont="1" applyBorder="1" applyAlignment="1">
      <alignment horizontal="center" vertical="center"/>
    </xf>
    <xf numFmtId="0" fontId="72" fillId="0" borderId="151" xfId="0" applyFont="1" applyBorder="1" applyAlignment="1">
      <alignment horizontal="center" vertical="center"/>
    </xf>
    <xf numFmtId="0" fontId="76" fillId="22" borderId="142" xfId="0" applyFont="1" applyFill="1" applyBorder="1" applyAlignment="1">
      <alignment horizontal="center" vertical="center"/>
    </xf>
    <xf numFmtId="0" fontId="73" fillId="0" borderId="145" xfId="0" applyFont="1" applyBorder="1" applyAlignment="1">
      <alignment horizontal="left" vertical="top" wrapText="1"/>
    </xf>
    <xf numFmtId="0" fontId="73" fillId="0" borderId="147" xfId="0" applyFont="1" applyBorder="1" applyAlignment="1">
      <alignment horizontal="left" vertical="top" wrapText="1"/>
    </xf>
    <xf numFmtId="0" fontId="39" fillId="10" borderId="34" xfId="0" applyFont="1" applyFill="1" applyBorder="1" applyAlignment="1">
      <alignment horizontal="center"/>
    </xf>
    <xf numFmtId="0" fontId="39" fillId="10" borderId="35" xfId="0" applyFont="1" applyFill="1" applyBorder="1" applyAlignment="1">
      <alignment horizontal="center"/>
    </xf>
    <xf numFmtId="0" fontId="39" fillId="10" borderId="36" xfId="0" applyFont="1" applyFill="1" applyBorder="1" applyAlignment="1">
      <alignment horizontal="center"/>
    </xf>
    <xf numFmtId="0" fontId="39" fillId="10" borderId="58" xfId="0" applyFont="1" applyFill="1" applyBorder="1" applyAlignment="1">
      <alignment horizontal="center"/>
    </xf>
    <xf numFmtId="4" fontId="37" fillId="0" borderId="27" xfId="0" applyNumberFormat="1" applyFont="1" applyBorder="1" applyAlignment="1">
      <alignment horizontal="center"/>
    </xf>
    <xf numFmtId="4" fontId="37" fillId="0" borderId="28" xfId="0" applyNumberFormat="1" applyFont="1" applyBorder="1" applyAlignment="1">
      <alignment horizontal="center"/>
    </xf>
    <xf numFmtId="4" fontId="37" fillId="0" borderId="29" xfId="0" applyNumberFormat="1" applyFont="1" applyBorder="1" applyAlignment="1">
      <alignment horizontal="center"/>
    </xf>
    <xf numFmtId="0" fontId="35" fillId="0" borderId="9" xfId="0" applyFont="1" applyBorder="1" applyAlignment="1">
      <alignment horizontal="center" vertical="center"/>
    </xf>
    <xf numFmtId="0" fontId="35" fillId="0" borderId="10" xfId="0" applyFont="1" applyBorder="1" applyAlignment="1">
      <alignment horizontal="center" vertical="center"/>
    </xf>
    <xf numFmtId="0" fontId="35" fillId="0" borderId="11" xfId="0" applyFont="1" applyBorder="1" applyAlignment="1">
      <alignment horizontal="center" vertical="center"/>
    </xf>
    <xf numFmtId="4" fontId="37" fillId="0" borderId="18" xfId="0" applyNumberFormat="1" applyFont="1" applyBorder="1" applyAlignment="1">
      <alignment horizontal="center"/>
    </xf>
    <xf numFmtId="4" fontId="37" fillId="0" borderId="19" xfId="0" applyNumberFormat="1" applyFont="1" applyBorder="1" applyAlignment="1">
      <alignment horizontal="center"/>
    </xf>
    <xf numFmtId="4" fontId="37" fillId="0" borderId="20" xfId="0" applyNumberFormat="1" applyFont="1" applyBorder="1" applyAlignment="1">
      <alignment horizontal="center"/>
    </xf>
    <xf numFmtId="4" fontId="36" fillId="0" borderId="154" xfId="0" applyNumberFormat="1" applyFont="1" applyBorder="1" applyAlignment="1">
      <alignment horizontal="center"/>
    </xf>
    <xf numFmtId="4" fontId="36" fillId="0" borderId="155" xfId="0" applyNumberFormat="1" applyFont="1" applyBorder="1" applyAlignment="1">
      <alignment horizontal="center"/>
    </xf>
    <xf numFmtId="4" fontId="36" fillId="0" borderId="30" xfId="0" applyNumberFormat="1" applyFont="1" applyBorder="1" applyAlignment="1">
      <alignment horizontal="center"/>
    </xf>
    <xf numFmtId="0" fontId="39" fillId="10" borderId="37" xfId="0" applyFont="1" applyFill="1" applyBorder="1" applyAlignment="1">
      <alignment horizontal="center"/>
    </xf>
    <xf numFmtId="0" fontId="35" fillId="10" borderId="58" xfId="5" applyNumberFormat="1" applyFont="1" applyFill="1" applyBorder="1" applyAlignment="1" applyProtection="1">
      <alignment horizontal="center" vertical="center"/>
    </xf>
    <xf numFmtId="0" fontId="35" fillId="10" borderId="35" xfId="5" applyNumberFormat="1" applyFont="1" applyFill="1" applyBorder="1" applyAlignment="1" applyProtection="1">
      <alignment horizontal="center" vertical="center"/>
    </xf>
    <xf numFmtId="0" fontId="35" fillId="10" borderId="36" xfId="5" applyNumberFormat="1" applyFont="1" applyFill="1" applyBorder="1" applyAlignment="1" applyProtection="1">
      <alignment horizontal="center" vertical="center"/>
    </xf>
    <xf numFmtId="0" fontId="54" fillId="2" borderId="0" xfId="2" applyFont="1" applyFill="1" applyAlignment="1">
      <alignment horizontal="center"/>
    </xf>
    <xf numFmtId="0" fontId="54" fillId="2" borderId="62" xfId="2" applyFont="1" applyFill="1" applyBorder="1" applyAlignment="1">
      <alignment horizontal="center"/>
    </xf>
    <xf numFmtId="0" fontId="35" fillId="10" borderId="34" xfId="5" applyNumberFormat="1" applyFont="1" applyFill="1" applyBorder="1" applyAlignment="1" applyProtection="1">
      <alignment horizontal="center" vertical="center"/>
    </xf>
    <xf numFmtId="0" fontId="35" fillId="10" borderId="15" xfId="5" applyNumberFormat="1" applyFont="1" applyFill="1" applyBorder="1" applyAlignment="1" applyProtection="1">
      <alignment horizontal="center" vertical="center"/>
    </xf>
    <xf numFmtId="0" fontId="35" fillId="10" borderId="16" xfId="5" applyNumberFormat="1" applyFont="1" applyFill="1" applyBorder="1" applyAlignment="1" applyProtection="1">
      <alignment horizontal="center" vertical="center"/>
    </xf>
    <xf numFmtId="0" fontId="35" fillId="10" borderId="17" xfId="5" applyNumberFormat="1" applyFont="1" applyFill="1" applyBorder="1" applyAlignment="1" applyProtection="1">
      <alignment horizontal="center" vertical="center"/>
    </xf>
    <xf numFmtId="0" fontId="35" fillId="0" borderId="43" xfId="0" applyFont="1" applyBorder="1" applyAlignment="1">
      <alignment horizontal="center" vertical="center"/>
    </xf>
    <xf numFmtId="0" fontId="35" fillId="0" borderId="44" xfId="0" applyFont="1" applyBorder="1" applyAlignment="1">
      <alignment horizontal="center" vertical="center"/>
    </xf>
    <xf numFmtId="0" fontId="35" fillId="0" borderId="45" xfId="0" applyFont="1" applyBorder="1" applyAlignment="1">
      <alignment horizontal="center" vertical="center"/>
    </xf>
    <xf numFmtId="4" fontId="36" fillId="0" borderId="15" xfId="0" applyNumberFormat="1" applyFont="1" applyBorder="1" applyAlignment="1">
      <alignment horizontal="center"/>
    </xf>
    <xf numFmtId="4" fontId="36" fillId="0" borderId="16" xfId="0" applyNumberFormat="1" applyFont="1" applyBorder="1" applyAlignment="1">
      <alignment horizontal="center"/>
    </xf>
    <xf numFmtId="4" fontId="36" fillId="0" borderId="17" xfId="0" applyNumberFormat="1" applyFont="1" applyBorder="1" applyAlignment="1">
      <alignment horizontal="center"/>
    </xf>
    <xf numFmtId="4" fontId="36" fillId="0" borderId="79" xfId="0" applyNumberFormat="1" applyFont="1" applyBorder="1" applyAlignment="1">
      <alignment horizontal="center"/>
    </xf>
    <xf numFmtId="0" fontId="47" fillId="11" borderId="99" xfId="0" applyFont="1" applyFill="1" applyBorder="1" applyAlignment="1">
      <alignment horizontal="left" vertical="center"/>
    </xf>
    <xf numFmtId="0" fontId="47" fillId="11" borderId="100" xfId="0" applyFont="1" applyFill="1" applyBorder="1" applyAlignment="1">
      <alignment horizontal="left" vertical="center"/>
    </xf>
    <xf numFmtId="0" fontId="47" fillId="11" borderId="101" xfId="0" applyFont="1" applyFill="1" applyBorder="1" applyAlignment="1">
      <alignment horizontal="left" vertical="center"/>
    </xf>
    <xf numFmtId="0" fontId="45" fillId="14" borderId="94" xfId="0" applyFont="1" applyFill="1" applyBorder="1" applyAlignment="1">
      <alignment horizontal="center"/>
    </xf>
    <xf numFmtId="0" fontId="45" fillId="14" borderId="98" xfId="0" applyFont="1" applyFill="1" applyBorder="1" applyAlignment="1">
      <alignment horizontal="center"/>
    </xf>
    <xf numFmtId="0" fontId="56" fillId="17" borderId="86" xfId="0" applyFont="1" applyFill="1" applyBorder="1" applyAlignment="1">
      <alignment horizontal="left" vertical="center"/>
    </xf>
    <xf numFmtId="0" fontId="56" fillId="17" borderId="1" xfId="0" applyFont="1" applyFill="1" applyBorder="1" applyAlignment="1">
      <alignment horizontal="left" vertical="center"/>
    </xf>
    <xf numFmtId="0" fontId="56" fillId="17" borderId="8" xfId="0" applyFont="1" applyFill="1" applyBorder="1" applyAlignment="1">
      <alignment horizontal="left" vertical="center"/>
    </xf>
    <xf numFmtId="0" fontId="55" fillId="0" borderId="83" xfId="0" applyFont="1" applyBorder="1" applyAlignment="1">
      <alignment horizontal="center" vertical="center"/>
    </xf>
    <xf numFmtId="0" fontId="55" fillId="0" borderId="84" xfId="0" applyFont="1" applyBorder="1" applyAlignment="1">
      <alignment horizontal="center" vertical="center"/>
    </xf>
    <xf numFmtId="0" fontId="55" fillId="0" borderId="85" xfId="0" applyFont="1" applyBorder="1" applyAlignment="1">
      <alignment horizontal="center" vertical="center"/>
    </xf>
    <xf numFmtId="0" fontId="55" fillId="0" borderId="86" xfId="0" applyFont="1" applyBorder="1" applyAlignment="1">
      <alignment horizontal="center" vertical="center"/>
    </xf>
    <xf numFmtId="0" fontId="55" fillId="0" borderId="1" xfId="0" applyFont="1" applyBorder="1" applyAlignment="1">
      <alignment horizontal="center" vertical="center"/>
    </xf>
    <xf numFmtId="0" fontId="55" fillId="0" borderId="8" xfId="0" applyFont="1" applyBorder="1" applyAlignment="1">
      <alignment horizontal="center" vertical="center"/>
    </xf>
    <xf numFmtId="0" fontId="61" fillId="14" borderId="86" xfId="0" applyFont="1" applyFill="1" applyBorder="1" applyAlignment="1">
      <alignment horizontal="center" vertical="center"/>
    </xf>
    <xf numFmtId="0" fontId="61" fillId="14" borderId="1" xfId="0" applyFont="1" applyFill="1" applyBorder="1" applyAlignment="1">
      <alignment horizontal="center" vertical="center"/>
    </xf>
    <xf numFmtId="0" fontId="61" fillId="14" borderId="8" xfId="0" applyFont="1" applyFill="1" applyBorder="1" applyAlignment="1">
      <alignment horizontal="center" vertical="center"/>
    </xf>
    <xf numFmtId="0" fontId="64" fillId="14" borderId="0" xfId="0" applyFont="1" applyFill="1" applyAlignment="1">
      <alignment horizontal="center" vertical="center"/>
    </xf>
    <xf numFmtId="0" fontId="64" fillId="14" borderId="112" xfId="0" applyFont="1" applyFill="1" applyBorder="1" applyAlignment="1">
      <alignment horizontal="center" vertical="center"/>
    </xf>
    <xf numFmtId="0" fontId="69" fillId="20" borderId="118" xfId="0" applyFont="1" applyFill="1" applyBorder="1" applyAlignment="1">
      <alignment horizontal="center" vertical="center"/>
    </xf>
    <xf numFmtId="0" fontId="70" fillId="0" borderId="119" xfId="0" applyFont="1" applyBorder="1" applyAlignment="1">
      <alignment vertical="center"/>
    </xf>
    <xf numFmtId="0" fontId="70" fillId="0" borderId="120" xfId="0" applyFont="1" applyBorder="1" applyAlignment="1">
      <alignment vertical="center"/>
    </xf>
    <xf numFmtId="0" fontId="2" fillId="0" borderId="0" xfId="0" applyFont="1" applyAlignment="1">
      <alignment horizontal="center"/>
    </xf>
    <xf numFmtId="0" fontId="0" fillId="0" borderId="0" xfId="0" applyNumberFormat="1"/>
    <xf numFmtId="171" fontId="23" fillId="0" borderId="0" xfId="0" applyNumberFormat="1" applyFont="1"/>
    <xf numFmtId="171" fontId="23" fillId="0" borderId="0" xfId="3" applyNumberFormat="1" applyFont="1"/>
    <xf numFmtId="0" fontId="73" fillId="11" borderId="0" xfId="0" applyFont="1" applyFill="1" applyBorder="1" applyAlignment="1">
      <alignment horizontal="left" vertical="center"/>
    </xf>
    <xf numFmtId="0" fontId="73" fillId="11" borderId="180" xfId="0" applyFont="1" applyFill="1" applyBorder="1" applyAlignment="1">
      <alignment horizontal="left" vertical="center"/>
    </xf>
    <xf numFmtId="0" fontId="73" fillId="11" borderId="181" xfId="0" applyFont="1" applyFill="1" applyBorder="1" applyAlignment="1">
      <alignment horizontal="left" vertical="center"/>
    </xf>
    <xf numFmtId="0" fontId="73" fillId="11" borderId="182" xfId="0" applyFont="1" applyFill="1" applyBorder="1" applyAlignment="1">
      <alignment horizontal="left" vertical="center"/>
    </xf>
    <xf numFmtId="0" fontId="73" fillId="0" borderId="103" xfId="0" applyFont="1" applyBorder="1" applyAlignment="1">
      <alignment horizontal="left" vertical="top" wrapText="1"/>
    </xf>
    <xf numFmtId="0" fontId="73" fillId="0" borderId="183" xfId="0" applyFont="1" applyBorder="1" applyAlignment="1">
      <alignment horizontal="left" vertical="top" wrapText="1"/>
    </xf>
    <xf numFmtId="0" fontId="73" fillId="11" borderId="94" xfId="0" applyFont="1" applyFill="1" applyBorder="1" applyAlignment="1">
      <alignment horizontal="left" vertical="center" wrapText="1"/>
    </xf>
    <xf numFmtId="0" fontId="73" fillId="11" borderId="98" xfId="0" applyFont="1" applyFill="1" applyBorder="1" applyAlignment="1">
      <alignment horizontal="left" vertical="center" wrapText="1"/>
    </xf>
    <xf numFmtId="0" fontId="73" fillId="11" borderId="46" xfId="0" applyFont="1" applyFill="1" applyBorder="1" applyAlignment="1">
      <alignment horizontal="left" vertical="center" wrapText="1"/>
    </xf>
    <xf numFmtId="0" fontId="73" fillId="11" borderId="6" xfId="0" applyFont="1" applyFill="1" applyBorder="1" applyAlignment="1">
      <alignment horizontal="left" vertical="center" wrapText="1"/>
    </xf>
    <xf numFmtId="0" fontId="73" fillId="11" borderId="0" xfId="0" applyFont="1" applyFill="1" applyBorder="1" applyAlignment="1">
      <alignment horizontal="left" vertical="center" wrapText="1"/>
    </xf>
    <xf numFmtId="0" fontId="73" fillId="11" borderId="47" xfId="0" applyFont="1" applyFill="1" applyBorder="1" applyAlignment="1">
      <alignment horizontal="left" vertical="center" wrapText="1"/>
    </xf>
    <xf numFmtId="0" fontId="73" fillId="11" borderId="184" xfId="0" applyFont="1" applyFill="1" applyBorder="1" applyAlignment="1">
      <alignment horizontal="left" vertical="center" wrapText="1"/>
    </xf>
    <xf numFmtId="0" fontId="73" fillId="11" borderId="181" xfId="0" applyFont="1" applyFill="1" applyBorder="1" applyAlignment="1">
      <alignment horizontal="left" vertical="center" wrapText="1"/>
    </xf>
    <xf numFmtId="0" fontId="73" fillId="11" borderId="48" xfId="0" applyFont="1" applyFill="1" applyBorder="1" applyAlignment="1">
      <alignment horizontal="left" vertical="center" wrapText="1"/>
    </xf>
  </cellXfs>
  <cellStyles count="7">
    <cellStyle name="Comma" xfId="1" builtinId="3"/>
    <cellStyle name="Comma [0]" xfId="4" builtinId="6"/>
    <cellStyle name="Heading 1" xfId="5" builtinId="16"/>
    <cellStyle name="Hyperlink" xfId="2" builtinId="8"/>
    <cellStyle name="Normal" xfId="0" builtinId="0"/>
    <cellStyle name="Normal 4" xfId="6" xr:uid="{3F7F8612-9ADC-DD41-8197-250C453C7D13}"/>
    <cellStyle name="Percent" xfId="3" builtinId="5"/>
  </cellStyles>
  <dxfs count="199">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numFmt numFmtId="13" formatCode="0%"/>
    </dxf>
    <dxf>
      <numFmt numFmtId="164" formatCode="#,##0.0\ \T"/>
    </dxf>
    <dxf>
      <font>
        <b val="0"/>
        <i val="0"/>
        <strike val="0"/>
        <condense val="0"/>
        <extend val="0"/>
        <outline val="0"/>
        <shadow val="0"/>
        <u val="none"/>
        <vertAlign val="baseline"/>
        <sz val="10"/>
        <color theme="1"/>
        <name val="Arial"/>
        <family val="2"/>
        <scheme val="none"/>
      </font>
      <numFmt numFmtId="4" formatCode="#,##0.00"/>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numFmt numFmtId="13" formatCode="0%"/>
    </dxf>
    <dxf>
      <numFmt numFmtId="164" formatCode="#,##0.0\ \T"/>
    </dxf>
    <dxf>
      <font>
        <b val="0"/>
        <i val="0"/>
        <strike val="0"/>
        <condense val="0"/>
        <extend val="0"/>
        <outline val="0"/>
        <shadow val="0"/>
        <u val="none"/>
        <vertAlign val="baseline"/>
        <sz val="10"/>
        <color theme="1"/>
        <name val="Arial"/>
        <family val="2"/>
        <scheme val="none"/>
      </font>
      <numFmt numFmtId="4" formatCode="#,##0.00"/>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numFmt numFmtId="13" formatCode="0%"/>
    </dxf>
    <dxf>
      <numFmt numFmtId="164" formatCode="#,##0.0\ \T"/>
    </dxf>
    <dxf>
      <font>
        <b val="0"/>
        <i val="0"/>
        <strike val="0"/>
        <condense val="0"/>
        <extend val="0"/>
        <outline val="0"/>
        <shadow val="0"/>
        <u val="none"/>
        <vertAlign val="baseline"/>
        <sz val="10"/>
        <color theme="1"/>
        <name val="Arial"/>
        <family val="2"/>
        <scheme val="none"/>
      </font>
      <numFmt numFmtId="4" formatCode="#,##0.00"/>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numFmt numFmtId="13" formatCode="0%"/>
    </dxf>
    <dxf>
      <numFmt numFmtId="164" formatCode="#,##0.0\ \T"/>
    </dxf>
    <dxf>
      <font>
        <b val="0"/>
        <i val="0"/>
        <strike val="0"/>
        <condense val="0"/>
        <extend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numFmt numFmtId="13" formatCode="0%"/>
    </dxf>
    <dxf>
      <numFmt numFmtId="164" formatCode="#,##0.0\ \T"/>
    </dxf>
    <dxf>
      <font>
        <b val="0"/>
        <i val="0"/>
        <strike val="0"/>
        <condense val="0"/>
        <extend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b val="0"/>
        <i val="0"/>
        <strike val="0"/>
        <condense val="0"/>
        <extend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numFmt numFmtId="13" formatCode="0%"/>
    </dxf>
    <dxf>
      <numFmt numFmtId="164" formatCode="#,##0.0\ \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numFmt numFmtId="4" formatCode="#,##0.00"/>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alignment horizontal="right" vertical="bottom" textRotation="0" wrapText="0" indent="0" justifyLastLine="0" shrinkToFit="0" readingOrder="0"/>
    </dxf>
    <dxf>
      <font>
        <b val="0"/>
        <i val="0"/>
        <strike val="0"/>
        <condense val="0"/>
        <extend val="0"/>
        <outline val="0"/>
        <shadow val="0"/>
        <u val="none"/>
        <vertAlign val="baseline"/>
        <sz val="8"/>
        <color theme="1"/>
        <name val="Trebuchet MS"/>
        <family val="2"/>
        <scheme val="none"/>
      </font>
      <alignment horizontal="right" vertical="bottom" textRotation="0" wrapText="0" indent="0" justifyLastLine="0" shrinkToFit="0" readingOrder="0"/>
    </dxf>
    <dxf>
      <font>
        <b val="0"/>
        <i val="0"/>
        <strike val="0"/>
        <condense val="0"/>
        <extend val="0"/>
        <outline val="0"/>
        <shadow val="0"/>
        <u val="none"/>
        <vertAlign val="baseline"/>
        <sz val="8"/>
        <color theme="1"/>
        <name val="Trebuchet MS"/>
        <family val="2"/>
        <scheme val="none"/>
      </font>
      <alignment horizontal="right" vertical="bottom" textRotation="0" wrapText="0" indent="0" justifyLastLine="0" shrinkToFit="0" readingOrder="0"/>
    </dxf>
    <dxf>
      <font>
        <b val="0"/>
        <i val="0"/>
        <strike val="0"/>
        <condense val="0"/>
        <extend val="0"/>
        <outline val="0"/>
        <shadow val="0"/>
        <u val="none"/>
        <vertAlign val="baseline"/>
        <sz val="14"/>
        <color theme="1"/>
        <name val="Arial"/>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4"/>
        <color theme="1"/>
        <name val="Arial"/>
        <family val="2"/>
        <scheme val="minor"/>
      </font>
      <numFmt numFmtId="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4"/>
        <color theme="1"/>
        <name val="Arial"/>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4"/>
        <color theme="1"/>
        <name val="Arial"/>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4"/>
        <color theme="1"/>
        <name val="Arial"/>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4"/>
        <color theme="1"/>
        <name val="Arial"/>
        <family val="2"/>
        <scheme val="minor"/>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4"/>
        <color rgb="FFFFFFFF"/>
        <name val="Arial"/>
        <family val="2"/>
        <scheme val="minor"/>
      </font>
      <fill>
        <patternFill patternType="solid">
          <fgColor indexed="64"/>
          <bgColor theme="4" tint="-0.499984740745262"/>
        </patternFill>
      </fill>
      <alignment horizontal="left" vertical="center" textRotation="0" wrapText="0" indent="0" justifyLastLine="0" shrinkToFit="0" readingOrder="0"/>
    </dxf>
    <dxf>
      <numFmt numFmtId="2" formatCode="0.00"/>
    </dxf>
    <dxf>
      <numFmt numFmtId="2" formatCode="0.00"/>
    </dxf>
    <dxf>
      <numFmt numFmtId="13" formatCode="0%"/>
    </dxf>
    <dxf>
      <numFmt numFmtId="13" formatCode="0%"/>
    </dxf>
    <dxf>
      <numFmt numFmtId="2" formatCode="0.00"/>
    </dxf>
    <dxf>
      <numFmt numFmtId="171" formatCode="0.0"/>
    </dxf>
    <dxf>
      <numFmt numFmtId="1" formatCode="0"/>
    </dxf>
    <dxf>
      <numFmt numFmtId="13" formatCode="0%"/>
    </dxf>
    <dxf>
      <numFmt numFmtId="164" formatCode="#,##0.0\ \T"/>
    </dxf>
    <dxf>
      <font>
        <b val="0"/>
        <i val="0"/>
        <strike val="0"/>
        <condense val="0"/>
        <extend val="0"/>
        <outline val="0"/>
        <shadow val="0"/>
        <u val="none"/>
        <vertAlign val="baseline"/>
        <sz val="10"/>
        <color theme="1"/>
        <name val="Arial"/>
        <family val="2"/>
        <scheme val="none"/>
      </font>
      <numFmt numFmtId="4" formatCode="#,##0.00"/>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numFmt numFmtId="13" formatCode="0%"/>
    </dxf>
    <dxf>
      <numFmt numFmtId="164" formatCode="#,##0.0\ \T"/>
    </dxf>
    <dxf>
      <font>
        <b val="0"/>
        <i val="0"/>
        <strike val="0"/>
        <condense val="0"/>
        <extend val="0"/>
        <outline val="0"/>
        <shadow val="0"/>
        <u val="none"/>
        <vertAlign val="baseline"/>
        <sz val="10"/>
        <color theme="1"/>
        <name val="Arial"/>
        <family val="2"/>
        <scheme val="none"/>
      </font>
      <numFmt numFmtId="4" formatCode="#,##0.00"/>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numFmt numFmtId="13" formatCode="0%"/>
    </dxf>
    <dxf>
      <numFmt numFmtId="164" formatCode="#,##0.0\ \T"/>
    </dxf>
    <dxf>
      <font>
        <b val="0"/>
        <i val="0"/>
        <strike val="0"/>
        <condense val="0"/>
        <extend val="0"/>
        <outline val="0"/>
        <shadow val="0"/>
        <u val="none"/>
        <vertAlign val="baseline"/>
        <sz val="10"/>
        <color theme="1"/>
        <name val="Arial"/>
        <family val="2"/>
        <scheme val="none"/>
      </font>
      <numFmt numFmtId="4" formatCode="#,##0.00"/>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numFmt numFmtId="13" formatCode="0%"/>
    </dxf>
    <dxf>
      <numFmt numFmtId="164" formatCode="#,##0.0\ \T"/>
    </dxf>
    <dxf>
      <font>
        <b val="0"/>
        <i val="0"/>
        <strike val="0"/>
        <condense val="0"/>
        <extend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numFmt numFmtId="13" formatCode="0%"/>
    </dxf>
    <dxf>
      <numFmt numFmtId="164" formatCode="#,##0.0\ \T"/>
    </dxf>
    <dxf>
      <font>
        <b val="0"/>
        <i val="0"/>
        <strike val="0"/>
        <condense val="0"/>
        <extend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b val="0"/>
        <i val="0"/>
        <strike val="0"/>
        <condense val="0"/>
        <extend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numFmt numFmtId="13" formatCode="0%"/>
    </dxf>
    <dxf>
      <numFmt numFmtId="164" formatCode="#,##0.0\ \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numFmt numFmtId="4" formatCode="#,##0.00"/>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dxf>
    <dxf>
      <font>
        <b val="0"/>
        <i val="0"/>
        <strike val="0"/>
        <condense val="0"/>
        <extend val="0"/>
        <outline val="0"/>
        <shadow val="0"/>
        <u val="none"/>
        <vertAlign val="baseline"/>
        <sz val="8"/>
        <color theme="1"/>
        <name val="Trebuchet MS"/>
        <family val="2"/>
        <scheme val="none"/>
      </font>
      <alignment horizontal="right" vertical="bottom" textRotation="0" wrapText="0" indent="0" justifyLastLine="0" shrinkToFit="0" readingOrder="0"/>
    </dxf>
    <dxf>
      <font>
        <b val="0"/>
        <i val="0"/>
        <strike val="0"/>
        <condense val="0"/>
        <extend val="0"/>
        <outline val="0"/>
        <shadow val="0"/>
        <u val="none"/>
        <vertAlign val="baseline"/>
        <sz val="8"/>
        <color theme="1"/>
        <name val="Trebuchet MS"/>
        <family val="2"/>
        <scheme val="none"/>
      </font>
      <alignment horizontal="right" vertical="bottom" textRotation="0" wrapText="0" indent="0" justifyLastLine="0" shrinkToFit="0" readingOrder="0"/>
    </dxf>
    <dxf>
      <font>
        <b val="0"/>
        <i val="0"/>
        <strike val="0"/>
        <condense val="0"/>
        <extend val="0"/>
        <outline val="0"/>
        <shadow val="0"/>
        <u val="none"/>
        <vertAlign val="baseline"/>
        <sz val="8"/>
        <color theme="1"/>
        <name val="Trebuchet MS"/>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minor"/>
      </font>
      <numFmt numFmtId="13" formatCode="0%"/>
    </dxf>
    <dxf>
      <font>
        <b val="0"/>
        <i val="0"/>
        <strike val="0"/>
        <condense val="0"/>
        <extend val="0"/>
        <outline val="0"/>
        <shadow val="0"/>
        <u val="none"/>
        <vertAlign val="baseline"/>
        <sz val="11"/>
        <color theme="1"/>
        <name val="Arial"/>
        <family val="2"/>
        <scheme val="minor"/>
      </font>
      <numFmt numFmtId="13" formatCode="0%"/>
      <fill>
        <patternFill patternType="none">
          <fgColor indexed="64"/>
          <bgColor auto="1"/>
        </patternFill>
      </fill>
    </dxf>
    <dxf>
      <font>
        <b val="0"/>
        <i val="0"/>
        <strike val="0"/>
        <condense val="0"/>
        <extend val="0"/>
        <outline val="0"/>
        <shadow val="0"/>
        <u val="none"/>
        <vertAlign val="baseline"/>
        <sz val="11"/>
        <color theme="1"/>
        <name val="Arial"/>
        <family val="2"/>
        <scheme val="minor"/>
      </font>
      <numFmt numFmtId="165" formatCode="0.0%"/>
    </dxf>
    <dxf>
      <font>
        <b val="0"/>
        <i val="0"/>
        <strike val="0"/>
        <condense val="0"/>
        <extend val="0"/>
        <outline val="0"/>
        <shadow val="0"/>
        <u val="none"/>
        <vertAlign val="baseline"/>
        <sz val="11"/>
        <color theme="1"/>
        <name val="Arial"/>
        <family val="2"/>
        <scheme val="minor"/>
      </font>
      <numFmt numFmtId="13" formatCode="0%"/>
      <fill>
        <patternFill patternType="none">
          <fgColor indexed="64"/>
          <bgColor auto="1"/>
        </patternFill>
      </fill>
    </dxf>
    <dxf>
      <font>
        <b val="0"/>
        <i val="0"/>
        <strike val="0"/>
        <condense val="0"/>
        <extend val="0"/>
        <outline val="0"/>
        <shadow val="0"/>
        <u val="none"/>
        <vertAlign val="baseline"/>
        <sz val="11"/>
        <color theme="1"/>
        <name val="Arial"/>
        <family val="2"/>
        <scheme val="minor"/>
      </font>
      <numFmt numFmtId="165" formatCode="0.0%"/>
    </dxf>
    <dxf>
      <font>
        <b val="0"/>
        <i val="0"/>
        <strike val="0"/>
        <condense val="0"/>
        <extend val="0"/>
        <outline val="0"/>
        <shadow val="0"/>
        <u val="none"/>
        <vertAlign val="baseline"/>
        <sz val="11"/>
        <color theme="1"/>
        <name val="Arial"/>
        <family val="2"/>
        <scheme val="minor"/>
      </font>
      <numFmt numFmtId="13" formatCode="0%"/>
      <fill>
        <patternFill patternType="none">
          <fgColor indexed="64"/>
          <bgColor auto="1"/>
        </patternFill>
      </fill>
    </dxf>
    <dxf>
      <numFmt numFmtId="165" formatCode="0.0%"/>
    </dxf>
    <dxf>
      <font>
        <strike val="0"/>
        <outline val="0"/>
        <shadow val="0"/>
        <u val="none"/>
        <vertAlign val="baseline"/>
        <color theme="1"/>
        <name val="Arial"/>
        <family val="2"/>
        <scheme val="minor"/>
      </font>
      <numFmt numFmtId="13" formatCode="0%"/>
      <fill>
        <patternFill patternType="none">
          <fgColor indexed="64"/>
          <bgColor auto="1"/>
        </patternFill>
      </fill>
    </dxf>
    <dxf>
      <numFmt numFmtId="165" formatCode="0.0%"/>
    </dxf>
    <dxf>
      <font>
        <strike val="0"/>
        <outline val="0"/>
        <shadow val="0"/>
        <u val="none"/>
        <vertAlign val="baseline"/>
        <color theme="1"/>
        <name val="Arial"/>
        <family val="2"/>
        <scheme val="minor"/>
      </font>
      <numFmt numFmtId="13" formatCode="0%"/>
      <fill>
        <patternFill patternType="none">
          <fgColor indexed="64"/>
          <bgColor auto="1"/>
        </patternFill>
      </fill>
    </dxf>
    <dxf>
      <font>
        <strike val="0"/>
        <outline val="0"/>
        <shadow val="0"/>
        <u val="none"/>
        <vertAlign val="baseline"/>
        <color theme="1"/>
        <name val="Arial"/>
        <family val="2"/>
        <scheme val="minor"/>
      </font>
      <fill>
        <patternFill patternType="none">
          <fgColor indexed="64"/>
          <bgColor auto="1"/>
        </patternFill>
      </fill>
    </dxf>
    <dxf>
      <font>
        <strike val="0"/>
        <outline val="0"/>
        <shadow val="0"/>
        <u val="none"/>
        <vertAlign val="baseline"/>
        <color theme="1"/>
        <name val="Arial"/>
        <family val="2"/>
        <scheme val="minor"/>
      </font>
      <fill>
        <patternFill patternType="none">
          <fgColor indexed="64"/>
          <bgColor auto="1"/>
        </patternFill>
      </fill>
    </dxf>
    <dxf>
      <font>
        <strike val="0"/>
        <outline val="0"/>
        <shadow val="0"/>
        <u val="none"/>
        <vertAlign val="baseline"/>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s>
  <tableStyles count="0" defaultTableStyle="TableStyleMedium2" defaultPivotStyle="PivotStyleLight16"/>
  <colors>
    <mruColors>
      <color rgb="FFEC0202"/>
      <color rgb="FFA8B6DC"/>
      <color rgb="FF4C94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microsoft.com/office/2007/relationships/slicerCache" Target="slicerCaches/slicerCache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34.xml"/><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33.xml"/><Relationship Id="rId1" Type="http://schemas.microsoft.com/office/2011/relationships/chartStyle" Target="style33.xml"/></Relationships>
</file>

<file path=xl/charts/_rels/chart3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39.xml"/><Relationship Id="rId1" Type="http://schemas.microsoft.com/office/2011/relationships/chartStyle" Target="style39.xml"/></Relationships>
</file>

<file path=xl/charts/_rels/chart4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42.xml"/><Relationship Id="rId1" Type="http://schemas.microsoft.com/office/2011/relationships/chartStyle" Target="style42.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43.xml"/><Relationship Id="rId1" Type="http://schemas.microsoft.com/office/2011/relationships/chartStyle" Target="style43.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44.xml"/><Relationship Id="rId1" Type="http://schemas.microsoft.com/office/2011/relationships/chartStyle" Target="style44.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46.xml"/><Relationship Id="rId2" Type="http://schemas.microsoft.com/office/2011/relationships/chartColorStyle" Target="colors45.xml"/><Relationship Id="rId1" Type="http://schemas.microsoft.com/office/2011/relationships/chartStyle" Target="style45.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46.xml"/><Relationship Id="rId1" Type="http://schemas.microsoft.com/office/2011/relationships/chartStyle" Target="style46.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48.xml"/><Relationship Id="rId1" Type="http://schemas.microsoft.com/office/2011/relationships/chartStyle" Target="style48.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50.xml"/><Relationship Id="rId2" Type="http://schemas.microsoft.com/office/2011/relationships/chartColorStyle" Target="colors49.xml"/><Relationship Id="rId1" Type="http://schemas.microsoft.com/office/2011/relationships/chartStyle" Target="style49.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50.xml"/><Relationship Id="rId1" Type="http://schemas.microsoft.com/office/2011/relationships/chartStyle" Target="style50.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51.xml"/><Relationship Id="rId1" Type="http://schemas.microsoft.com/office/2011/relationships/chartStyle" Target="style51.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52.xml"/><Relationship Id="rId1" Type="http://schemas.microsoft.com/office/2011/relationships/chartStyle" Target="style52.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53.xml"/><Relationship Id="rId1" Type="http://schemas.microsoft.com/office/2011/relationships/chartStyle" Target="style53.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54.xml"/><Relationship Id="rId1" Type="http://schemas.microsoft.com/office/2011/relationships/chartStyle" Target="style54.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58.xml"/><Relationship Id="rId2" Type="http://schemas.microsoft.com/office/2011/relationships/chartColorStyle" Target="colors55.xml"/><Relationship Id="rId1" Type="http://schemas.microsoft.com/office/2011/relationships/chartStyle" Target="style55.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56.xml"/><Relationship Id="rId1" Type="http://schemas.microsoft.com/office/2011/relationships/chartStyle" Target="style5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57.xml"/><Relationship Id="rId1" Type="http://schemas.microsoft.com/office/2011/relationships/chartStyle" Target="style57.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58.xml"/><Relationship Id="rId1" Type="http://schemas.microsoft.com/office/2011/relationships/chartStyle" Target="style58.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62.xml"/><Relationship Id="rId2" Type="http://schemas.microsoft.com/office/2011/relationships/chartColorStyle" Target="colors59.xml"/><Relationship Id="rId1" Type="http://schemas.microsoft.com/office/2011/relationships/chartStyle" Target="style59.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60.xml"/><Relationship Id="rId1" Type="http://schemas.microsoft.com/office/2011/relationships/chartStyle" Target="style60.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61.xml"/><Relationship Id="rId1" Type="http://schemas.microsoft.com/office/2011/relationships/chartStyle" Target="style61.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62.xml"/><Relationship Id="rId1" Type="http://schemas.microsoft.com/office/2011/relationships/chartStyle" Target="style62.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66.xml"/><Relationship Id="rId2" Type="http://schemas.microsoft.com/office/2011/relationships/chartColorStyle" Target="colors63.xml"/><Relationship Id="rId1" Type="http://schemas.microsoft.com/office/2011/relationships/chartStyle" Target="style63.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64.xml"/><Relationship Id="rId1" Type="http://schemas.microsoft.com/office/2011/relationships/chartStyle" Target="style64.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65.xml"/><Relationship Id="rId1" Type="http://schemas.microsoft.com/office/2011/relationships/chartStyle" Target="style65.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66.xml"/><Relationship Id="rId1" Type="http://schemas.microsoft.com/office/2011/relationships/chartStyle" Target="style6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70.xml"/><Relationship Id="rId2" Type="http://schemas.microsoft.com/office/2011/relationships/chartColorStyle" Target="colors67.xml"/><Relationship Id="rId1" Type="http://schemas.microsoft.com/office/2011/relationships/chartStyle" Target="style67.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68.xml"/><Relationship Id="rId1" Type="http://schemas.microsoft.com/office/2011/relationships/chartStyle" Target="style68.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69.xml"/><Relationship Id="rId1" Type="http://schemas.microsoft.com/office/2011/relationships/chartStyle" Target="style69.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70.xml"/><Relationship Id="rId1" Type="http://schemas.microsoft.com/office/2011/relationships/chartStyle" Target="style70.xml"/></Relationships>
</file>

<file path=xl/charts/_rels/chart75.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6.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7.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8.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9.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77.xml"/><Relationship Id="rId1" Type="http://schemas.microsoft.com/office/2011/relationships/chartStyle" Target="style7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60594168330744769"/>
          <c:w val="0.74160528036050299"/>
          <c:h val="0.35139474397850257"/>
        </c:manualLayout>
      </c:layout>
      <c:lineChart>
        <c:grouping val="standard"/>
        <c:varyColors val="0"/>
        <c:ser>
          <c:idx val="0"/>
          <c:order val="0"/>
          <c:tx>
            <c:strRef>
              <c:f>'Balance Sheet'!$AM$43</c:f>
              <c:strCache>
                <c:ptCount val="1"/>
                <c:pt idx="0">
                  <c:v>Total Liability and Shareholder Equity</c:v>
                </c:pt>
              </c:strCache>
            </c:strRef>
          </c:tx>
          <c:spPr>
            <a:ln w="28575" cap="rnd">
              <a:solidFill>
                <a:schemeClr val="accent1"/>
              </a:solidFill>
              <a:round/>
            </a:ln>
            <a:effectLst/>
          </c:spPr>
          <c:marker>
            <c:symbol val="none"/>
          </c:marker>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0CFE-0843-9248-E4B8E0CFFCD6}"/>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FE-0843-9248-E4B8E0CFFCD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Sheet'!$AL$44:$AL$48</c:f>
              <c:numCache>
                <c:formatCode>General</c:formatCode>
                <c:ptCount val="5"/>
                <c:pt idx="0">
                  <c:v>2018</c:v>
                </c:pt>
                <c:pt idx="1">
                  <c:v>2019</c:v>
                </c:pt>
                <c:pt idx="2">
                  <c:v>2020</c:v>
                </c:pt>
                <c:pt idx="3">
                  <c:v>2021</c:v>
                </c:pt>
                <c:pt idx="4">
                  <c:v>2022</c:v>
                </c:pt>
              </c:numCache>
            </c:numRef>
          </c:cat>
          <c:val>
            <c:numRef>
              <c:f>'Balance Sheet'!$AM$44:$AM$48</c:f>
              <c:numCache>
                <c:formatCode>General</c:formatCode>
                <c:ptCount val="5"/>
                <c:pt idx="0">
                  <c:v>78.2</c:v>
                </c:pt>
                <c:pt idx="1">
                  <c:v>101.8</c:v>
                </c:pt>
                <c:pt idx="2">
                  <c:v>131.5</c:v>
                </c:pt>
                <c:pt idx="3">
                  <c:v>178.2</c:v>
                </c:pt>
                <c:pt idx="4">
                  <c:v>170.3</c:v>
                </c:pt>
              </c:numCache>
            </c:numRef>
          </c:val>
          <c:smooth val="0"/>
          <c:extLst>
            <c:ext xmlns:c16="http://schemas.microsoft.com/office/drawing/2014/chart" uri="{C3380CC4-5D6E-409C-BE32-E72D297353CC}">
              <c16:uniqueId val="{00000001-0CFE-0843-9248-E4B8E0CFFCD6}"/>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4883949741906E-3"/>
              <c:y val="0.584388790770177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82418895906664E-2"/>
          <c:y val="0.20155089487288552"/>
          <c:w val="0.86818564205832138"/>
          <c:h val="0.57095477895137614"/>
        </c:manualLayout>
      </c:layout>
      <c:barChart>
        <c:barDir val="bar"/>
        <c:grouping val="stacked"/>
        <c:varyColors val="0"/>
        <c:ser>
          <c:idx val="0"/>
          <c:order val="0"/>
          <c:tx>
            <c:strRef>
              <c:f>'Balance Sheet'!$AQ$86</c:f>
              <c:strCache>
                <c:ptCount val="1"/>
                <c:pt idx="0">
                  <c:v>Long-term Liabilities</c:v>
                </c:pt>
              </c:strCache>
            </c:strRef>
          </c:tx>
          <c:spPr>
            <a:solidFill>
              <a:schemeClr val="accent1">
                <a:lumMod val="75000"/>
              </a:schemeClr>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48-C844-AFB3-D56C9A51256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Sheet'!$AP$88</c:f>
              <c:numCache>
                <c:formatCode>General</c:formatCode>
                <c:ptCount val="1"/>
                <c:pt idx="0">
                  <c:v>2022</c:v>
                </c:pt>
              </c:numCache>
            </c:numRef>
          </c:cat>
          <c:val>
            <c:numRef>
              <c:f>'Balance Sheet'!$AQ$88</c:f>
              <c:numCache>
                <c:formatCode>#,##0.00</c:formatCode>
                <c:ptCount val="1"/>
                <c:pt idx="0">
                  <c:v>11.84</c:v>
                </c:pt>
              </c:numCache>
            </c:numRef>
          </c:val>
          <c:extLst>
            <c:ext xmlns:c16="http://schemas.microsoft.com/office/drawing/2014/chart" uri="{C3380CC4-5D6E-409C-BE32-E72D297353CC}">
              <c16:uniqueId val="{00000001-AD48-C844-AFB3-D56C9A51256E}"/>
            </c:ext>
          </c:extLst>
        </c:ser>
        <c:ser>
          <c:idx val="1"/>
          <c:order val="1"/>
          <c:tx>
            <c:strRef>
              <c:f>'Balance Sheet'!$AP$87</c:f>
              <c:strCache>
                <c:ptCount val="1"/>
                <c:pt idx="0">
                  <c:v>2021</c:v>
                </c:pt>
              </c:strCache>
            </c:strRef>
          </c:tx>
          <c:spPr>
            <a:pattFill prst="pct10">
              <a:fgClr>
                <a:schemeClr val="accent1">
                  <a:lumMod val="75000"/>
                </a:schemeClr>
              </a:fgClr>
              <a:bgClr>
                <a:schemeClr val="bg1"/>
              </a:bgClr>
            </a:pattFill>
            <a:ln>
              <a:noFill/>
            </a:ln>
            <a:effectLst/>
          </c:spPr>
          <c:invertIfNegative val="0"/>
          <c:dLbls>
            <c:dLbl>
              <c:idx val="0"/>
              <c:layout>
                <c:manualLayout>
                  <c:x val="-6.096382852843159E-3"/>
                  <c:y val="-0.33307487091733362"/>
                </c:manualLayout>
              </c:layout>
              <c:tx>
                <c:rich>
                  <a:bodyPr/>
                  <a:lstStyle/>
                  <a:p>
                    <a:r>
                      <a:rPr lang="en-US"/>
                      <a:t>2021  14</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D48-C844-AFB3-D56C9A51256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Sheet'!$AP$88</c:f>
              <c:numCache>
                <c:formatCode>General</c:formatCode>
                <c:ptCount val="1"/>
                <c:pt idx="0">
                  <c:v>2022</c:v>
                </c:pt>
              </c:numCache>
            </c:numRef>
          </c:cat>
          <c:val>
            <c:numRef>
              <c:f>'Balance Sheet'!$AQ$87</c:f>
              <c:numCache>
                <c:formatCode>#,##0.00</c:formatCode>
                <c:ptCount val="1"/>
                <c:pt idx="0">
                  <c:v>2.16</c:v>
                </c:pt>
              </c:numCache>
            </c:numRef>
          </c:val>
          <c:extLst>
            <c:ext xmlns:c16="http://schemas.microsoft.com/office/drawing/2014/chart" uri="{C3380CC4-5D6E-409C-BE32-E72D297353CC}">
              <c16:uniqueId val="{00000003-AD48-C844-AFB3-D56C9A51256E}"/>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0.00"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6948328316975"/>
          <c:y val="0.54126768506860146"/>
          <c:w val="0.7365517297536136"/>
          <c:h val="0.34861326655454822"/>
        </c:manualLayout>
      </c:layout>
      <c:lineChart>
        <c:grouping val="standard"/>
        <c:varyColors val="0"/>
        <c:ser>
          <c:idx val="1"/>
          <c:order val="0"/>
          <c:tx>
            <c:strRef>
              <c:f>'Balance Sheet'!$AM$93</c:f>
              <c:strCache>
                <c:ptCount val="1"/>
                <c:pt idx="0">
                  <c:v>Owner's Equity</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B76E-E243-9715-78AA726DF8EE}"/>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6E-E243-9715-78AA726DF8E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Sheet'!$AL$94:$AL$98</c:f>
              <c:numCache>
                <c:formatCode>General</c:formatCode>
                <c:ptCount val="5"/>
                <c:pt idx="0">
                  <c:v>2018</c:v>
                </c:pt>
                <c:pt idx="1">
                  <c:v>2019</c:v>
                </c:pt>
                <c:pt idx="2">
                  <c:v>2020</c:v>
                </c:pt>
                <c:pt idx="3">
                  <c:v>2021</c:v>
                </c:pt>
                <c:pt idx="4">
                  <c:v>2022</c:v>
                </c:pt>
              </c:numCache>
            </c:numRef>
          </c:cat>
          <c:val>
            <c:numRef>
              <c:f>'Balance Sheet'!$AM$94:$AM$98</c:f>
              <c:numCache>
                <c:formatCode>General</c:formatCode>
                <c:ptCount val="5"/>
                <c:pt idx="0">
                  <c:v>40.619999999999997</c:v>
                </c:pt>
                <c:pt idx="1">
                  <c:v>47.79</c:v>
                </c:pt>
                <c:pt idx="2">
                  <c:v>59.22</c:v>
                </c:pt>
                <c:pt idx="3">
                  <c:v>90.78</c:v>
                </c:pt>
                <c:pt idx="4">
                  <c:v>96.11</c:v>
                </c:pt>
              </c:numCache>
            </c:numRef>
          </c:val>
          <c:smooth val="0"/>
          <c:extLst>
            <c:ext xmlns:c16="http://schemas.microsoft.com/office/drawing/2014/chart" uri="{C3380CC4-5D6E-409C-BE32-E72D297353CC}">
              <c16:uniqueId val="{00000001-B76E-E243-9715-78AA726DF8EE}"/>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1.9096495846759435E-2"/>
              <c:y val="0.518716859394076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679703914036611E-2"/>
          <c:y val="0.20155089487288552"/>
          <c:w val="0.90932028732026116"/>
          <c:h val="0.57095477895137614"/>
        </c:manualLayout>
      </c:layout>
      <c:barChart>
        <c:barDir val="bar"/>
        <c:grouping val="stacked"/>
        <c:varyColors val="0"/>
        <c:ser>
          <c:idx val="1"/>
          <c:order val="0"/>
          <c:tx>
            <c:strRef>
              <c:f>'Balance Sheet'!$AQ$96</c:f>
              <c:strCache>
                <c:ptCount val="1"/>
                <c:pt idx="0">
                  <c:v>Long-term Liabilities</c:v>
                </c:pt>
              </c:strCache>
            </c:strRef>
          </c:tx>
          <c:spPr>
            <a:solidFill>
              <a:schemeClr val="accent1">
                <a:lumMod val="75000"/>
              </a:schemeClr>
            </a:solidFill>
            <a:ln>
              <a:noFill/>
            </a:ln>
            <a:effectLst/>
          </c:spPr>
          <c:invertIfNegative val="0"/>
          <c:dLbls>
            <c:dLbl>
              <c:idx val="0"/>
              <c:tx>
                <c:rich>
                  <a:bodyPr/>
                  <a:lstStyle/>
                  <a:p>
                    <a:r>
                      <a:rPr lang="en-US" sz="800" b="1">
                        <a:solidFill>
                          <a:schemeClr val="bg1"/>
                        </a:solidFill>
                      </a:rPr>
                      <a:t>96,11</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C93E-CE41-A616-4C1B9074E2C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Sheet'!$AP$98</c:f>
              <c:numCache>
                <c:formatCode>General</c:formatCode>
                <c:ptCount val="1"/>
                <c:pt idx="0">
                  <c:v>2022</c:v>
                </c:pt>
              </c:numCache>
            </c:numRef>
          </c:cat>
          <c:val>
            <c:numRef>
              <c:f>'Balance Sheet'!$AQ$97</c:f>
              <c:numCache>
                <c:formatCode>#,##0.00</c:formatCode>
                <c:ptCount val="1"/>
                <c:pt idx="0">
                  <c:v>90.78</c:v>
                </c:pt>
              </c:numCache>
            </c:numRef>
          </c:val>
          <c:extLst>
            <c:ext xmlns:c16="http://schemas.microsoft.com/office/drawing/2014/chart" uri="{C3380CC4-5D6E-409C-BE32-E72D297353CC}">
              <c16:uniqueId val="{00000001-C93E-CE41-A616-4C1B9074E2C1}"/>
            </c:ext>
          </c:extLst>
        </c:ser>
        <c:ser>
          <c:idx val="0"/>
          <c:order val="1"/>
          <c:tx>
            <c:strRef>
              <c:f>'Balance Sheet'!$AP$97</c:f>
              <c:strCache>
                <c:ptCount val="1"/>
                <c:pt idx="0">
                  <c:v>2021</c:v>
                </c:pt>
              </c:strCache>
            </c:strRef>
          </c:tx>
          <c:spPr>
            <a:pattFill prst="pct10">
              <a:fgClr>
                <a:schemeClr val="accent1">
                  <a:lumMod val="75000"/>
                </a:schemeClr>
              </a:fgClr>
              <a:bgClr>
                <a:schemeClr val="bg1"/>
              </a:bgClr>
            </a:patt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3-C93E-CE41-A616-4C1B9074E2C1}"/>
              </c:ext>
            </c:extLst>
          </c:dPt>
          <c:dLbls>
            <c:dLbl>
              <c:idx val="0"/>
              <c:layout>
                <c:manualLayout>
                  <c:x val="-0.10346077340971656"/>
                  <c:y val="-0.34153674964783315"/>
                </c:manualLayout>
              </c:layout>
              <c:tx>
                <c:rich>
                  <a:bodyPr/>
                  <a:lstStyle/>
                  <a:p>
                    <a:r>
                      <a:rPr lang="en-US" sz="1000" b="1">
                        <a:solidFill>
                          <a:schemeClr val="accent1">
                            <a:lumMod val="75000"/>
                          </a:schemeClr>
                        </a:solidFill>
                      </a:rPr>
                      <a:t>2021  90,78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C93E-CE41-A616-4C1B9074E2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'Balance Sheet'!$AP$98</c:f>
              <c:numCache>
                <c:formatCode>General</c:formatCode>
                <c:ptCount val="1"/>
                <c:pt idx="0">
                  <c:v>2022</c:v>
                </c:pt>
              </c:numCache>
            </c:numRef>
          </c:cat>
          <c:val>
            <c:numRef>
              <c:f>'Balance Sheet'!$AQ$98</c:f>
              <c:numCache>
                <c:formatCode>#,##0.00</c:formatCode>
                <c:ptCount val="1"/>
                <c:pt idx="0">
                  <c:v>5.3299999999999983</c:v>
                </c:pt>
              </c:numCache>
            </c:numRef>
          </c:val>
          <c:extLst>
            <c:ext xmlns:c16="http://schemas.microsoft.com/office/drawing/2014/chart" uri="{C3380CC4-5D6E-409C-BE32-E72D297353CC}">
              <c16:uniqueId val="{00000004-C93E-CE41-A616-4C1B9074E2C1}"/>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0.00"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chemeClr val="tx1">
                    <a:lumMod val="65000"/>
                    <a:lumOff val="35000"/>
                  </a:schemeClr>
                </a:solidFill>
              </a:rPr>
              <a:t>Total Assets</a:t>
            </a:r>
          </a:p>
        </c:rich>
      </c:tx>
      <c:layout>
        <c:manualLayout>
          <c:xMode val="edge"/>
          <c:yMode val="edge"/>
          <c:x val="3.4092353771838078E-2"/>
          <c:y val="5.174790859731015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11973994318640017"/>
          <c:y val="0.1546690692476918"/>
          <c:w val="0.7632151200247711"/>
          <c:h val="0.74384270925166562"/>
        </c:manualLayout>
      </c:layout>
      <c:barChart>
        <c:barDir val="col"/>
        <c:grouping val="percentStacked"/>
        <c:varyColors val="0"/>
        <c:ser>
          <c:idx val="2"/>
          <c:order val="0"/>
          <c:tx>
            <c:strRef>
              <c:f>'Balance Sheet'!$AN$7</c:f>
              <c:strCache>
                <c:ptCount val="1"/>
                <c:pt idx="0">
                  <c:v>LONG-TERM ASSETS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Sheet'!$AN$8:$AN$10</c:f>
              <c:numCache>
                <c:formatCode>0%</c:formatCode>
                <c:ptCount val="3"/>
                <c:pt idx="0">
                  <c:v>0.56849943534775371</c:v>
                </c:pt>
                <c:pt idx="1">
                  <c:v>0.47174175512199179</c:v>
                </c:pt>
                <c:pt idx="2">
                  <c:v>0.52731697441641268</c:v>
                </c:pt>
              </c:numCache>
            </c:numRef>
          </c:val>
          <c:extLst>
            <c:ext xmlns:c16="http://schemas.microsoft.com/office/drawing/2014/chart" uri="{C3380CC4-5D6E-409C-BE32-E72D297353CC}">
              <c16:uniqueId val="{00000000-88EA-8F4C-A9ED-AD30BF81D180}"/>
            </c:ext>
          </c:extLst>
        </c:ser>
        <c:ser>
          <c:idx val="1"/>
          <c:order val="1"/>
          <c:tx>
            <c:strRef>
              <c:f>'Balance Sheet'!$AM$7</c:f>
              <c:strCache>
                <c:ptCount val="1"/>
                <c:pt idx="0">
                  <c:v>CURRENT ASSETS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Sheet'!$AM$8:$AM$10</c:f>
              <c:numCache>
                <c:formatCode>0%</c:formatCode>
                <c:ptCount val="3"/>
                <c:pt idx="0">
                  <c:v>0.43150056465224623</c:v>
                </c:pt>
                <c:pt idx="1">
                  <c:v>0.52825824487800821</c:v>
                </c:pt>
                <c:pt idx="2">
                  <c:v>0.47268302558358732</c:v>
                </c:pt>
              </c:numCache>
            </c:numRef>
          </c:val>
          <c:extLst>
            <c:ext xmlns:c16="http://schemas.microsoft.com/office/drawing/2014/chart" uri="{C3380CC4-5D6E-409C-BE32-E72D297353CC}">
              <c16:uniqueId val="{00000001-88EA-8F4C-A9ED-AD30BF81D180}"/>
            </c:ext>
          </c:extLst>
        </c:ser>
        <c:dLbls>
          <c:showLegendKey val="0"/>
          <c:showVal val="0"/>
          <c:showCatName val="0"/>
          <c:showSerName val="0"/>
          <c:showPercent val="0"/>
          <c:showBubbleSize val="0"/>
        </c:dLbls>
        <c:gapWidth val="201"/>
        <c:overlap val="100"/>
        <c:axId val="1863535615"/>
        <c:axId val="1865842031"/>
      </c:barChart>
      <c:catAx>
        <c:axId val="1863535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1865842031"/>
        <c:crosses val="autoZero"/>
        <c:auto val="1"/>
        <c:lblAlgn val="ctr"/>
        <c:lblOffset val="100"/>
        <c:noMultiLvlLbl val="0"/>
      </c:catAx>
      <c:valAx>
        <c:axId val="1865842031"/>
        <c:scaling>
          <c:orientation val="minMax"/>
        </c:scaling>
        <c:delete val="0"/>
        <c:axPos val="l"/>
        <c:title>
          <c:tx>
            <c:rich>
              <a:bodyPr rot="-5400000" spcFirstLastPara="1" vertOverflow="ellipsis" vert="horz" wrap="square" anchor="ctr" anchorCtr="1"/>
              <a:lstStyle/>
              <a:p>
                <a:pPr>
                  <a:defRPr sz="600" b="0" i="0" u="none" strike="noStrike" kern="1200" baseline="0">
                    <a:solidFill>
                      <a:schemeClr val="bg1">
                        <a:lumMod val="75000"/>
                      </a:schemeClr>
                    </a:solidFill>
                    <a:latin typeface="+mn-lt"/>
                    <a:ea typeface="+mn-ea"/>
                    <a:cs typeface="+mn-cs"/>
                  </a:defRPr>
                </a:pPr>
                <a:r>
                  <a:rPr lang="en-US" sz="600">
                    <a:solidFill>
                      <a:schemeClr val="bg1">
                        <a:lumMod val="75000"/>
                      </a:schemeClr>
                    </a:solidFill>
                  </a:rPr>
                  <a:t>PERCENTAGE PER TOTAL ASSETS</a:t>
                </a:r>
              </a:p>
            </c:rich>
          </c:tx>
          <c:layout>
            <c:manualLayout>
              <c:xMode val="edge"/>
              <c:yMode val="edge"/>
              <c:x val="3.436520435786225E-2"/>
              <c:y val="0.14057379533033718"/>
            </c:manualLayout>
          </c:layout>
          <c:overlay val="0"/>
          <c:spPr>
            <a:noFill/>
            <a:ln>
              <a:noFill/>
            </a:ln>
            <a:effectLst/>
          </c:spPr>
          <c:txPr>
            <a:bodyPr rot="-5400000" spcFirstLastPara="1" vertOverflow="ellipsis" vert="horz" wrap="square" anchor="ctr" anchorCtr="1"/>
            <a:lstStyle/>
            <a:p>
              <a:pPr>
                <a:defRPr sz="600" b="0" i="0" u="none" strike="noStrike" kern="1200" baseline="0">
                  <a:solidFill>
                    <a:schemeClr val="bg1">
                      <a:lumMod val="75000"/>
                    </a:schemeClr>
                  </a:solidFill>
                  <a:latin typeface="+mn-lt"/>
                  <a:ea typeface="+mn-ea"/>
                  <a:cs typeface="+mn-cs"/>
                </a:defRPr>
              </a:pPr>
              <a:endParaRPr lang="en-VN"/>
            </a:p>
          </c:txPr>
        </c:title>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1863535615"/>
        <c:crosses val="autoZero"/>
        <c:crossBetween val="between"/>
        <c:majorUnit val="0.2"/>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chemeClr val="tx1">
                    <a:lumMod val="65000"/>
                    <a:lumOff val="35000"/>
                  </a:schemeClr>
                </a:solidFill>
              </a:rPr>
              <a:t> Current Assets </a:t>
            </a:r>
          </a:p>
        </c:rich>
      </c:tx>
      <c:layout>
        <c:manualLayout>
          <c:xMode val="edge"/>
          <c:yMode val="edge"/>
          <c:x val="1.7196806486170509E-2"/>
          <c:y val="9.8873984423775638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36652873663689023"/>
          <c:y val="0.16393157270271161"/>
          <c:w val="0.53838308805799928"/>
          <c:h val="0.7320772655433061"/>
        </c:manualLayout>
      </c:layout>
      <c:lineChart>
        <c:grouping val="standard"/>
        <c:varyColors val="0"/>
        <c:ser>
          <c:idx val="5"/>
          <c:order val="0"/>
          <c:tx>
            <c:strRef>
              <c:f>'Balance Sheet'!$AO$18</c:f>
              <c:strCache>
                <c:ptCount val="1"/>
                <c:pt idx="0">
                  <c:v>Accounts receivable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Pt>
            <c:idx val="1"/>
            <c:marker>
              <c:symbol val="none"/>
            </c:marker>
            <c:bubble3D val="0"/>
            <c:extLst>
              <c:ext xmlns:c16="http://schemas.microsoft.com/office/drawing/2014/chart" uri="{C3380CC4-5D6E-409C-BE32-E72D297353CC}">
                <c16:uniqueId val="{00000000-0056-944C-84A2-3AC12AB7357A}"/>
              </c:ext>
            </c:extLst>
          </c:dPt>
          <c:dLbls>
            <c:dLbl>
              <c:idx val="0"/>
              <c:layout>
                <c:manualLayout>
                  <c:x val="-0.303967867368026"/>
                  <c:y val="1.6350491742162513E-7"/>
                </c:manualLayout>
              </c:layout>
              <c:tx>
                <c:rich>
                  <a:bodyPr/>
                  <a:lstStyle/>
                  <a:p>
                    <a:fld id="{7D5030AE-3A84-4243-AC86-94849C794EF7}" type="SERIESNAME">
                      <a:rPr lang="en-US" b="1">
                        <a:solidFill>
                          <a:schemeClr val="accent1">
                            <a:lumMod val="60000"/>
                            <a:lumOff val="40000"/>
                          </a:schemeClr>
                        </a:solidFill>
                      </a:rPr>
                      <a:pPr/>
                      <a:t>[SERIES NAME]</a:t>
                    </a:fld>
                    <a:r>
                      <a:rPr lang="en-US" b="1" baseline="0">
                        <a:solidFill>
                          <a:schemeClr val="accent1">
                            <a:lumMod val="60000"/>
                            <a:lumOff val="40000"/>
                          </a:schemeClr>
                        </a:solidFill>
                      </a:rPr>
                      <a:t>  </a:t>
                    </a:r>
                    <a:fld id="{34367699-4BF2-9B4D-B0B6-57EB23B119DC}" type="VALUE">
                      <a:rPr lang="en-US" b="1" baseline="0">
                        <a:solidFill>
                          <a:schemeClr val="accent1">
                            <a:lumMod val="60000"/>
                            <a:lumOff val="40000"/>
                          </a:schemeClr>
                        </a:solidFill>
                      </a:rPr>
                      <a:pPr/>
                      <a:t>[VALUE]</a:t>
                    </a:fld>
                    <a:endParaRPr lang="en-US" b="1" baseline="0">
                      <a:solidFill>
                        <a:schemeClr val="accent1">
                          <a:lumMod val="60000"/>
                          <a:lumOff val="40000"/>
                        </a:schemeClr>
                      </a:solidFill>
                    </a:endParaRPr>
                  </a:p>
                </c:rich>
              </c:tx>
              <c:dLblPos val="r"/>
              <c:showLegendKey val="0"/>
              <c:showVal val="1"/>
              <c:showCatName val="0"/>
              <c:showSerName val="1"/>
              <c:showPercent val="0"/>
              <c:showBubbleSize val="0"/>
              <c:extLst>
                <c:ext xmlns:c15="http://schemas.microsoft.com/office/drawing/2012/chart" uri="{CE6537A1-D6FC-4f65-9D91-7224C49458BB}">
                  <c15:layout>
                    <c:manualLayout>
                      <c:w val="0.31113311642969332"/>
                      <c:h val="0.10985915492957744"/>
                    </c:manualLayout>
                  </c15:layout>
                  <c15:dlblFieldTable/>
                  <c15:showDataLabelsRange val="0"/>
                </c:ext>
                <c:ext xmlns:c16="http://schemas.microsoft.com/office/drawing/2014/chart" uri="{C3380CC4-5D6E-409C-BE32-E72D297353CC}">
                  <c16:uniqueId val="{00000001-0056-944C-84A2-3AC12AB7357A}"/>
                </c:ext>
              </c:extLst>
            </c:dLbl>
            <c:dLbl>
              <c:idx val="1"/>
              <c:delete val="1"/>
              <c:extLst>
                <c:ext xmlns:c15="http://schemas.microsoft.com/office/drawing/2012/chart" uri="{CE6537A1-D6FC-4f65-9D91-7224C49458BB}"/>
                <c:ext xmlns:c16="http://schemas.microsoft.com/office/drawing/2014/chart" uri="{C3380CC4-5D6E-409C-BE32-E72D297353CC}">
                  <c16:uniqueId val="{00000000-0056-944C-84A2-3AC12AB7357A}"/>
                </c:ext>
              </c:extLst>
            </c:dLbl>
            <c:dLbl>
              <c:idx val="2"/>
              <c:layout>
                <c:manualLayout>
                  <c:x val="1.6141010302846376E-16"/>
                  <c:y val="-5.124479010208512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56-944C-84A2-3AC12AB7357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60000"/>
                        <a:lumOff val="40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'Balance Sheet'!$AL$19:$AL$21</c:f>
              <c:numCache>
                <c:formatCode>General</c:formatCode>
                <c:ptCount val="3"/>
                <c:pt idx="0">
                  <c:v>2020</c:v>
                </c:pt>
                <c:pt idx="1">
                  <c:v>2021</c:v>
                </c:pt>
                <c:pt idx="2">
                  <c:v>2022</c:v>
                </c:pt>
              </c:numCache>
            </c:numRef>
          </c:cat>
          <c:val>
            <c:numRef>
              <c:f>'Balance Sheet'!$AO$19:$AO$21</c:f>
              <c:numCache>
                <c:formatCode>0%</c:formatCode>
                <c:ptCount val="3"/>
                <c:pt idx="0">
                  <c:v>4.6572303684118944E-2</c:v>
                </c:pt>
                <c:pt idx="1">
                  <c:v>4.2991666323077778E-2</c:v>
                </c:pt>
                <c:pt idx="2">
                  <c:v>5.8078710781380535E-2</c:v>
                </c:pt>
              </c:numCache>
            </c:numRef>
          </c:val>
          <c:smooth val="0"/>
          <c:extLst>
            <c:ext xmlns:c16="http://schemas.microsoft.com/office/drawing/2014/chart" uri="{C3380CC4-5D6E-409C-BE32-E72D297353CC}">
              <c16:uniqueId val="{00000003-0056-944C-84A2-3AC12AB7357A}"/>
            </c:ext>
          </c:extLst>
        </c:ser>
        <c:ser>
          <c:idx val="3"/>
          <c:order val="1"/>
          <c:tx>
            <c:strRef>
              <c:f>'Balance Sheet'!$AM$18</c:f>
              <c:strCache>
                <c:ptCount val="1"/>
                <c:pt idx="0">
                  <c:v>Cash and cash equivalents</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dPt>
            <c:idx val="0"/>
            <c:marker>
              <c:symbol val="circle"/>
              <c:size val="5"/>
              <c:spPr>
                <a:solidFill>
                  <a:srgbClr val="FF0000"/>
                </a:solidFill>
                <a:ln w="9525">
                  <a:solidFill>
                    <a:srgbClr val="FF0000"/>
                  </a:solidFill>
                </a:ln>
                <a:effectLst/>
              </c:spPr>
            </c:marker>
            <c:bubble3D val="0"/>
            <c:extLst>
              <c:ext xmlns:c16="http://schemas.microsoft.com/office/drawing/2014/chart" uri="{C3380CC4-5D6E-409C-BE32-E72D297353CC}">
                <c16:uniqueId val="{00000004-0056-944C-84A2-3AC12AB7357A}"/>
              </c:ext>
            </c:extLst>
          </c:dPt>
          <c:dPt>
            <c:idx val="1"/>
            <c:marker>
              <c:symbol val="none"/>
            </c:marker>
            <c:bubble3D val="0"/>
            <c:extLst>
              <c:ext xmlns:c16="http://schemas.microsoft.com/office/drawing/2014/chart" uri="{C3380CC4-5D6E-409C-BE32-E72D297353CC}">
                <c16:uniqueId val="{00000005-0056-944C-84A2-3AC12AB7357A}"/>
              </c:ext>
            </c:extLst>
          </c:dPt>
          <c:dPt>
            <c:idx val="2"/>
            <c:marker>
              <c:symbol val="circle"/>
              <c:size val="5"/>
              <c:spPr>
                <a:solidFill>
                  <a:srgbClr val="FF0000"/>
                </a:solidFill>
                <a:ln w="9525">
                  <a:solidFill>
                    <a:srgbClr val="FF0000"/>
                  </a:solidFill>
                </a:ln>
                <a:effectLst/>
              </c:spPr>
            </c:marker>
            <c:bubble3D val="0"/>
            <c:extLst>
              <c:ext xmlns:c16="http://schemas.microsoft.com/office/drawing/2014/chart" uri="{C3380CC4-5D6E-409C-BE32-E72D297353CC}">
                <c16:uniqueId val="{00000006-0056-944C-84A2-3AC12AB7357A}"/>
              </c:ext>
            </c:extLst>
          </c:dPt>
          <c:dLbls>
            <c:dLbl>
              <c:idx val="0"/>
              <c:layout>
                <c:manualLayout>
                  <c:x val="-0.35235767935087797"/>
                  <c:y val="1.6350491757390095E-7"/>
                </c:manualLayout>
              </c:layout>
              <c:tx>
                <c:rich>
                  <a:bodyPr/>
                  <a:lstStyle/>
                  <a:p>
                    <a:fld id="{519C4E08-2CE5-3543-B13B-08ED8885E681}" type="SERIESNAME">
                      <a:rPr lang="en-US"/>
                      <a:pPr/>
                      <a:t>[SERIES NAME]</a:t>
                    </a:fld>
                    <a:r>
                      <a:rPr lang="en-US" baseline="0"/>
                      <a:t>  </a:t>
                    </a:r>
                    <a:fld id="{139FA4F5-8DAF-4646-94E2-BA715E8DF095}" type="VALUE">
                      <a:rPr lang="en-US" baseline="0"/>
                      <a:pPr/>
                      <a:t>[VALUE]</a:t>
                    </a:fld>
                    <a:endParaRPr lang="en-US" baseline="0"/>
                  </a:p>
                </c:rich>
              </c:tx>
              <c:dLblPos val="r"/>
              <c:showLegendKey val="0"/>
              <c:showVal val="1"/>
              <c:showCatName val="0"/>
              <c:showSerName val="1"/>
              <c:showPercent val="0"/>
              <c:showBubbleSize val="0"/>
              <c:extLst>
                <c:ext xmlns:c15="http://schemas.microsoft.com/office/drawing/2012/chart" uri="{CE6537A1-D6FC-4f65-9D91-7224C49458BB}">
                  <c15:layout>
                    <c:manualLayout>
                      <c:w val="0.34573567291556384"/>
                      <c:h val="0.10985915492957744"/>
                    </c:manualLayout>
                  </c15:layout>
                  <c15:dlblFieldTable/>
                  <c15:showDataLabelsRange val="0"/>
                </c:ext>
                <c:ext xmlns:c16="http://schemas.microsoft.com/office/drawing/2014/chart" uri="{C3380CC4-5D6E-409C-BE32-E72D297353CC}">
                  <c16:uniqueId val="{00000004-0056-944C-84A2-3AC12AB7357A}"/>
                </c:ext>
              </c:extLst>
            </c:dLbl>
            <c:dLbl>
              <c:idx val="1"/>
              <c:delete val="1"/>
              <c:extLst>
                <c:ext xmlns:c15="http://schemas.microsoft.com/office/drawing/2012/chart" uri="{CE6537A1-D6FC-4f65-9D91-7224C49458BB}"/>
                <c:ext xmlns:c16="http://schemas.microsoft.com/office/drawing/2014/chart" uri="{C3380CC4-5D6E-409C-BE32-E72D297353CC}">
                  <c16:uniqueId val="{00000005-0056-944C-84A2-3AC12AB7357A}"/>
                </c:ext>
              </c:extLst>
            </c:dLbl>
            <c:dLbl>
              <c:idx val="2"/>
              <c:layout>
                <c:manualLayout>
                  <c:x val="1.6141010302846376E-16"/>
                  <c:y val="1.24811513321581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56-944C-84A2-3AC12AB7357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0000"/>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'Balance Sheet'!$AL$19:$AL$21</c:f>
              <c:numCache>
                <c:formatCode>General</c:formatCode>
                <c:ptCount val="3"/>
                <c:pt idx="0">
                  <c:v>2020</c:v>
                </c:pt>
                <c:pt idx="1">
                  <c:v>2021</c:v>
                </c:pt>
                <c:pt idx="2">
                  <c:v>2022</c:v>
                </c:pt>
              </c:numCache>
            </c:numRef>
          </c:cat>
          <c:val>
            <c:numRef>
              <c:f>'Balance Sheet'!$AM$19:$AM$21</c:f>
              <c:numCache>
                <c:formatCode>0%</c:formatCode>
                <c:ptCount val="3"/>
                <c:pt idx="0">
                  <c:v>0.10414379070441161</c:v>
                </c:pt>
                <c:pt idx="1">
                  <c:v>0.12607622653558045</c:v>
                </c:pt>
                <c:pt idx="2">
                  <c:v>4.8871714744320109E-2</c:v>
                </c:pt>
              </c:numCache>
            </c:numRef>
          </c:val>
          <c:smooth val="0"/>
          <c:extLst>
            <c:ext xmlns:c16="http://schemas.microsoft.com/office/drawing/2014/chart" uri="{C3380CC4-5D6E-409C-BE32-E72D297353CC}">
              <c16:uniqueId val="{00000007-0056-944C-84A2-3AC12AB7357A}"/>
            </c:ext>
          </c:extLst>
        </c:ser>
        <c:ser>
          <c:idx val="4"/>
          <c:order val="2"/>
          <c:tx>
            <c:strRef>
              <c:f>'Balance Sheet'!$AN$18</c:f>
              <c:strCache>
                <c:ptCount val="1"/>
                <c:pt idx="0">
                  <c:v>Short-term investments</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Pt>
            <c:idx val="1"/>
            <c:marker>
              <c:symbol val="none"/>
            </c:marker>
            <c:bubble3D val="0"/>
            <c:extLst>
              <c:ext xmlns:c16="http://schemas.microsoft.com/office/drawing/2014/chart" uri="{C3380CC4-5D6E-409C-BE32-E72D297353CC}">
                <c16:uniqueId val="{00000008-0056-944C-84A2-3AC12AB7357A}"/>
              </c:ext>
            </c:extLst>
          </c:dPt>
          <c:dLbls>
            <c:dLbl>
              <c:idx val="0"/>
              <c:layout>
                <c:manualLayout>
                  <c:x val="-0.3186815269886944"/>
                  <c:y val="-4.1580935588218749E-3"/>
                </c:manualLayout>
              </c:layout>
              <c:tx>
                <c:rich>
                  <a:bodyPr/>
                  <a:lstStyle/>
                  <a:p>
                    <a:fld id="{B56E45E0-CC39-7A48-A3AB-EB74060DDF50}" type="SERIESNAME">
                      <a:rPr lang="en-US"/>
                      <a:pPr/>
                      <a:t>[SERIES NAME]</a:t>
                    </a:fld>
                    <a:r>
                      <a:rPr lang="en-US" baseline="0"/>
                      <a:t>  </a:t>
                    </a:r>
                    <a:fld id="{EFBE9A7D-C6A6-BB49-B24B-9EB40AC2DADD}" type="VALUE">
                      <a:rPr lang="en-US" baseline="0"/>
                      <a:pPr/>
                      <a:t>[VALUE]</a:t>
                    </a:fld>
                    <a:endParaRPr lang="en-US" baseline="0"/>
                  </a:p>
                </c:rich>
              </c:tx>
              <c:dLblPos val="r"/>
              <c:showLegendKey val="0"/>
              <c:showVal val="1"/>
              <c:showCatName val="0"/>
              <c:showSerName val="1"/>
              <c:showPercent val="0"/>
              <c:showBubbleSize val="0"/>
              <c:extLst>
                <c:ext xmlns:c15="http://schemas.microsoft.com/office/drawing/2012/chart" uri="{CE6537A1-D6FC-4f65-9D91-7224C49458BB}">
                  <c15:layout>
                    <c:manualLayout>
                      <c:w val="0.31426922017822234"/>
                      <c:h val="0.10985915492957744"/>
                    </c:manualLayout>
                  </c15:layout>
                  <c15:dlblFieldTable/>
                  <c15:showDataLabelsRange val="0"/>
                </c:ext>
                <c:ext xmlns:c16="http://schemas.microsoft.com/office/drawing/2014/chart" uri="{C3380CC4-5D6E-409C-BE32-E72D297353CC}">
                  <c16:uniqueId val="{00000009-0056-944C-84A2-3AC12AB7357A}"/>
                </c:ext>
              </c:extLst>
            </c:dLbl>
            <c:dLbl>
              <c:idx val="1"/>
              <c:delete val="1"/>
              <c:extLst>
                <c:ext xmlns:c15="http://schemas.microsoft.com/office/drawing/2012/chart" uri="{CE6537A1-D6FC-4f65-9D91-7224C49458BB}"/>
                <c:ext xmlns:c16="http://schemas.microsoft.com/office/drawing/2014/chart" uri="{C3380CC4-5D6E-409C-BE32-E72D297353CC}">
                  <c16:uniqueId val="{00000008-0056-944C-84A2-3AC12AB7357A}"/>
                </c:ext>
              </c:extLst>
            </c:dLbl>
            <c:dLbl>
              <c:idx val="2"/>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75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extLst>
                <c:ext xmlns:c16="http://schemas.microsoft.com/office/drawing/2014/chart" uri="{C3380CC4-5D6E-409C-BE32-E72D297353CC}">
                  <c16:uniqueId val="{0000000A-0056-944C-84A2-3AC12AB7357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75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'Balance Sheet'!$AL$19:$AL$21</c:f>
              <c:numCache>
                <c:formatCode>General</c:formatCode>
                <c:ptCount val="3"/>
                <c:pt idx="0">
                  <c:v>2020</c:v>
                </c:pt>
                <c:pt idx="1">
                  <c:v>2021</c:v>
                </c:pt>
                <c:pt idx="2">
                  <c:v>2022</c:v>
                </c:pt>
              </c:numCache>
            </c:numRef>
          </c:cat>
          <c:val>
            <c:numRef>
              <c:f>'Balance Sheet'!$AN$19:$AN$21</c:f>
              <c:numCache>
                <c:formatCode>0%</c:formatCode>
                <c:ptCount val="3"/>
                <c:pt idx="0">
                  <c:v>6.1796852214014313E-2</c:v>
                </c:pt>
                <c:pt idx="1">
                  <c:v>0.10231440002438991</c:v>
                </c:pt>
                <c:pt idx="2">
                  <c:v>0.15421473308800943</c:v>
                </c:pt>
              </c:numCache>
            </c:numRef>
          </c:val>
          <c:smooth val="0"/>
          <c:extLst>
            <c:ext xmlns:c16="http://schemas.microsoft.com/office/drawing/2014/chart" uri="{C3380CC4-5D6E-409C-BE32-E72D297353CC}">
              <c16:uniqueId val="{0000000B-0056-944C-84A2-3AC12AB7357A}"/>
            </c:ext>
          </c:extLst>
        </c:ser>
        <c:ser>
          <c:idx val="6"/>
          <c:order val="3"/>
          <c:tx>
            <c:strRef>
              <c:f>'Balance Sheet'!$AP$18</c:f>
              <c:strCache>
                <c:ptCount val="1"/>
                <c:pt idx="0">
                  <c:v>Inventories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Pt>
            <c:idx val="1"/>
            <c:marker>
              <c:symbol val="circle"/>
              <c:size val="5"/>
              <c:spPr>
                <a:solidFill>
                  <a:schemeClr val="accent1">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C-0056-944C-84A2-3AC12AB7357A}"/>
              </c:ext>
            </c:extLst>
          </c:dPt>
          <c:dLbls>
            <c:dLbl>
              <c:idx val="0"/>
              <c:layout>
                <c:manualLayout>
                  <c:x val="-0.18585634121582903"/>
                  <c:y val="-3.8068955199304258E-17"/>
                </c:manualLayout>
              </c:layout>
              <c:tx>
                <c:rich>
                  <a:bodyPr/>
                  <a:lstStyle/>
                  <a:p>
                    <a:fld id="{33851F70-00B6-1048-82DD-91B032316A8A}" type="SERIESNAME">
                      <a:rPr lang="en-US"/>
                      <a:pPr/>
                      <a:t>[SERIES NAME]</a:t>
                    </a:fld>
                    <a:r>
                      <a:rPr lang="en-US" baseline="0"/>
                      <a:t>  </a:t>
                    </a:r>
                    <a:fld id="{EFD3DA65-8D44-6C47-A849-D8E314A5FC0A}" type="VALUE">
                      <a:rPr lang="en-US" baseline="0"/>
                      <a:pPr/>
                      <a:t>[VALUE]</a:t>
                    </a:fld>
                    <a:endParaRPr lang="en-US" baseline="0"/>
                  </a:p>
                </c:rich>
              </c:tx>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0056-944C-84A2-3AC12AB7357A}"/>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056-944C-84A2-3AC12AB7357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60000"/>
                        <a:lumOff val="40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'Balance Sheet'!$AL$19:$AL$21</c:f>
              <c:numCache>
                <c:formatCode>General</c:formatCode>
                <c:ptCount val="3"/>
                <c:pt idx="0">
                  <c:v>2020</c:v>
                </c:pt>
                <c:pt idx="1">
                  <c:v>2021</c:v>
                </c:pt>
                <c:pt idx="2">
                  <c:v>2022</c:v>
                </c:pt>
              </c:numCache>
            </c:numRef>
          </c:cat>
          <c:val>
            <c:numRef>
              <c:f>'Balance Sheet'!$AP$19:$AP$21</c:f>
              <c:numCache>
                <c:formatCode>0%</c:formatCode>
                <c:ptCount val="3"/>
                <c:pt idx="0">
                  <c:v>0.19988240833477888</c:v>
                </c:pt>
                <c:pt idx="1">
                  <c:v>0.2363966543691117</c:v>
                </c:pt>
                <c:pt idx="2">
                  <c:v>0.20248924707965185</c:v>
                </c:pt>
              </c:numCache>
            </c:numRef>
          </c:val>
          <c:smooth val="0"/>
          <c:extLst>
            <c:ext xmlns:c16="http://schemas.microsoft.com/office/drawing/2014/chart" uri="{C3380CC4-5D6E-409C-BE32-E72D297353CC}">
              <c16:uniqueId val="{0000000E-0056-944C-84A2-3AC12AB7357A}"/>
            </c:ext>
          </c:extLst>
        </c:ser>
        <c:ser>
          <c:idx val="7"/>
          <c:order val="4"/>
          <c:tx>
            <c:strRef>
              <c:f>'Balance Sheet'!$AQ$18</c:f>
              <c:strCache>
                <c:ptCount val="1"/>
                <c:pt idx="0">
                  <c:v>Other current assets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Pt>
            <c:idx val="1"/>
            <c:marker>
              <c:symbol val="none"/>
            </c:marker>
            <c:bubble3D val="0"/>
            <c:extLst>
              <c:ext xmlns:c16="http://schemas.microsoft.com/office/drawing/2014/chart" uri="{C3380CC4-5D6E-409C-BE32-E72D297353CC}">
                <c16:uniqueId val="{0000000F-0056-944C-84A2-3AC12AB7357A}"/>
              </c:ext>
            </c:extLst>
          </c:dPt>
          <c:dLbls>
            <c:dLbl>
              <c:idx val="0"/>
              <c:layout>
                <c:manualLayout>
                  <c:x val="-0.28879039513113269"/>
                  <c:y val="1.6350491757390095E-7"/>
                </c:manualLayout>
              </c:layout>
              <c:tx>
                <c:rich>
                  <a:bodyPr/>
                  <a:lstStyle/>
                  <a:p>
                    <a:fld id="{FB29043A-1031-0240-B243-240F0FC76D90}" type="SERIESNAME">
                      <a:rPr lang="en-US"/>
                      <a:pPr/>
                      <a:t>[SERIES NAME]</a:t>
                    </a:fld>
                    <a:r>
                      <a:rPr lang="en-US" baseline="0"/>
                      <a:t>  </a:t>
                    </a:r>
                    <a:fld id="{998E7C1A-69E6-AD4D-8460-3E8EF81BD28A}" type="VALUE">
                      <a:rPr lang="en-US" baseline="0"/>
                      <a:pPr/>
                      <a:t>[VALUE]</a:t>
                    </a:fld>
                    <a:endParaRPr lang="en-US" baseline="0"/>
                  </a:p>
                </c:rich>
              </c:tx>
              <c:dLblPos val="r"/>
              <c:showLegendKey val="0"/>
              <c:showVal val="1"/>
              <c:showCatName val="0"/>
              <c:showSerName val="1"/>
              <c:showPercent val="0"/>
              <c:showBubbleSize val="0"/>
              <c:extLst>
                <c:ext xmlns:c15="http://schemas.microsoft.com/office/drawing/2012/chart" uri="{CE6537A1-D6FC-4f65-9D91-7224C49458BB}">
                  <c15:layout>
                    <c:manualLayout>
                      <c:w val="0.2777691891554267"/>
                      <c:h val="0.10985915492957744"/>
                    </c:manualLayout>
                  </c15:layout>
                  <c15:dlblFieldTable/>
                  <c15:showDataLabelsRange val="0"/>
                </c:ext>
                <c:ext xmlns:c16="http://schemas.microsoft.com/office/drawing/2014/chart" uri="{C3380CC4-5D6E-409C-BE32-E72D297353CC}">
                  <c16:uniqueId val="{00000010-0056-944C-84A2-3AC12AB7357A}"/>
                </c:ext>
              </c:extLst>
            </c:dLbl>
            <c:dLbl>
              <c:idx val="1"/>
              <c:delete val="1"/>
              <c:extLst>
                <c:ext xmlns:c15="http://schemas.microsoft.com/office/drawing/2012/chart" uri="{CE6537A1-D6FC-4f65-9D91-7224C49458BB}"/>
                <c:ext xmlns:c16="http://schemas.microsoft.com/office/drawing/2014/chart" uri="{C3380CC4-5D6E-409C-BE32-E72D297353CC}">
                  <c16:uniqueId val="{0000000F-0056-944C-84A2-3AC12AB7357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60000"/>
                        <a:lumOff val="40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'Balance Sheet'!$AL$19:$AL$21</c:f>
              <c:numCache>
                <c:formatCode>General</c:formatCode>
                <c:ptCount val="3"/>
                <c:pt idx="0">
                  <c:v>2020</c:v>
                </c:pt>
                <c:pt idx="1">
                  <c:v>2021</c:v>
                </c:pt>
                <c:pt idx="2">
                  <c:v>2022</c:v>
                </c:pt>
              </c:numCache>
            </c:numRef>
          </c:cat>
          <c:val>
            <c:numRef>
              <c:f>'Balance Sheet'!$AQ$19:$AQ$21</c:f>
              <c:numCache>
                <c:formatCode>0%</c:formatCode>
                <c:ptCount val="3"/>
                <c:pt idx="0">
                  <c:v>1.9105209714922487E-2</c:v>
                </c:pt>
                <c:pt idx="1">
                  <c:v>2.0479297625848391E-2</c:v>
                </c:pt>
                <c:pt idx="2">
                  <c:v>9.0286198902254158E-3</c:v>
                </c:pt>
              </c:numCache>
            </c:numRef>
          </c:val>
          <c:smooth val="0"/>
          <c:extLst>
            <c:ext xmlns:c16="http://schemas.microsoft.com/office/drawing/2014/chart" uri="{C3380CC4-5D6E-409C-BE32-E72D297353CC}">
              <c16:uniqueId val="{00000011-0056-944C-84A2-3AC12AB7357A}"/>
            </c:ext>
          </c:extLst>
        </c:ser>
        <c:dLbls>
          <c:showLegendKey val="0"/>
          <c:showVal val="0"/>
          <c:showCatName val="0"/>
          <c:showSerName val="0"/>
          <c:showPercent val="0"/>
          <c:showBubbleSize val="0"/>
        </c:dLbls>
        <c:marker val="1"/>
        <c:smooth val="0"/>
        <c:axId val="393425504"/>
        <c:axId val="352769584"/>
      </c:lineChart>
      <c:catAx>
        <c:axId val="39342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Arial" panose="020B0604020202020204" pitchFamily="34" charset="0"/>
                <a:ea typeface="+mn-ea"/>
                <a:cs typeface="Arial" panose="020B0604020202020204" pitchFamily="34" charset="0"/>
              </a:defRPr>
            </a:pPr>
            <a:endParaRPr lang="en-VN"/>
          </a:p>
        </c:txPr>
        <c:crossAx val="352769584"/>
        <c:crosses val="autoZero"/>
        <c:auto val="1"/>
        <c:lblAlgn val="ctr"/>
        <c:lblOffset val="100"/>
        <c:noMultiLvlLbl val="0"/>
      </c:catAx>
      <c:valAx>
        <c:axId val="352769584"/>
        <c:scaling>
          <c:orientation val="minMax"/>
        </c:scaling>
        <c:delete val="1"/>
        <c:axPos val="l"/>
        <c:numFmt formatCode="0%" sourceLinked="1"/>
        <c:majorTickMark val="none"/>
        <c:minorTickMark val="none"/>
        <c:tickLblPos val="nextTo"/>
        <c:crossAx val="393425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chemeClr val="tx1">
                    <a:lumMod val="65000"/>
                    <a:lumOff val="35000"/>
                  </a:schemeClr>
                </a:solidFill>
              </a:rPr>
              <a:t>Total Liabilities and Owner Equity</a:t>
            </a:r>
          </a:p>
        </c:rich>
      </c:tx>
      <c:layout>
        <c:manualLayout>
          <c:xMode val="edge"/>
          <c:yMode val="edge"/>
          <c:x val="7.5885235980115123E-2"/>
          <c:y val="0.10578018853146118"/>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9.1805942863785045E-2"/>
          <c:y val="0.3171456197827946"/>
          <c:w val="0.84976261886809112"/>
          <c:h val="0.63810161929675335"/>
        </c:manualLayout>
      </c:layout>
      <c:barChart>
        <c:barDir val="bar"/>
        <c:grouping val="stacked"/>
        <c:varyColors val="0"/>
        <c:ser>
          <c:idx val="3"/>
          <c:order val="0"/>
          <c:tx>
            <c:strRef>
              <c:f>'Balance Sheet'!$AQ$7</c:f>
              <c:strCache>
                <c:ptCount val="1"/>
                <c:pt idx="0">
                  <c:v>Owner's equity</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Sheet'!$AQ$8:$AQ$10</c:f>
              <c:numCache>
                <c:formatCode>0%</c:formatCode>
                <c:ptCount val="3"/>
                <c:pt idx="0">
                  <c:v>0.45030142497736847</c:v>
                </c:pt>
                <c:pt idx="1">
                  <c:v>0.50932701807138558</c:v>
                </c:pt>
                <c:pt idx="2">
                  <c:v>0.56425659130475403</c:v>
                </c:pt>
              </c:numCache>
            </c:numRef>
          </c:val>
          <c:extLst>
            <c:ext xmlns:c16="http://schemas.microsoft.com/office/drawing/2014/chart" uri="{C3380CC4-5D6E-409C-BE32-E72D297353CC}">
              <c16:uniqueId val="{00000000-7A3F-2745-B83E-40738809F196}"/>
            </c:ext>
          </c:extLst>
        </c:ser>
        <c:ser>
          <c:idx val="2"/>
          <c:order val="1"/>
          <c:tx>
            <c:strRef>
              <c:f>'Balance Sheet'!$AP$7</c:f>
              <c:strCache>
                <c:ptCount val="1"/>
                <c:pt idx="0">
                  <c:v>Long-term liabilities</c:v>
                </c:pt>
              </c:strCache>
            </c:strRef>
          </c:tx>
          <c:spPr>
            <a:solidFill>
              <a:schemeClr val="accent1">
                <a:lumMod val="60000"/>
                <a:lumOff val="40000"/>
              </a:schemeClr>
            </a:solidFill>
            <a:ln>
              <a:noFill/>
            </a:ln>
            <a:effectLst/>
          </c:spPr>
          <c:invertIfNegative val="0"/>
          <c:cat>
            <c:numRef>
              <c:f>'Balance Sheet'!$AL$8:$AL$10</c:f>
              <c:numCache>
                <c:formatCode>General</c:formatCode>
                <c:ptCount val="3"/>
                <c:pt idx="0">
                  <c:v>2020</c:v>
                </c:pt>
                <c:pt idx="1">
                  <c:v>2021</c:v>
                </c:pt>
                <c:pt idx="2">
                  <c:v>2022</c:v>
                </c:pt>
              </c:numCache>
            </c:numRef>
          </c:cat>
          <c:val>
            <c:numRef>
              <c:f>'Balance Sheet'!$AP$8:$AP$10</c:f>
              <c:numCache>
                <c:formatCode>0%</c:formatCode>
                <c:ptCount val="3"/>
                <c:pt idx="0">
                  <c:v>0.15448413842981024</c:v>
                </c:pt>
                <c:pt idx="1">
                  <c:v>7.852761397014893E-2</c:v>
                </c:pt>
                <c:pt idx="2">
                  <c:v>6.9493369591061005E-2</c:v>
                </c:pt>
              </c:numCache>
            </c:numRef>
          </c:val>
          <c:extLst>
            <c:ext xmlns:c16="http://schemas.microsoft.com/office/drawing/2014/chart" uri="{C3380CC4-5D6E-409C-BE32-E72D297353CC}">
              <c16:uniqueId val="{00000001-7A3F-2745-B83E-40738809F196}"/>
            </c:ext>
          </c:extLst>
        </c:ser>
        <c:ser>
          <c:idx val="1"/>
          <c:order val="2"/>
          <c:tx>
            <c:strRef>
              <c:f>'Balance Sheet'!$AO$7</c:f>
              <c:strCache>
                <c:ptCount val="1"/>
                <c:pt idx="0">
                  <c:v>Current liabilities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Sheet'!$AO$8:$AO$10</c:f>
              <c:numCache>
                <c:formatCode>0%</c:formatCode>
                <c:ptCount val="3"/>
                <c:pt idx="0">
                  <c:v>0.39521443659282129</c:v>
                </c:pt>
                <c:pt idx="1">
                  <c:v>0.41214536795846551</c:v>
                </c:pt>
                <c:pt idx="2">
                  <c:v>0.36625003910418491</c:v>
                </c:pt>
              </c:numCache>
            </c:numRef>
          </c:val>
          <c:extLst>
            <c:ext xmlns:c16="http://schemas.microsoft.com/office/drawing/2014/chart" uri="{C3380CC4-5D6E-409C-BE32-E72D297353CC}">
              <c16:uniqueId val="{00000002-7A3F-2745-B83E-40738809F196}"/>
            </c:ext>
          </c:extLst>
        </c:ser>
        <c:dLbls>
          <c:showLegendKey val="0"/>
          <c:showVal val="0"/>
          <c:showCatName val="0"/>
          <c:showSerName val="0"/>
          <c:showPercent val="0"/>
          <c:showBubbleSize val="0"/>
        </c:dLbls>
        <c:gapWidth val="100"/>
        <c:overlap val="100"/>
        <c:axId val="447065984"/>
        <c:axId val="418146992"/>
      </c:barChart>
      <c:catAx>
        <c:axId val="447065984"/>
        <c:scaling>
          <c:orientation val="maxMin"/>
        </c:scaling>
        <c:delete val="0"/>
        <c:axPos val="l"/>
        <c:numFmt formatCode="General" sourceLinked="1"/>
        <c:majorTickMark val="out"/>
        <c:minorTickMark val="none"/>
        <c:tickLblPos val="nextTo"/>
        <c:spPr>
          <a:solidFill>
            <a:schemeClr val="bg1"/>
          </a:solid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418146992"/>
        <c:crosses val="autoZero"/>
        <c:auto val="1"/>
        <c:lblAlgn val="ctr"/>
        <c:lblOffset val="100"/>
        <c:noMultiLvlLbl val="0"/>
      </c:catAx>
      <c:valAx>
        <c:axId val="418146992"/>
        <c:scaling>
          <c:orientation val="minMax"/>
          <c:max val="1"/>
        </c:scaling>
        <c:delete val="0"/>
        <c:axPos val="t"/>
        <c:numFmt formatCode="0%" sourceLinked="1"/>
        <c:majorTickMark val="in"/>
        <c:minorTickMark val="none"/>
        <c:tickLblPos val="nextTo"/>
        <c:spPr>
          <a:noFill/>
          <a:ln>
            <a:solidFill>
              <a:schemeClr val="bg1">
                <a:lumMod val="75000"/>
              </a:schemeClr>
            </a:solidFill>
          </a:ln>
          <a:effectLst/>
        </c:spPr>
        <c:txPr>
          <a:bodyPr rot="0" spcFirstLastPara="1" vertOverflow="ellipsis"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4470659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chemeClr val="tx1">
                    <a:lumMod val="65000"/>
                    <a:lumOff val="35000"/>
                  </a:schemeClr>
                </a:solidFill>
              </a:rPr>
              <a:t>Long-term Assets</a:t>
            </a:r>
          </a:p>
        </c:rich>
      </c:tx>
      <c:layout>
        <c:manualLayout>
          <c:xMode val="edge"/>
          <c:yMode val="edge"/>
          <c:x val="6.8659876286047541E-2"/>
          <c:y val="0.11277747744581171"/>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8.6464613999286441E-2"/>
          <c:y val="0.31039855778685582"/>
          <c:w val="0.86082746598041604"/>
          <c:h val="0.65921178496825117"/>
        </c:manualLayout>
      </c:layout>
      <c:barChart>
        <c:barDir val="bar"/>
        <c:grouping val="clustered"/>
        <c:varyColors val="0"/>
        <c:ser>
          <c:idx val="1"/>
          <c:order val="0"/>
          <c:tx>
            <c:strRef>
              <c:f>'Balance Sheet'!$AR$7</c:f>
              <c:strCache>
                <c:ptCount val="1"/>
                <c:pt idx="0">
                  <c:v>Fixed assets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50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Sheet'!$AR$8:$AR$10</c:f>
              <c:numCache>
                <c:formatCode>0%</c:formatCode>
                <c:ptCount val="3"/>
                <c:pt idx="0">
                  <c:v>0.5</c:v>
                </c:pt>
                <c:pt idx="1">
                  <c:v>0.39</c:v>
                </c:pt>
                <c:pt idx="2">
                  <c:v>0.42</c:v>
                </c:pt>
              </c:numCache>
            </c:numRef>
          </c:val>
          <c:extLst>
            <c:ext xmlns:c16="http://schemas.microsoft.com/office/drawing/2014/chart" uri="{C3380CC4-5D6E-409C-BE32-E72D297353CC}">
              <c16:uniqueId val="{00000000-5658-734C-A74C-E953D741F529}"/>
            </c:ext>
          </c:extLst>
        </c:ser>
        <c:ser>
          <c:idx val="2"/>
          <c:order val="1"/>
          <c:tx>
            <c:strRef>
              <c:f>'Balance Sheet'!$AS$7</c:f>
              <c:strCache>
                <c:ptCount val="1"/>
                <c:pt idx="0">
                  <c:v>Long-term incomplete assets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60000"/>
                        <a:lumOff val="40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Sheet'!$AS$8:$AS$10</c:f>
              <c:numCache>
                <c:formatCode>0%</c:formatCode>
                <c:ptCount val="3"/>
                <c:pt idx="0">
                  <c:v>0.05</c:v>
                </c:pt>
                <c:pt idx="1">
                  <c:v>0.05</c:v>
                </c:pt>
                <c:pt idx="2">
                  <c:v>0.08</c:v>
                </c:pt>
              </c:numCache>
            </c:numRef>
          </c:val>
          <c:extLst>
            <c:ext xmlns:c16="http://schemas.microsoft.com/office/drawing/2014/chart" uri="{C3380CC4-5D6E-409C-BE32-E72D297353CC}">
              <c16:uniqueId val="{00000001-5658-734C-A74C-E953D741F529}"/>
            </c:ext>
          </c:extLst>
        </c:ser>
        <c:ser>
          <c:idx val="3"/>
          <c:order val="2"/>
          <c:tx>
            <c:strRef>
              <c:f>'Balance Sheet'!$AT$7</c:f>
              <c:strCache>
                <c:ptCount val="1"/>
                <c:pt idx="0">
                  <c:v>Other Long-term Assets</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20000"/>
                        <a:lumOff val="80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Sheet'!$AT$8:$AT$10</c:f>
              <c:numCache>
                <c:formatCode>0%</c:formatCode>
                <c:ptCount val="3"/>
                <c:pt idx="0">
                  <c:v>0.01</c:v>
                </c:pt>
                <c:pt idx="1">
                  <c:v>0.03</c:v>
                </c:pt>
                <c:pt idx="2">
                  <c:v>0.03</c:v>
                </c:pt>
              </c:numCache>
            </c:numRef>
          </c:val>
          <c:extLst>
            <c:ext xmlns:c16="http://schemas.microsoft.com/office/drawing/2014/chart" uri="{C3380CC4-5D6E-409C-BE32-E72D297353CC}">
              <c16:uniqueId val="{00000002-5658-734C-A74C-E953D741F529}"/>
            </c:ext>
          </c:extLst>
        </c:ser>
        <c:dLbls>
          <c:showLegendKey val="0"/>
          <c:showVal val="0"/>
          <c:showCatName val="0"/>
          <c:showSerName val="0"/>
          <c:showPercent val="0"/>
          <c:showBubbleSize val="0"/>
        </c:dLbls>
        <c:gapWidth val="130"/>
        <c:axId val="936525071"/>
        <c:axId val="2085906895"/>
      </c:barChart>
      <c:catAx>
        <c:axId val="936525071"/>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2085906895"/>
        <c:crosses val="autoZero"/>
        <c:auto val="1"/>
        <c:lblAlgn val="ctr"/>
        <c:lblOffset val="100"/>
        <c:noMultiLvlLbl val="0"/>
      </c:catAx>
      <c:valAx>
        <c:axId val="2085906895"/>
        <c:scaling>
          <c:orientation val="minMax"/>
        </c:scaling>
        <c:delete val="0"/>
        <c:axPos val="t"/>
        <c:numFmt formatCode="0%"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93652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58246323354787155"/>
          <c:w val="0.51294791952613583"/>
          <c:h val="0.32631304524649768"/>
        </c:manualLayout>
      </c:layout>
      <c:lineChart>
        <c:grouping val="standard"/>
        <c:varyColors val="0"/>
        <c:ser>
          <c:idx val="0"/>
          <c:order val="0"/>
          <c:tx>
            <c:strRef>
              <c:f>'Income Statement'!$AP$9</c:f>
              <c:strCache>
                <c:ptCount val="1"/>
                <c:pt idx="0">
                  <c:v>Cost of Sales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FA40-BB45-8FCB-F6554FD6BEF5}"/>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A40-BB45-8FCB-F6554FD6BEF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Statement'!$AP$10:$AP$14</c:f>
              <c:numCache>
                <c:formatCode>General</c:formatCode>
                <c:ptCount val="5"/>
                <c:pt idx="0">
                  <c:v>44.2</c:v>
                </c:pt>
                <c:pt idx="1">
                  <c:v>52.5</c:v>
                </c:pt>
                <c:pt idx="2">
                  <c:v>71.2</c:v>
                </c:pt>
                <c:pt idx="3">
                  <c:v>108.6</c:v>
                </c:pt>
                <c:pt idx="4">
                  <c:v>124.7</c:v>
                </c:pt>
              </c:numCache>
            </c:numRef>
          </c:val>
          <c:smooth val="0"/>
          <c:extLst>
            <c:ext xmlns:c16="http://schemas.microsoft.com/office/drawing/2014/chart" uri="{C3380CC4-5D6E-409C-BE32-E72D297353CC}">
              <c16:uniqueId val="{00000001-FA40-BB45-8FCB-F6554FD6BEF5}"/>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2.6063726388440848E-2"/>
              <c:y val="0.575176295142488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3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'Income Statement'!$AP$4</c:f>
              <c:strCache>
                <c:ptCount val="1"/>
                <c:pt idx="0">
                  <c:v>Cost of Sales</c:v>
                </c:pt>
              </c:strCache>
            </c:strRef>
          </c:tx>
          <c:spPr>
            <a:solidFill>
              <a:schemeClr val="accent1">
                <a:lumMod val="75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DB06-DA4F-B924-2FA879E3F6B6}"/>
              </c:ext>
            </c:extLst>
          </c:dPt>
          <c:dLbls>
            <c:dLbl>
              <c:idx val="0"/>
              <c:tx>
                <c:rich>
                  <a:bodyPr/>
                  <a:lstStyle/>
                  <a:p>
                    <a:r>
                      <a:rPr lang="en-US" sz="1000" b="1">
                        <a:solidFill>
                          <a:schemeClr val="bg1"/>
                        </a:solidFill>
                      </a:rPr>
                      <a:t>124,7</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B06-DA4F-B924-2FA879E3F6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Statement'!$AP$5</c:f>
              <c:numCache>
                <c:formatCode>General</c:formatCode>
                <c:ptCount val="1"/>
                <c:pt idx="0">
                  <c:v>108.6</c:v>
                </c:pt>
              </c:numCache>
            </c:numRef>
          </c:val>
          <c:extLst>
            <c:ext xmlns:c16="http://schemas.microsoft.com/office/drawing/2014/chart" uri="{C3380CC4-5D6E-409C-BE32-E72D297353CC}">
              <c16:uniqueId val="{00000002-DB06-DA4F-B924-2FA879E3F6B6}"/>
            </c:ext>
          </c:extLst>
        </c:ser>
        <c:ser>
          <c:idx val="0"/>
          <c:order val="1"/>
          <c:tx>
            <c:v>2021</c:v>
          </c:tx>
          <c:spPr>
            <a:solidFill>
              <a:schemeClr val="accent1">
                <a:lumMod val="75000"/>
              </a:schemeClr>
            </a:solidFill>
            <a:ln>
              <a:noFill/>
            </a:ln>
            <a:effectLst/>
          </c:spPr>
          <c:invertIfNegative val="0"/>
          <c:dLbls>
            <c:dLbl>
              <c:idx val="0"/>
              <c:layout>
                <c:manualLayout>
                  <c:x val="-0.12872589485551722"/>
                  <c:y val="-0.36312838710693807"/>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r>
                      <a:rPr lang="en-US">
                        <a:solidFill>
                          <a:schemeClr val="accent1">
                            <a:lumMod val="75000"/>
                          </a:schemeClr>
                        </a:solidFill>
                      </a:rPr>
                      <a:t>2021 108,6</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DB06-DA4F-B924-2FA879E3F6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'Income Statement'!$AJ$6</c:f>
              <c:numCache>
                <c:formatCode>General</c:formatCode>
                <c:ptCount val="1"/>
                <c:pt idx="0">
                  <c:v>2022</c:v>
                </c:pt>
              </c:numCache>
            </c:numRef>
          </c:cat>
          <c:val>
            <c:numRef>
              <c:f>'Income Statement'!$AP$6</c:f>
              <c:numCache>
                <c:formatCode>General</c:formatCode>
                <c:ptCount val="1"/>
                <c:pt idx="0">
                  <c:v>16.100000000000009</c:v>
                </c:pt>
              </c:numCache>
            </c:numRef>
          </c:val>
          <c:extLst>
            <c:ext xmlns:c16="http://schemas.microsoft.com/office/drawing/2014/chart" uri="{C3380CC4-5D6E-409C-BE32-E72D297353CC}">
              <c16:uniqueId val="{00000004-DB06-DA4F-B924-2FA879E3F6B6}"/>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58589763528776"/>
          <c:y val="0.48556577055728634"/>
          <c:w val="0.73701207470924102"/>
          <c:h val="0.27481159238628811"/>
        </c:manualLayout>
      </c:layout>
      <c:lineChart>
        <c:grouping val="standard"/>
        <c:varyColors val="0"/>
        <c:ser>
          <c:idx val="1"/>
          <c:order val="0"/>
          <c:tx>
            <c:strRef>
              <c:f>'Income Statement'!$AK$9</c:f>
              <c:strCache>
                <c:ptCount val="1"/>
                <c:pt idx="0">
                  <c:v>EBITDA</c:v>
                </c:pt>
              </c:strCache>
            </c:strRef>
          </c:tx>
          <c:spPr>
            <a:ln w="28575" cap="rnd">
              <a:solidFill>
                <a:schemeClr val="accent1">
                  <a:lumMod val="75000"/>
                </a:schemeClr>
              </a:solidFill>
              <a:round/>
            </a:ln>
            <a:effectLst/>
          </c:spPr>
          <c:marker>
            <c:symbol val="none"/>
          </c:marker>
          <c:dPt>
            <c:idx val="4"/>
            <c:marker>
              <c:symbol val="circle"/>
              <c:size val="8"/>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4D55-8440-A755-363AD1273ACB}"/>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55-8440-A755-363AD1273AC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Statement'!$AK$10:$AK$14</c:f>
              <c:numCache>
                <c:formatCode>General</c:formatCode>
                <c:ptCount val="5"/>
                <c:pt idx="0">
                  <c:v>11.7</c:v>
                </c:pt>
                <c:pt idx="1">
                  <c:v>11.2</c:v>
                </c:pt>
                <c:pt idx="2">
                  <c:v>18.899999999999999</c:v>
                </c:pt>
                <c:pt idx="3">
                  <c:v>41.1</c:v>
                </c:pt>
                <c:pt idx="4">
                  <c:v>16.8</c:v>
                </c:pt>
              </c:numCache>
            </c:numRef>
          </c:val>
          <c:smooth val="0"/>
          <c:extLst>
            <c:ext xmlns:c16="http://schemas.microsoft.com/office/drawing/2014/chart" uri="{C3380CC4-5D6E-409C-BE32-E72D297353CC}">
              <c16:uniqueId val="{00000001-4D55-8440-A755-363AD1273ACB}"/>
            </c:ext>
          </c:extLst>
        </c:ser>
        <c:dLbls>
          <c:showLegendKey val="0"/>
          <c:showVal val="0"/>
          <c:showCatName val="0"/>
          <c:showSerName val="0"/>
          <c:showPercent val="0"/>
          <c:showBubbleSize val="0"/>
        </c:dLbls>
        <c:smooth val="0"/>
        <c:axId val="1134265503"/>
        <c:axId val="1134267839"/>
      </c:lineChart>
      <c:catAx>
        <c:axId val="113426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134267839"/>
        <c:crosses val="autoZero"/>
        <c:auto val="1"/>
        <c:lblAlgn val="ctr"/>
        <c:lblOffset val="100"/>
        <c:noMultiLvlLbl val="0"/>
      </c:catAx>
      <c:valAx>
        <c:axId val="11342678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5.4822160693275786E-2"/>
              <c:y val="0.469536691988763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title>
        <c:numFmt formatCode="##0" sourceLinked="0"/>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134265503"/>
        <c:crosses val="autoZero"/>
        <c:crossBetween val="between"/>
        <c:majorUnit val="1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'Income Statement'!$AN$4</c:f>
              <c:strCache>
                <c:ptCount val="1"/>
                <c:pt idx="0">
                  <c:v>EBT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Sheet'!$AP$48</c:f>
              <c:numCache>
                <c:formatCode>General</c:formatCode>
                <c:ptCount val="1"/>
                <c:pt idx="0">
                  <c:v>2022</c:v>
                </c:pt>
              </c:numCache>
            </c:numRef>
          </c:cat>
          <c:val>
            <c:numRef>
              <c:f>'Balance Sheet'!$AQ$48</c:f>
              <c:numCache>
                <c:formatCode>General</c:formatCode>
                <c:ptCount val="1"/>
                <c:pt idx="0">
                  <c:v>170.3</c:v>
                </c:pt>
              </c:numCache>
            </c:numRef>
          </c:val>
          <c:extLst>
            <c:ext xmlns:c16="http://schemas.microsoft.com/office/drawing/2014/chart" uri="{C3380CC4-5D6E-409C-BE32-E72D297353CC}">
              <c16:uniqueId val="{00000000-F09D-784D-8269-9FE127FE2AC5}"/>
            </c:ext>
          </c:extLst>
        </c:ser>
        <c:ser>
          <c:idx val="0"/>
          <c:order val="1"/>
          <c:tx>
            <c:v>2021</c:v>
          </c:tx>
          <c:spPr>
            <a:pattFill prst="pct10">
              <a:fgClr>
                <a:schemeClr val="accent1">
                  <a:lumMod val="75000"/>
                </a:schemeClr>
              </a:fgClr>
              <a:bgClr>
                <a:schemeClr val="bg1"/>
              </a:bgClr>
            </a:pattFill>
            <a:ln>
              <a:noFill/>
            </a:ln>
            <a:effectLst/>
          </c:spPr>
          <c:invertIfNegative val="0"/>
          <c:dLbls>
            <c:dLbl>
              <c:idx val="0"/>
              <c:layout>
                <c:manualLayout>
                  <c:x val="-8.39454647232587E-2"/>
                  <c:y val="-0.34648987498571021"/>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accent1">
                            <a:lumMod val="75000"/>
                          </a:schemeClr>
                        </a:solidFill>
                        <a:latin typeface="+mn-lt"/>
                        <a:ea typeface="+mn-ea"/>
                        <a:cs typeface="+mn-cs"/>
                      </a:defRPr>
                    </a:pPr>
                    <a:r>
                      <a:rPr lang="en-US" sz="1000" b="1">
                        <a:solidFill>
                          <a:schemeClr val="accent1">
                            <a:lumMod val="75000"/>
                          </a:schemeClr>
                        </a:solidFill>
                      </a:rPr>
                      <a:t>2021</a:t>
                    </a:r>
                    <a:r>
                      <a:rPr lang="en-US" sz="1000" b="1" baseline="0">
                        <a:solidFill>
                          <a:schemeClr val="accent1">
                            <a:lumMod val="75000"/>
                          </a:schemeClr>
                        </a:solidFill>
                      </a:rPr>
                      <a:t>  </a:t>
                    </a:r>
                    <a:r>
                      <a:rPr lang="en-US" sz="1000" b="1">
                        <a:solidFill>
                          <a:schemeClr val="accent1">
                            <a:lumMod val="75000"/>
                          </a:schemeClr>
                        </a:solidFill>
                      </a:rPr>
                      <a:t>178,2</a:t>
                    </a:r>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1">
                          <a:lumMod val="75000"/>
                        </a:schemeClr>
                      </a:solidFill>
                      <a:latin typeface="+mn-lt"/>
                      <a:ea typeface="+mn-ea"/>
                      <a:cs typeface="+mn-cs"/>
                    </a:defRPr>
                  </a:pPr>
                  <a:endParaRPr lang="en-VN"/>
                </a:p>
              </c:txPr>
              <c:showLegendKey val="0"/>
              <c:showVal val="1"/>
              <c:showCatName val="1"/>
              <c:showSerName val="0"/>
              <c:showPercent val="0"/>
              <c:showBubbleSize val="0"/>
              <c:extLst>
                <c:ext xmlns:c15="http://schemas.microsoft.com/office/drawing/2012/chart" uri="{CE6537A1-D6FC-4f65-9D91-7224C49458BB}">
                  <c15:layout>
                    <c:manualLayout>
                      <c:w val="0.21093649222088756"/>
                      <c:h val="0.2344859662337703"/>
                    </c:manualLayout>
                  </c15:layout>
                  <c15:showDataLabelsRange val="0"/>
                </c:ext>
                <c:ext xmlns:c16="http://schemas.microsoft.com/office/drawing/2014/chart" uri="{C3380CC4-5D6E-409C-BE32-E72D297353CC}">
                  <c16:uniqueId val="{00000001-F09D-784D-8269-9FE127FE2AC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Sheet'!$AP$48</c:f>
              <c:numCache>
                <c:formatCode>General</c:formatCode>
                <c:ptCount val="1"/>
                <c:pt idx="0">
                  <c:v>2022</c:v>
                </c:pt>
              </c:numCache>
            </c:numRef>
          </c:cat>
          <c:val>
            <c:numRef>
              <c:f>'Balance Sheet'!$AQ$47</c:f>
              <c:numCache>
                <c:formatCode>General</c:formatCode>
                <c:ptCount val="1"/>
                <c:pt idx="0">
                  <c:v>7.9</c:v>
                </c:pt>
              </c:numCache>
            </c:numRef>
          </c:val>
          <c:extLst>
            <c:ext xmlns:c16="http://schemas.microsoft.com/office/drawing/2014/chart" uri="{C3380CC4-5D6E-409C-BE32-E72D297353CC}">
              <c16:uniqueId val="{00000002-F09D-784D-8269-9FE127FE2AC5}"/>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'Income Statement'!$AK$4</c:f>
              <c:strCache>
                <c:ptCount val="1"/>
                <c:pt idx="0">
                  <c:v>EBITDA</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Statement'!$AK$6</c:f>
              <c:numCache>
                <c:formatCode>General</c:formatCode>
                <c:ptCount val="1"/>
                <c:pt idx="0">
                  <c:v>16.8</c:v>
                </c:pt>
              </c:numCache>
            </c:numRef>
          </c:val>
          <c:extLst>
            <c:ext xmlns:c16="http://schemas.microsoft.com/office/drawing/2014/chart" uri="{C3380CC4-5D6E-409C-BE32-E72D297353CC}">
              <c16:uniqueId val="{00000000-97D7-C244-AEE7-E46ADE98ED9A}"/>
            </c:ext>
          </c:extLst>
        </c:ser>
        <c:ser>
          <c:idx val="0"/>
          <c:order val="1"/>
          <c:tx>
            <c:v>2021</c:v>
          </c:tx>
          <c:spPr>
            <a:pattFill prst="pct10">
              <a:fgClr>
                <a:schemeClr val="accent1">
                  <a:lumMod val="75000"/>
                </a:schemeClr>
              </a:fgClr>
              <a:bgClr>
                <a:schemeClr val="bg1"/>
              </a:bgClr>
            </a:pattFill>
            <a:ln>
              <a:noFill/>
            </a:ln>
            <a:effectLst/>
          </c:spPr>
          <c:invertIfNegative val="0"/>
          <c:dLbls>
            <c:dLbl>
              <c:idx val="0"/>
              <c:layout>
                <c:manualLayout>
                  <c:x val="0.16225567643260433"/>
                  <c:y val="-0.34340306806913851"/>
                </c:manualLayout>
              </c:layout>
              <c:tx>
                <c:rich>
                  <a:bodyPr/>
                  <a:lstStyle/>
                  <a:p>
                    <a:fld id="{AD47CA6D-43D4-AD42-95FF-FE80FE163129}" type="SERIESNAME">
                      <a:rPr lang="en-US"/>
                      <a:pPr/>
                      <a:t>[SERIES NAME]</a:t>
                    </a:fld>
                    <a:r>
                      <a:rPr lang="en-US" baseline="0"/>
                      <a:t>  41,1</a:t>
                    </a:r>
                  </a:p>
                </c:rich>
              </c:tx>
              <c:dLblPos val="ct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97D7-C244-AEE7-E46ADE98ED9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'Income Statement'!$AK$5</c:f>
              <c:numCache>
                <c:formatCode>General</c:formatCode>
                <c:ptCount val="1"/>
                <c:pt idx="0">
                  <c:v>24.3</c:v>
                </c:pt>
              </c:numCache>
            </c:numRef>
          </c:val>
          <c:extLst>
            <c:ext xmlns:c16="http://schemas.microsoft.com/office/drawing/2014/chart" uri="{C3380CC4-5D6E-409C-BE32-E72D297353CC}">
              <c16:uniqueId val="{00000002-97D7-C244-AEE7-E46ADE98ED9A}"/>
            </c:ext>
          </c:extLst>
        </c:ser>
        <c:dLbls>
          <c:showLegendKey val="0"/>
          <c:showVal val="0"/>
          <c:showCatName val="0"/>
          <c:showSerName val="0"/>
          <c:showPercent val="0"/>
          <c:showBubbleSize val="0"/>
        </c:dLbls>
        <c:gapWidth val="0"/>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scaling>
        <c:delete val="1"/>
        <c:axPos val="b"/>
        <c:numFmt formatCode="General" sourceLinked="1"/>
        <c:majorTickMark val="none"/>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60594168330744769"/>
          <c:w val="0.74160528036050299"/>
          <c:h val="0.35139474397850257"/>
        </c:manualLayout>
      </c:layout>
      <c:lineChart>
        <c:grouping val="standard"/>
        <c:varyColors val="0"/>
        <c:ser>
          <c:idx val="1"/>
          <c:order val="0"/>
          <c:tx>
            <c:strRef>
              <c:f>'Income Statement'!$AL$9</c:f>
              <c:strCache>
                <c:ptCount val="1"/>
                <c:pt idx="0">
                  <c:v>Revenue</c:v>
                </c:pt>
              </c:strCache>
            </c:strRef>
          </c:tx>
          <c:spPr>
            <a:ln w="28575" cap="rnd">
              <a:solidFill>
                <a:schemeClr val="accent1">
                  <a:lumMod val="75000"/>
                </a:schemeClr>
              </a:solidFill>
              <a:round/>
            </a:ln>
            <a:effectLst/>
          </c:spPr>
          <c:marker>
            <c:symbol val="none"/>
          </c:marker>
          <c:dPt>
            <c:idx val="4"/>
            <c:marker>
              <c:symbol val="circle"/>
              <c:size val="8"/>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1273-0041-831F-BF98A29C8FE6}"/>
              </c:ext>
            </c:extLst>
          </c:dPt>
          <c:dLbls>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73-0041-831F-BF98A29C8FE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Statement'!$AL$10:$AL$14</c:f>
              <c:numCache>
                <c:formatCode>General</c:formatCode>
                <c:ptCount val="5"/>
                <c:pt idx="0">
                  <c:v>55.8</c:v>
                </c:pt>
                <c:pt idx="1">
                  <c:v>63.7</c:v>
                </c:pt>
                <c:pt idx="2">
                  <c:v>90.1</c:v>
                </c:pt>
                <c:pt idx="3">
                  <c:v>149.69999999999999</c:v>
                </c:pt>
                <c:pt idx="4">
                  <c:v>141.4</c:v>
                </c:pt>
              </c:numCache>
            </c:numRef>
          </c:val>
          <c:smooth val="0"/>
          <c:extLst>
            <c:ext xmlns:c16="http://schemas.microsoft.com/office/drawing/2014/chart" uri="{C3380CC4-5D6E-409C-BE32-E72D297353CC}">
              <c16:uniqueId val="{00000001-1273-0041-831F-BF98A29C8FE6}"/>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5260515627445E-3"/>
              <c:y val="0.593595268688683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'Income Statement'!$AL$4</c:f>
              <c:strCache>
                <c:ptCount val="1"/>
                <c:pt idx="0">
                  <c:v>Revenue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Statement'!$AL$6</c:f>
              <c:numCache>
                <c:formatCode>General</c:formatCode>
                <c:ptCount val="1"/>
                <c:pt idx="0">
                  <c:v>141.4</c:v>
                </c:pt>
              </c:numCache>
            </c:numRef>
          </c:val>
          <c:extLst>
            <c:ext xmlns:c16="http://schemas.microsoft.com/office/drawing/2014/chart" uri="{C3380CC4-5D6E-409C-BE32-E72D297353CC}">
              <c16:uniqueId val="{00000000-2CB1-274D-BB6F-57C9FDA8E1F3}"/>
            </c:ext>
          </c:extLst>
        </c:ser>
        <c:ser>
          <c:idx val="1"/>
          <c:order val="1"/>
          <c:tx>
            <c:v>2021</c:v>
          </c:tx>
          <c:spPr>
            <a:pattFill prst="pct10">
              <a:fgClr>
                <a:schemeClr val="accent1">
                  <a:lumMod val="75000"/>
                </a:schemeClr>
              </a:fgClr>
              <a:bgClr>
                <a:schemeClr val="bg1"/>
              </a:bgClr>
            </a:pattFill>
            <a:ln>
              <a:noFill/>
            </a:ln>
            <a:effectLst/>
          </c:spPr>
          <c:invertIfNegative val="0"/>
          <c:dLbls>
            <c:dLbl>
              <c:idx val="0"/>
              <c:layout>
                <c:manualLayout>
                  <c:x val="-6.7053763894285454E-2"/>
                  <c:y val="-0.33553197710848404"/>
                </c:manualLayout>
              </c:layout>
              <c:tx>
                <c:rich>
                  <a:bodyPr/>
                  <a:lstStyle/>
                  <a:p>
                    <a:fld id="{7ED2E497-858F-AB4A-B1C1-F3676227C3AC}" type="SERIESNAME">
                      <a:rPr lang="en-US"/>
                      <a:pPr/>
                      <a:t>[SERIES NAME]</a:t>
                    </a:fld>
                    <a:r>
                      <a:rPr lang="en-US" baseline="0"/>
                      <a:t>  149,7</a:t>
                    </a:r>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2CB1-274D-BB6F-57C9FDA8E1F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Statement'!$AL$5</c:f>
              <c:numCache>
                <c:formatCode>General</c:formatCode>
                <c:ptCount val="1"/>
                <c:pt idx="0">
                  <c:v>8.3000000000000007</c:v>
                </c:pt>
              </c:numCache>
            </c:numRef>
          </c:val>
          <c:extLst>
            <c:ext xmlns:c16="http://schemas.microsoft.com/office/drawing/2014/chart" uri="{C3380CC4-5D6E-409C-BE32-E72D297353CC}">
              <c16:uniqueId val="{00000002-2CB1-274D-BB6F-57C9FDA8E1F3}"/>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60594168330744769"/>
          <c:w val="0.74160528036050299"/>
          <c:h val="0.35139474397850257"/>
        </c:manualLayout>
      </c:layout>
      <c:lineChart>
        <c:grouping val="standard"/>
        <c:varyColors val="0"/>
        <c:ser>
          <c:idx val="1"/>
          <c:order val="0"/>
          <c:tx>
            <c:strRef>
              <c:f>'Income Statement'!$AO$9</c:f>
              <c:strCache>
                <c:ptCount val="1"/>
                <c:pt idx="0">
                  <c:v>Operating Profit</c:v>
                </c:pt>
              </c:strCache>
            </c:strRef>
          </c:tx>
          <c:spPr>
            <a:ln w="28575" cap="rnd">
              <a:solidFill>
                <a:schemeClr val="accent1">
                  <a:lumMod val="75000"/>
                </a:schemeClr>
              </a:solidFill>
              <a:round/>
            </a:ln>
            <a:effectLst/>
          </c:spPr>
          <c:marker>
            <c:symbol val="none"/>
          </c:marker>
          <c:dPt>
            <c:idx val="4"/>
            <c:marker>
              <c:symbol val="circle"/>
              <c:size val="8"/>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CB0D-2E4B-9F29-7C1C3AACD40F}"/>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0D-2E4B-9F29-7C1C3AACD40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Statement'!$AO$10:$AO$14</c:f>
              <c:numCache>
                <c:formatCode>General</c:formatCode>
                <c:ptCount val="5"/>
                <c:pt idx="0">
                  <c:v>10.5</c:v>
                </c:pt>
                <c:pt idx="1">
                  <c:v>9.6999999999999993</c:v>
                </c:pt>
                <c:pt idx="2">
                  <c:v>17.100000000000001</c:v>
                </c:pt>
                <c:pt idx="3">
                  <c:v>37.700000000000003</c:v>
                </c:pt>
                <c:pt idx="4">
                  <c:v>13.1</c:v>
                </c:pt>
              </c:numCache>
            </c:numRef>
          </c:val>
          <c:smooth val="0"/>
          <c:extLst>
            <c:ext xmlns:c16="http://schemas.microsoft.com/office/drawing/2014/chart" uri="{C3380CC4-5D6E-409C-BE32-E72D297353CC}">
              <c16:uniqueId val="{00000001-CB0D-2E4B-9F29-7C1C3AACD40F}"/>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5260515627445E-3"/>
              <c:y val="0.593595268688683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'Income Statement'!$AO$4</c:f>
              <c:strCache>
                <c:ptCount val="1"/>
                <c:pt idx="0">
                  <c:v>Operating Profit</c:v>
                </c:pt>
              </c:strCache>
            </c:strRef>
          </c:tx>
          <c:spPr>
            <a:solidFill>
              <a:schemeClr val="accent1">
                <a:lumMod val="75000"/>
              </a:schemeClr>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2BFE030E-0A6D-6943-9E99-B824AF2573ED}" type="VALUE">
                      <a:rPr lang="en-US" sz="1000" b="1">
                        <a:solidFill>
                          <a:schemeClr val="bg1"/>
                        </a:solidFill>
                      </a:rPr>
                      <a:pPr>
                        <a:defRPr sz="10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VN"/>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D9D5-AB4F-8ABD-9DCB3AE3CEE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Statement'!$AO$6</c:f>
              <c:numCache>
                <c:formatCode>General</c:formatCode>
                <c:ptCount val="1"/>
                <c:pt idx="0">
                  <c:v>13.1</c:v>
                </c:pt>
              </c:numCache>
            </c:numRef>
          </c:val>
          <c:extLst>
            <c:ext xmlns:c16="http://schemas.microsoft.com/office/drawing/2014/chart" uri="{C3380CC4-5D6E-409C-BE32-E72D297353CC}">
              <c16:uniqueId val="{00000001-D9D5-AB4F-8ABD-9DCB3AE3CEE4}"/>
            </c:ext>
          </c:extLst>
        </c:ser>
        <c:ser>
          <c:idx val="1"/>
          <c:order val="1"/>
          <c:tx>
            <c:strRef>
              <c:f>'Income Statement'!$AJ$5</c:f>
              <c:strCache>
                <c:ptCount val="1"/>
                <c:pt idx="0">
                  <c:v>2021</c:v>
                </c:pt>
              </c:strCache>
            </c:strRef>
          </c:tx>
          <c:spPr>
            <a:solidFill>
              <a:schemeClr val="accent2"/>
            </a:solidFill>
            <a:ln>
              <a:noFill/>
            </a:ln>
            <a:effectLst/>
          </c:spPr>
          <c:invertIfNegative val="0"/>
          <c:dPt>
            <c:idx val="0"/>
            <c:invertIfNegative val="0"/>
            <c:bubble3D val="0"/>
            <c:spPr>
              <a:pattFill prst="pct10">
                <a:fgClr>
                  <a:schemeClr val="accent1">
                    <a:lumMod val="75000"/>
                  </a:schemeClr>
                </a:fgClr>
                <a:bgClr>
                  <a:schemeClr val="bg1"/>
                </a:bgClr>
              </a:pattFill>
              <a:ln>
                <a:noFill/>
              </a:ln>
              <a:effectLst/>
            </c:spPr>
            <c:extLst>
              <c:ext xmlns:c16="http://schemas.microsoft.com/office/drawing/2014/chart" uri="{C3380CC4-5D6E-409C-BE32-E72D297353CC}">
                <c16:uniqueId val="{00000003-D9D5-AB4F-8ABD-9DCB3AE3CEE4}"/>
              </c:ext>
            </c:extLst>
          </c:dPt>
          <c:dLbls>
            <c:dLbl>
              <c:idx val="0"/>
              <c:layout>
                <c:manualLayout>
                  <c:x val="0.18978008381359401"/>
                  <c:y val="-0.34637968635937999"/>
                </c:manualLayout>
              </c:layout>
              <c:tx>
                <c:rich>
                  <a:bodyPr/>
                  <a:lstStyle/>
                  <a:p>
                    <a:r>
                      <a:rPr lang="en-US" sz="1000" b="1">
                        <a:solidFill>
                          <a:schemeClr val="accent1">
                            <a:lumMod val="75000"/>
                          </a:schemeClr>
                        </a:solidFill>
                      </a:rPr>
                      <a:t>2021</a:t>
                    </a:r>
                    <a:r>
                      <a:rPr lang="en-US" sz="1000" b="1" baseline="0">
                        <a:solidFill>
                          <a:schemeClr val="accent1">
                            <a:lumMod val="75000"/>
                          </a:schemeClr>
                        </a:solidFill>
                      </a:rPr>
                      <a:t> </a:t>
                    </a:r>
                    <a:r>
                      <a:rPr lang="en-US" sz="1000" b="1">
                        <a:solidFill>
                          <a:schemeClr val="accent1">
                            <a:lumMod val="75000"/>
                          </a:schemeClr>
                        </a:solidFill>
                      </a:rPr>
                      <a:t> 37,7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D9D5-AB4F-8ABD-9DCB3AE3CEE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bg1"/>
                      </a:solidFill>
                      <a:round/>
                    </a:ln>
                    <a:effectLst/>
                  </c:spPr>
                </c15:leaderLines>
              </c:ext>
            </c:extLst>
          </c:dLbls>
          <c:cat>
            <c:numRef>
              <c:f>'Income Statement'!$AJ$6</c:f>
              <c:numCache>
                <c:formatCode>General</c:formatCode>
                <c:ptCount val="1"/>
                <c:pt idx="0">
                  <c:v>2022</c:v>
                </c:pt>
              </c:numCache>
            </c:numRef>
          </c:cat>
          <c:val>
            <c:numRef>
              <c:f>'Income Statement'!$AO$5</c:f>
              <c:numCache>
                <c:formatCode>General</c:formatCode>
                <c:ptCount val="1"/>
                <c:pt idx="0">
                  <c:v>24.6</c:v>
                </c:pt>
              </c:numCache>
            </c:numRef>
          </c:val>
          <c:extLst>
            <c:ext xmlns:c16="http://schemas.microsoft.com/office/drawing/2014/chart" uri="{C3380CC4-5D6E-409C-BE32-E72D297353CC}">
              <c16:uniqueId val="{00000004-D9D5-AB4F-8ABD-9DCB3AE3CEE4}"/>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60594168330744769"/>
          <c:w val="0.74160528036050299"/>
          <c:h val="0.35139474397850257"/>
        </c:manualLayout>
      </c:layout>
      <c:lineChart>
        <c:grouping val="standard"/>
        <c:varyColors val="0"/>
        <c:ser>
          <c:idx val="1"/>
          <c:order val="0"/>
          <c:tx>
            <c:strRef>
              <c:f>'Income Statement'!$AN$9</c:f>
              <c:strCache>
                <c:ptCount val="1"/>
                <c:pt idx="0">
                  <c:v>EBT</c:v>
                </c:pt>
              </c:strCache>
            </c:strRef>
          </c:tx>
          <c:spPr>
            <a:ln w="28575" cap="rnd">
              <a:solidFill>
                <a:schemeClr val="accent1">
                  <a:lumMod val="75000"/>
                </a:schemeClr>
              </a:solidFill>
              <a:round/>
            </a:ln>
            <a:effectLst/>
          </c:spPr>
          <c:marker>
            <c:symbol val="none"/>
          </c:marker>
          <c:dPt>
            <c:idx val="4"/>
            <c:marker>
              <c:symbol val="circle"/>
              <c:size val="8"/>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85D6-D842-AEEE-70F6A1F41416}"/>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5D6-D842-AEEE-70F6A1F4141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Statement'!$AN$10:$AN$14</c:f>
              <c:numCache>
                <c:formatCode>General</c:formatCode>
                <c:ptCount val="5"/>
                <c:pt idx="0">
                  <c:v>10</c:v>
                </c:pt>
                <c:pt idx="1">
                  <c:v>8.8000000000000007</c:v>
                </c:pt>
                <c:pt idx="2">
                  <c:v>14.9</c:v>
                </c:pt>
                <c:pt idx="3">
                  <c:v>35.1</c:v>
                </c:pt>
                <c:pt idx="4">
                  <c:v>10</c:v>
                </c:pt>
              </c:numCache>
            </c:numRef>
          </c:val>
          <c:smooth val="0"/>
          <c:extLst>
            <c:ext xmlns:c16="http://schemas.microsoft.com/office/drawing/2014/chart" uri="{C3380CC4-5D6E-409C-BE32-E72D297353CC}">
              <c16:uniqueId val="{00000001-85D6-D842-AEEE-70F6A1F41416}"/>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5260515627445E-3"/>
              <c:y val="0.593595268688683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'Income Statement'!$AN$4</c:f>
              <c:strCache>
                <c:ptCount val="1"/>
                <c:pt idx="0">
                  <c:v>EBT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Statement'!$AN$6</c:f>
              <c:numCache>
                <c:formatCode>General</c:formatCode>
                <c:ptCount val="1"/>
                <c:pt idx="0">
                  <c:v>10</c:v>
                </c:pt>
              </c:numCache>
            </c:numRef>
          </c:val>
          <c:extLst>
            <c:ext xmlns:c16="http://schemas.microsoft.com/office/drawing/2014/chart" uri="{C3380CC4-5D6E-409C-BE32-E72D297353CC}">
              <c16:uniqueId val="{00000000-F25D-5140-A89C-30BAEBDB0299}"/>
            </c:ext>
          </c:extLst>
        </c:ser>
        <c:ser>
          <c:idx val="1"/>
          <c:order val="1"/>
          <c:tx>
            <c:strRef>
              <c:f>'Income Statement'!$AJ$5</c:f>
              <c:strCache>
                <c:ptCount val="1"/>
                <c:pt idx="0">
                  <c:v>2021</c:v>
                </c:pt>
              </c:strCache>
            </c:strRef>
          </c:tx>
          <c:spPr>
            <a:pattFill prst="pct10">
              <a:fgClr>
                <a:schemeClr val="accent1">
                  <a:lumMod val="75000"/>
                </a:schemeClr>
              </a:fgClr>
              <a:bgClr>
                <a:schemeClr val="bg1"/>
              </a:bgClr>
            </a:pattFill>
            <a:ln>
              <a:noFill/>
            </a:ln>
            <a:effectLst/>
          </c:spPr>
          <c:invertIfNegative val="0"/>
          <c:dLbls>
            <c:dLbl>
              <c:idx val="0"/>
              <c:layout>
                <c:manualLayout>
                  <c:x val="0.19944048675331918"/>
                  <c:y val="-0.34341228576378996"/>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r>
                      <a:rPr lang="en-US" sz="1000"/>
                      <a:t>2021  35,1</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F25D-5140-A89C-30BAEBDB029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Statement'!$AN$5</c:f>
              <c:numCache>
                <c:formatCode>General</c:formatCode>
                <c:ptCount val="1"/>
                <c:pt idx="0">
                  <c:v>25.1</c:v>
                </c:pt>
              </c:numCache>
            </c:numRef>
          </c:val>
          <c:extLst>
            <c:ext xmlns:c16="http://schemas.microsoft.com/office/drawing/2014/chart" uri="{C3380CC4-5D6E-409C-BE32-E72D297353CC}">
              <c16:uniqueId val="{00000002-F25D-5140-A89C-30BAEBDB0299}"/>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60594168330744769"/>
          <c:w val="0.74160528036050299"/>
          <c:h val="0.35139474397850257"/>
        </c:manualLayout>
      </c:layout>
      <c:lineChart>
        <c:grouping val="standard"/>
        <c:varyColors val="0"/>
        <c:ser>
          <c:idx val="0"/>
          <c:order val="0"/>
          <c:tx>
            <c:strRef>
              <c:f>'Income Statement'!$AM$9</c:f>
              <c:strCache>
                <c:ptCount val="1"/>
                <c:pt idx="0">
                  <c:v>Net Profit</c:v>
                </c:pt>
              </c:strCache>
            </c:strRef>
          </c:tx>
          <c:spPr>
            <a:ln w="28575" cap="rnd">
              <a:solidFill>
                <a:schemeClr val="accent1">
                  <a:lumMod val="75000"/>
                </a:schemeClr>
              </a:solidFill>
              <a:round/>
            </a:ln>
            <a:effectLst/>
          </c:spPr>
          <c:marker>
            <c:symbol val="none"/>
          </c:marker>
          <c:dPt>
            <c:idx val="4"/>
            <c:marker>
              <c:symbol val="circle"/>
              <c:size val="8"/>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CC3E-4D47-B334-ADF67FA12FEB}"/>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3E-4D47-B334-ADF67FA12FE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Statement'!$AM$10:$AM$14</c:f>
              <c:numCache>
                <c:formatCode>General</c:formatCode>
                <c:ptCount val="5"/>
                <c:pt idx="0">
                  <c:v>8.6</c:v>
                </c:pt>
                <c:pt idx="1">
                  <c:v>7.5</c:v>
                </c:pt>
                <c:pt idx="2">
                  <c:v>13.5</c:v>
                </c:pt>
                <c:pt idx="3">
                  <c:v>34.5</c:v>
                </c:pt>
                <c:pt idx="4">
                  <c:v>8.4</c:v>
                </c:pt>
              </c:numCache>
            </c:numRef>
          </c:val>
          <c:smooth val="0"/>
          <c:extLst>
            <c:ext xmlns:c16="http://schemas.microsoft.com/office/drawing/2014/chart" uri="{C3380CC4-5D6E-409C-BE32-E72D297353CC}">
              <c16:uniqueId val="{00000001-CC3E-4D47-B334-ADF67FA12FEB}"/>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5260515627445E-3"/>
              <c:y val="0.593595268688683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'Income Statement'!$AM$4</c:f>
              <c:strCache>
                <c:ptCount val="1"/>
                <c:pt idx="0">
                  <c:v>Net Profit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Statement'!$AM$6</c:f>
              <c:numCache>
                <c:formatCode>General</c:formatCode>
                <c:ptCount val="1"/>
                <c:pt idx="0">
                  <c:v>8.4</c:v>
                </c:pt>
              </c:numCache>
            </c:numRef>
          </c:val>
          <c:extLst>
            <c:ext xmlns:c16="http://schemas.microsoft.com/office/drawing/2014/chart" uri="{C3380CC4-5D6E-409C-BE32-E72D297353CC}">
              <c16:uniqueId val="{00000000-D4EF-504A-B815-C1AF18EBB96A}"/>
            </c:ext>
          </c:extLst>
        </c:ser>
        <c:ser>
          <c:idx val="0"/>
          <c:order val="1"/>
          <c:tx>
            <c:v>2021</c:v>
          </c:tx>
          <c:spPr>
            <a:pattFill prst="pct10">
              <a:fgClr>
                <a:schemeClr val="accent1">
                  <a:lumMod val="75000"/>
                </a:schemeClr>
              </a:fgClr>
              <a:bgClr>
                <a:schemeClr val="bg1"/>
              </a:bgClr>
            </a:pattFill>
            <a:ln>
              <a:noFill/>
            </a:ln>
            <a:effectLst/>
          </c:spPr>
          <c:invertIfNegative val="0"/>
          <c:dLbls>
            <c:dLbl>
              <c:idx val="0"/>
              <c:layout>
                <c:manualLayout>
                  <c:x val="0.20362663319101074"/>
                  <c:y val="-0.33564830393797979"/>
                </c:manualLayout>
              </c:layout>
              <c:tx>
                <c:rich>
                  <a:bodyPr/>
                  <a:lstStyle/>
                  <a:p>
                    <a:fld id="{FC8CEB06-C502-E74A-A2DE-B8C2A9325909}" type="SERIESNAME">
                      <a:rPr lang="en-US"/>
                      <a:pPr/>
                      <a:t>[SERIES NAME]</a:t>
                    </a:fld>
                    <a:r>
                      <a:rPr lang="en-US" baseline="0"/>
                      <a:t>  34,5</a:t>
                    </a:r>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D4EF-504A-B815-C1AF18EBB96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Statement'!$AM$5</c:f>
              <c:numCache>
                <c:formatCode>General</c:formatCode>
                <c:ptCount val="1"/>
                <c:pt idx="0">
                  <c:v>26.1</c:v>
                </c:pt>
              </c:numCache>
            </c:numRef>
          </c:val>
          <c:extLst>
            <c:ext xmlns:c16="http://schemas.microsoft.com/office/drawing/2014/chart" uri="{C3380CC4-5D6E-409C-BE32-E72D297353CC}">
              <c16:uniqueId val="{00000002-D4EF-504A-B815-C1AF18EBB96A}"/>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solidFill>
                  <a:schemeClr val="tx1">
                    <a:lumMod val="65000"/>
                    <a:lumOff val="35000"/>
                  </a:schemeClr>
                </a:solidFill>
              </a:rPr>
              <a:t>Income Statement</a:t>
            </a:r>
          </a:p>
        </c:rich>
      </c:tx>
      <c:layout>
        <c:manualLayout>
          <c:xMode val="edge"/>
          <c:yMode val="edge"/>
          <c:x val="5.5788758896932807E-2"/>
          <c:y val="0.14699105143977156"/>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7.8869462550966912E-2"/>
          <c:y val="0.36730781678835894"/>
          <c:w val="0.86742447176843052"/>
          <c:h val="0.57925761224172745"/>
        </c:manualLayout>
      </c:layout>
      <c:barChart>
        <c:barDir val="bar"/>
        <c:grouping val="percentStacked"/>
        <c:varyColors val="0"/>
        <c:ser>
          <c:idx val="3"/>
          <c:order val="0"/>
          <c:tx>
            <c:strRef>
              <c:f>'Income Statement'!$AK$17</c:f>
              <c:strCache>
                <c:ptCount val="1"/>
                <c:pt idx="0">
                  <c:v>Cost of Sales</c:v>
                </c:pt>
              </c:strCache>
            </c:strRef>
          </c:tx>
          <c:spPr>
            <a:solidFill>
              <a:schemeClr val="accent1">
                <a:lumMod val="50000"/>
              </a:schemeClr>
            </a:solidFill>
            <a:ln cap="flat">
              <a:solidFill>
                <a:schemeClr val="bg1">
                  <a:lumMod val="75000"/>
                </a:schemeClr>
              </a:solidFill>
            </a:ln>
            <a:effectLst/>
          </c:spPr>
          <c:invertIfNegative val="0"/>
          <c:dLbls>
            <c:dLbl>
              <c:idx val="0"/>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1F-2243-A46C-AE860331311C}"/>
                </c:ext>
              </c:extLst>
            </c:dLbl>
            <c:dLbl>
              <c:idx val="1"/>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1F-2243-A46C-AE860331311C}"/>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Base"/>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Statement'!$AJ$18:$AJ$20</c:f>
              <c:numCache>
                <c:formatCode>General</c:formatCode>
                <c:ptCount val="3"/>
                <c:pt idx="0">
                  <c:v>2020</c:v>
                </c:pt>
                <c:pt idx="1">
                  <c:v>2021</c:v>
                </c:pt>
                <c:pt idx="2">
                  <c:v>2022</c:v>
                </c:pt>
              </c:numCache>
            </c:numRef>
          </c:cat>
          <c:val>
            <c:numRef>
              <c:f>'Income Statement'!$AK$18:$AK$20</c:f>
              <c:numCache>
                <c:formatCode>0%</c:formatCode>
                <c:ptCount val="3"/>
                <c:pt idx="0">
                  <c:v>0.79023120463239305</c:v>
                </c:pt>
                <c:pt idx="1">
                  <c:v>0.72535764822582405</c:v>
                </c:pt>
                <c:pt idx="2">
                  <c:v>0.88145454883711405</c:v>
                </c:pt>
              </c:numCache>
            </c:numRef>
          </c:val>
          <c:extLst>
            <c:ext xmlns:c16="http://schemas.microsoft.com/office/drawing/2014/chart" uri="{C3380CC4-5D6E-409C-BE32-E72D297353CC}">
              <c16:uniqueId val="{00000002-F31F-2243-A46C-AE860331311C}"/>
            </c:ext>
          </c:extLst>
        </c:ser>
        <c:ser>
          <c:idx val="2"/>
          <c:order val="1"/>
          <c:tx>
            <c:strRef>
              <c:f>'Income Statement'!$AL$17</c:f>
              <c:strCache>
                <c:ptCount val="1"/>
                <c:pt idx="0">
                  <c:v>Interest Expenses</c:v>
                </c:pt>
              </c:strCache>
            </c:strRef>
          </c:tx>
          <c:spPr>
            <a:solidFill>
              <a:schemeClr val="accent1">
                <a:lumMod val="60000"/>
                <a:lumOff val="40000"/>
              </a:schemeClr>
            </a:solidFill>
            <a:ln>
              <a:noFill/>
            </a:ln>
            <a:effectLst/>
          </c:spPr>
          <c:invertIfNegative val="0"/>
          <c:cat>
            <c:numRef>
              <c:f>'Income Statement'!$AJ$18:$AJ$20</c:f>
              <c:numCache>
                <c:formatCode>General</c:formatCode>
                <c:ptCount val="3"/>
                <c:pt idx="0">
                  <c:v>2020</c:v>
                </c:pt>
                <c:pt idx="1">
                  <c:v>2021</c:v>
                </c:pt>
                <c:pt idx="2">
                  <c:v>2022</c:v>
                </c:pt>
              </c:numCache>
            </c:numRef>
          </c:cat>
          <c:val>
            <c:numRef>
              <c:f>'Income Statement'!$AL$18:$AL$20</c:f>
              <c:numCache>
                <c:formatCode>0%</c:formatCode>
                <c:ptCount val="3"/>
                <c:pt idx="0">
                  <c:v>2.4319988016659001E-2</c:v>
                </c:pt>
                <c:pt idx="1">
                  <c:v>1.6874845018058599E-2</c:v>
                </c:pt>
                <c:pt idx="2">
                  <c:v>2.1806477287856198E-2</c:v>
                </c:pt>
              </c:numCache>
            </c:numRef>
          </c:val>
          <c:extLst>
            <c:ext xmlns:c16="http://schemas.microsoft.com/office/drawing/2014/chart" uri="{C3380CC4-5D6E-409C-BE32-E72D297353CC}">
              <c16:uniqueId val="{00000003-F31F-2243-A46C-AE860331311C}"/>
            </c:ext>
          </c:extLst>
        </c:ser>
        <c:ser>
          <c:idx val="4"/>
          <c:order val="2"/>
          <c:tx>
            <c:strRef>
              <c:f>'Income Statement'!$AM$17</c:f>
              <c:strCache>
                <c:ptCount val="1"/>
                <c:pt idx="0">
                  <c:v>Operating expenses</c:v>
                </c:pt>
              </c:strCache>
            </c:strRef>
          </c:tx>
          <c:spPr>
            <a:solidFill>
              <a:schemeClr val="accent1">
                <a:lumMod val="40000"/>
                <a:lumOff val="60000"/>
              </a:schemeClr>
            </a:solidFill>
            <a:ln>
              <a:noFill/>
            </a:ln>
            <a:effectLst/>
          </c:spPr>
          <c:invertIfNegative val="0"/>
          <c:cat>
            <c:numRef>
              <c:f>'Income Statement'!$AJ$18:$AJ$20</c:f>
              <c:numCache>
                <c:formatCode>General</c:formatCode>
                <c:ptCount val="3"/>
                <c:pt idx="0">
                  <c:v>2020</c:v>
                </c:pt>
                <c:pt idx="1">
                  <c:v>2021</c:v>
                </c:pt>
                <c:pt idx="2">
                  <c:v>2022</c:v>
                </c:pt>
              </c:numCache>
            </c:numRef>
          </c:cat>
          <c:val>
            <c:numRef>
              <c:f>'Income Statement'!$AM$18:$AM$20</c:f>
              <c:numCache>
                <c:formatCode>0%</c:formatCode>
                <c:ptCount val="3"/>
                <c:pt idx="0">
                  <c:v>1.97639107939288E-2</c:v>
                </c:pt>
                <c:pt idx="1">
                  <c:v>2.3011321517636407E-2</c:v>
                </c:pt>
                <c:pt idx="2">
                  <c:v>2.6060881655785351E-2</c:v>
                </c:pt>
              </c:numCache>
            </c:numRef>
          </c:val>
          <c:extLst>
            <c:ext xmlns:c16="http://schemas.microsoft.com/office/drawing/2014/chart" uri="{C3380CC4-5D6E-409C-BE32-E72D297353CC}">
              <c16:uniqueId val="{00000004-F31F-2243-A46C-AE860331311C}"/>
            </c:ext>
          </c:extLst>
        </c:ser>
        <c:ser>
          <c:idx val="5"/>
          <c:order val="3"/>
          <c:tx>
            <c:strRef>
              <c:f>'Income Statement'!$AN$17</c:f>
              <c:strCache>
                <c:ptCount val="1"/>
                <c:pt idx="0">
                  <c:v>Tax Expense</c:v>
                </c:pt>
              </c:strCache>
            </c:strRef>
          </c:tx>
          <c:spPr>
            <a:solidFill>
              <a:schemeClr val="accent1">
                <a:lumMod val="20000"/>
                <a:lumOff val="80000"/>
              </a:schemeClr>
            </a:solidFill>
            <a:ln>
              <a:noFill/>
            </a:ln>
            <a:effectLst/>
          </c:spPr>
          <c:invertIfNegative val="0"/>
          <c:cat>
            <c:numRef>
              <c:f>'Income Statement'!$AJ$18:$AJ$20</c:f>
              <c:numCache>
                <c:formatCode>General</c:formatCode>
                <c:ptCount val="3"/>
                <c:pt idx="0">
                  <c:v>2020</c:v>
                </c:pt>
                <c:pt idx="1">
                  <c:v>2021</c:v>
                </c:pt>
                <c:pt idx="2">
                  <c:v>2022</c:v>
                </c:pt>
              </c:numCache>
            </c:numRef>
          </c:cat>
          <c:val>
            <c:numRef>
              <c:f>'Income Statement'!$AN$18:$AN$20</c:f>
              <c:numCache>
                <c:formatCode>0%</c:formatCode>
                <c:ptCount val="3"/>
                <c:pt idx="0">
                  <c:v>2.05374330955134E-2</c:v>
                </c:pt>
                <c:pt idx="1">
                  <c:v>1.6941651128999601E-2</c:v>
                </c:pt>
                <c:pt idx="2">
                  <c:v>1.04555523561477E-2</c:v>
                </c:pt>
              </c:numCache>
            </c:numRef>
          </c:val>
          <c:extLst>
            <c:ext xmlns:c16="http://schemas.microsoft.com/office/drawing/2014/chart" uri="{C3380CC4-5D6E-409C-BE32-E72D297353CC}">
              <c16:uniqueId val="{00000005-F31F-2243-A46C-AE860331311C}"/>
            </c:ext>
          </c:extLst>
        </c:ser>
        <c:ser>
          <c:idx val="0"/>
          <c:order val="4"/>
          <c:tx>
            <c:strRef>
              <c:f>'Income Statement'!$AO$17</c:f>
              <c:strCache>
                <c:ptCount val="1"/>
                <c:pt idx="0">
                  <c:v>Net Profit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Statement'!$AJ$18:$AJ$20</c:f>
              <c:numCache>
                <c:formatCode>General</c:formatCode>
                <c:ptCount val="3"/>
                <c:pt idx="0">
                  <c:v>2020</c:v>
                </c:pt>
                <c:pt idx="1">
                  <c:v>2021</c:v>
                </c:pt>
                <c:pt idx="2">
                  <c:v>2022</c:v>
                </c:pt>
              </c:numCache>
            </c:numRef>
          </c:cat>
          <c:val>
            <c:numRef>
              <c:f>'Income Statement'!$AO$18:$AO$20</c:f>
              <c:numCache>
                <c:formatCode>0%</c:formatCode>
                <c:ptCount val="3"/>
                <c:pt idx="0">
                  <c:v>0.15459484346417438</c:v>
                </c:pt>
                <c:pt idx="1">
                  <c:v>0.24344954083425999</c:v>
                </c:pt>
                <c:pt idx="2">
                  <c:v>5.9209924333117031E-2</c:v>
                </c:pt>
              </c:numCache>
            </c:numRef>
          </c:val>
          <c:extLst>
            <c:ext xmlns:c16="http://schemas.microsoft.com/office/drawing/2014/chart" uri="{C3380CC4-5D6E-409C-BE32-E72D297353CC}">
              <c16:uniqueId val="{00000006-F31F-2243-A46C-AE860331311C}"/>
            </c:ext>
          </c:extLst>
        </c:ser>
        <c:dLbls>
          <c:showLegendKey val="0"/>
          <c:showVal val="0"/>
          <c:showCatName val="0"/>
          <c:showSerName val="0"/>
          <c:showPercent val="0"/>
          <c:showBubbleSize val="0"/>
        </c:dLbls>
        <c:gapWidth val="94"/>
        <c:overlap val="100"/>
        <c:axId val="552972207"/>
        <c:axId val="553093631"/>
      </c:barChart>
      <c:catAx>
        <c:axId val="552972207"/>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553093631"/>
        <c:crosses val="autoZero"/>
        <c:auto val="1"/>
        <c:lblAlgn val="ctr"/>
        <c:lblOffset val="100"/>
        <c:noMultiLvlLbl val="0"/>
      </c:catAx>
      <c:valAx>
        <c:axId val="553093631"/>
        <c:scaling>
          <c:orientation val="minMax"/>
        </c:scaling>
        <c:delete val="0"/>
        <c:axPos val="t"/>
        <c:numFmt formatCode="0%"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552972207"/>
        <c:crosses val="autoZero"/>
        <c:crossBetween val="between"/>
        <c:majorUnit val="0.2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6948328316975"/>
          <c:y val="0.60594168330744769"/>
          <c:w val="0.7365517297536136"/>
          <c:h val="0.34214586816846421"/>
        </c:manualLayout>
      </c:layout>
      <c:lineChart>
        <c:grouping val="standard"/>
        <c:varyColors val="0"/>
        <c:ser>
          <c:idx val="1"/>
          <c:order val="0"/>
          <c:tx>
            <c:strRef>
              <c:f>'Balance Sheet'!$AM$53</c:f>
              <c:strCache>
                <c:ptCount val="1"/>
                <c:pt idx="0">
                  <c:v>Current Assets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8C93-E24F-A3B6-F2648EDF313D}"/>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C93-E24F-A3B6-F2648EDF313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Sheet'!$AL$54:$AL$58</c:f>
              <c:numCache>
                <c:formatCode>General</c:formatCode>
                <c:ptCount val="5"/>
                <c:pt idx="0">
                  <c:v>2018</c:v>
                </c:pt>
                <c:pt idx="1">
                  <c:v>2019</c:v>
                </c:pt>
                <c:pt idx="2">
                  <c:v>2020</c:v>
                </c:pt>
                <c:pt idx="3">
                  <c:v>2021</c:v>
                </c:pt>
                <c:pt idx="4">
                  <c:v>2022</c:v>
                </c:pt>
              </c:numCache>
            </c:numRef>
          </c:cat>
          <c:val>
            <c:numRef>
              <c:f>'Balance Sheet'!$AM$54:$AM$58</c:f>
              <c:numCache>
                <c:formatCode>General</c:formatCode>
                <c:ptCount val="5"/>
                <c:pt idx="0">
                  <c:v>25.31</c:v>
                </c:pt>
                <c:pt idx="1">
                  <c:v>30.44</c:v>
                </c:pt>
                <c:pt idx="2">
                  <c:v>56.75</c:v>
                </c:pt>
                <c:pt idx="3">
                  <c:v>94.15</c:v>
                </c:pt>
                <c:pt idx="4">
                  <c:v>80.510000000000005</c:v>
                </c:pt>
              </c:numCache>
            </c:numRef>
          </c:val>
          <c:smooth val="0"/>
          <c:extLst>
            <c:ext xmlns:c16="http://schemas.microsoft.com/office/drawing/2014/chart" uri="{C3380CC4-5D6E-409C-BE32-E72D297353CC}">
              <c16:uniqueId val="{00000001-8C93-E24F-A3B6-F2648EDF313D}"/>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1.9096438751383733E-2"/>
              <c:y val="0.583390716720514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1">
                    <a:lumMod val="65000"/>
                    <a:lumOff val="35000"/>
                  </a:schemeClr>
                </a:solidFill>
              </a:defRPr>
            </a:pPr>
            <a:r>
              <a:rPr lang="en-US" sz="1000">
                <a:solidFill>
                  <a:schemeClr val="tx1">
                    <a:lumMod val="65000"/>
                    <a:lumOff val="35000"/>
                  </a:schemeClr>
                </a:solidFill>
              </a:rPr>
              <a:t>Profit and Loss</a:t>
            </a:r>
          </a:p>
        </c:rich>
      </c:tx>
      <c:layout>
        <c:manualLayout>
          <c:xMode val="edge"/>
          <c:yMode val="edge"/>
          <c:x val="3.6852329743107738E-2"/>
          <c:y val="0.1194459566520167"/>
        </c:manualLayout>
      </c:layout>
      <c:overlay val="0"/>
    </c:title>
    <c:autoTitleDeleted val="0"/>
    <c:plotArea>
      <c:layout>
        <c:manualLayout>
          <c:layoutTarget val="inner"/>
          <c:xMode val="edge"/>
          <c:yMode val="edge"/>
          <c:x val="8.1743179242816044E-2"/>
          <c:y val="0.21163242525718767"/>
          <c:w val="0.72321133796521031"/>
          <c:h val="0.68079711067649529"/>
        </c:manualLayout>
      </c:layout>
      <c:barChart>
        <c:barDir val="col"/>
        <c:grouping val="clustered"/>
        <c:varyColors val="0"/>
        <c:ser>
          <c:idx val="0"/>
          <c:order val="0"/>
          <c:tx>
            <c:strRef>
              <c:f>Sheet2!$D$1</c:f>
              <c:strCache>
                <c:ptCount val="1"/>
                <c:pt idx="0">
                  <c:v>Ends</c:v>
                </c:pt>
              </c:strCache>
            </c:strRef>
          </c:tx>
          <c:spPr>
            <a:solidFill>
              <a:schemeClr val="accent1">
                <a:lumMod val="75000"/>
              </a:schemeClr>
            </a:solidFill>
            <a:ln w="25400">
              <a:noFill/>
            </a:ln>
          </c:spPr>
          <c:invertIfNegative val="0"/>
          <c:dPt>
            <c:idx val="0"/>
            <c:invertIfNegative val="0"/>
            <c:bubble3D val="0"/>
            <c:extLst>
              <c:ext xmlns:c16="http://schemas.microsoft.com/office/drawing/2014/chart" uri="{C3380CC4-5D6E-409C-BE32-E72D297353CC}">
                <c16:uniqueId val="{00000000-675A-AB41-B285-31C0A0DFD9E2}"/>
              </c:ext>
            </c:extLst>
          </c:dPt>
          <c:dPt>
            <c:idx val="4"/>
            <c:invertIfNegative val="0"/>
            <c:bubble3D val="0"/>
            <c:extLst>
              <c:ext xmlns:c16="http://schemas.microsoft.com/office/drawing/2014/chart" uri="{C3380CC4-5D6E-409C-BE32-E72D297353CC}">
                <c16:uniqueId val="{00000001-675A-AB41-B285-31C0A0DFD9E2}"/>
              </c:ext>
            </c:extLst>
          </c:dPt>
          <c:dLbls>
            <c:spPr>
              <a:noFill/>
              <a:ln>
                <a:noFill/>
              </a:ln>
              <a:effectLst/>
            </c:spPr>
            <c:txPr>
              <a:bodyPr wrap="square" lIns="38100" tIns="19050" rIns="38100" bIns="19050" anchor="ctr">
                <a:spAutoFit/>
              </a:bodyPr>
              <a:lstStyle/>
              <a:p>
                <a:pPr>
                  <a:defRPr b="1"/>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cat>
          <c:val>
            <c:numRef>
              <c:f>Sheet2!$D$2:$D$8</c:f>
              <c:numCache>
                <c:formatCode>General;\-General;;</c:formatCode>
                <c:ptCount val="7"/>
                <c:pt idx="0">
                  <c:v>149.69999999999999</c:v>
                </c:pt>
                <c:pt idx="1">
                  <c:v>0</c:v>
                </c:pt>
                <c:pt idx="2">
                  <c:v>0</c:v>
                </c:pt>
                <c:pt idx="3">
                  <c:v>0</c:v>
                </c:pt>
                <c:pt idx="4">
                  <c:v>0</c:v>
                </c:pt>
                <c:pt idx="5">
                  <c:v>0</c:v>
                </c:pt>
                <c:pt idx="6" formatCode="General">
                  <c:v>34.5</c:v>
                </c:pt>
              </c:numCache>
            </c:numRef>
          </c:val>
          <c:extLst>
            <c:ext xmlns:c16="http://schemas.microsoft.com/office/drawing/2014/chart" uri="{C3380CC4-5D6E-409C-BE32-E72D297353CC}">
              <c16:uniqueId val="{00000002-675A-AB41-B285-31C0A0DFD9E2}"/>
            </c:ext>
          </c:extLst>
        </c:ser>
        <c:dLbls>
          <c:showLegendKey val="0"/>
          <c:showVal val="0"/>
          <c:showCatName val="0"/>
          <c:showSerName val="0"/>
          <c:showPercent val="0"/>
          <c:showBubbleSize val="0"/>
        </c:dLbls>
        <c:gapWidth val="50"/>
        <c:axId val="542286208"/>
        <c:axId val="542288128"/>
      </c:barChart>
      <c:lineChart>
        <c:grouping val="standard"/>
        <c:varyColors val="0"/>
        <c:ser>
          <c:idx val="1"/>
          <c:order val="1"/>
          <c:tx>
            <c:strRef>
              <c:f>Sheet2!$E$1</c:f>
              <c:strCache>
                <c:ptCount val="1"/>
                <c:pt idx="0">
                  <c:v>Before</c:v>
                </c:pt>
              </c:strCache>
            </c:strRef>
          </c:tx>
          <c:spPr>
            <a:ln w="19050">
              <a:noFill/>
            </a:ln>
          </c:spPr>
          <c:marker>
            <c:symbol val="none"/>
          </c:marker>
          <c:cat>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cat>
          <c:val>
            <c:numRef>
              <c:f>Sheet2!$E$2:$E$8</c:f>
              <c:numCache>
                <c:formatCode>General</c:formatCode>
                <c:ptCount val="7"/>
                <c:pt idx="1">
                  <c:v>149.69999999999999</c:v>
                </c:pt>
                <c:pt idx="2">
                  <c:v>41.099999999999994</c:v>
                </c:pt>
                <c:pt idx="3">
                  <c:v>37.699999999999996</c:v>
                </c:pt>
                <c:pt idx="4">
                  <c:v>35.199999999999996</c:v>
                </c:pt>
                <c:pt idx="5">
                  <c:v>32.699999999999996</c:v>
                </c:pt>
              </c:numCache>
            </c:numRef>
          </c:val>
          <c:smooth val="0"/>
          <c:extLst>
            <c:ext xmlns:c16="http://schemas.microsoft.com/office/drawing/2014/chart" uri="{C3380CC4-5D6E-409C-BE32-E72D297353CC}">
              <c16:uniqueId val="{00000003-675A-AB41-B285-31C0A0DFD9E2}"/>
            </c:ext>
          </c:extLst>
        </c:ser>
        <c:ser>
          <c:idx val="2"/>
          <c:order val="2"/>
          <c:tx>
            <c:strRef>
              <c:f>Sheet2!$F$1</c:f>
              <c:strCache>
                <c:ptCount val="1"/>
                <c:pt idx="0">
                  <c:v>After</c:v>
                </c:pt>
              </c:strCache>
            </c:strRef>
          </c:tx>
          <c:spPr>
            <a:ln w="19050">
              <a:noFill/>
            </a:ln>
          </c:spPr>
          <c:marker>
            <c:symbol val="none"/>
          </c:marker>
          <c:cat>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cat>
          <c:val>
            <c:numRef>
              <c:f>Sheet2!$F$2:$F$8</c:f>
              <c:numCache>
                <c:formatCode>General</c:formatCode>
                <c:ptCount val="7"/>
                <c:pt idx="1">
                  <c:v>41.099999999999994</c:v>
                </c:pt>
                <c:pt idx="2">
                  <c:v>37.699999999999996</c:v>
                </c:pt>
                <c:pt idx="3">
                  <c:v>35.199999999999996</c:v>
                </c:pt>
                <c:pt idx="4">
                  <c:v>32.699999999999996</c:v>
                </c:pt>
                <c:pt idx="5">
                  <c:v>34.499999999999993</c:v>
                </c:pt>
              </c:numCache>
            </c:numRef>
          </c:val>
          <c:smooth val="0"/>
          <c:extLst>
            <c:ext xmlns:c16="http://schemas.microsoft.com/office/drawing/2014/chart" uri="{C3380CC4-5D6E-409C-BE32-E72D297353CC}">
              <c16:uniqueId val="{00000004-675A-AB41-B285-31C0A0DFD9E2}"/>
            </c:ext>
          </c:extLst>
        </c:ser>
        <c:dLbls>
          <c:showLegendKey val="0"/>
          <c:showVal val="0"/>
          <c:showCatName val="0"/>
          <c:showSerName val="0"/>
          <c:showPercent val="0"/>
          <c:showBubbleSize val="0"/>
        </c:dLbls>
        <c:upDownBars>
          <c:gapWidth val="50"/>
          <c:upBars>
            <c:spPr>
              <a:solidFill>
                <a:srgbClr val="2CA02C"/>
              </a:solidFill>
              <a:ln w="6350">
                <a:noFill/>
              </a:ln>
            </c:spPr>
          </c:upBars>
          <c:downBars>
            <c:spPr>
              <a:solidFill>
                <a:srgbClr val="E41A1C"/>
              </a:solidFill>
              <a:ln w="6350">
                <a:noFill/>
              </a:ln>
            </c:spPr>
          </c:downBars>
        </c:upDownBars>
        <c:marker val="1"/>
        <c:smooth val="0"/>
        <c:axId val="542286208"/>
        <c:axId val="542288128"/>
      </c:lineChart>
      <c:lineChart>
        <c:grouping val="standard"/>
        <c:varyColors val="0"/>
        <c:ser>
          <c:idx val="4"/>
          <c:order val="4"/>
          <c:tx>
            <c:strRef>
              <c:f>Sheet2!$H$1</c:f>
              <c:strCache>
                <c:ptCount val="1"/>
                <c:pt idx="0">
                  <c:v>Center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675A-AB41-B285-31C0A0DFD9E2}"/>
                </c:ext>
              </c:extLst>
            </c:dLbl>
            <c:spPr>
              <a:noFill/>
              <a:ln>
                <a:noFill/>
              </a:ln>
              <a:effectLst/>
            </c:sp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Sheet2!$K$2:$K$8</c:f>
              <c:numCache>
                <c:formatCode>General</c:formatCode>
                <c:ptCount val="7"/>
                <c:pt idx="1">
                  <c:v>-108.6</c:v>
                </c:pt>
                <c:pt idx="2">
                  <c:v>-3.4</c:v>
                </c:pt>
                <c:pt idx="3">
                  <c:v>-2.5</c:v>
                </c:pt>
                <c:pt idx="4">
                  <c:v>-2.5</c:v>
                </c:pt>
                <c:pt idx="5">
                  <c:v>1.8</c:v>
                </c:pt>
              </c:numCache>
            </c:numRef>
          </c:cat>
          <c:val>
            <c:numRef>
              <c:f>Sheet2!$H$2:$H$8</c:f>
              <c:numCache>
                <c:formatCode>General</c:formatCode>
                <c:ptCount val="7"/>
                <c:pt idx="0">
                  <c:v>0</c:v>
                </c:pt>
                <c:pt idx="1">
                  <c:v>#N/A</c:v>
                </c:pt>
                <c:pt idx="2">
                  <c:v>#N/A</c:v>
                </c:pt>
                <c:pt idx="3">
                  <c:v>#N/A</c:v>
                </c:pt>
                <c:pt idx="4">
                  <c:v>#N/A</c:v>
                </c:pt>
                <c:pt idx="5">
                  <c:v>#N/A</c:v>
                </c:pt>
              </c:numCache>
            </c:numRef>
          </c:val>
          <c:smooth val="0"/>
          <c:extLst>
            <c:ext xmlns:c16="http://schemas.microsoft.com/office/drawing/2014/chart" uri="{C3380CC4-5D6E-409C-BE32-E72D297353CC}">
              <c16:uniqueId val="{00000006-675A-AB41-B285-31C0A0DFD9E2}"/>
            </c:ext>
          </c:extLst>
        </c:ser>
        <c:ser>
          <c:idx val="5"/>
          <c:order val="5"/>
          <c:tx>
            <c:strRef>
              <c:f>Sheet2!$I$1</c:f>
              <c:strCache>
                <c:ptCount val="1"/>
                <c:pt idx="0">
                  <c:v>Above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7-675A-AB41-B285-31C0A0DFD9E2}"/>
                </c:ext>
              </c:extLst>
            </c:dLbl>
            <c:spPr>
              <a:noFill/>
              <a:ln>
                <a:noFill/>
              </a:ln>
              <a:effectLst/>
            </c:spPr>
            <c:dLblPos val="t"/>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Sheet2!$K$2:$K$8</c:f>
              <c:numCache>
                <c:formatCode>General</c:formatCode>
                <c:ptCount val="7"/>
                <c:pt idx="1">
                  <c:v>-108.6</c:v>
                </c:pt>
                <c:pt idx="2">
                  <c:v>-3.4</c:v>
                </c:pt>
                <c:pt idx="3">
                  <c:v>-2.5</c:v>
                </c:pt>
                <c:pt idx="4">
                  <c:v>-2.5</c:v>
                </c:pt>
                <c:pt idx="5">
                  <c:v>1.8</c:v>
                </c:pt>
              </c:numCache>
            </c:numRef>
          </c:cat>
          <c:val>
            <c:numRef>
              <c:f>Sheet2!$I$2:$I$8</c:f>
              <c:numCache>
                <c:formatCode>General</c:formatCode>
                <c:ptCount val="7"/>
                <c:pt idx="0">
                  <c:v>0</c:v>
                </c:pt>
                <c:pt idx="1">
                  <c:v>#N/A</c:v>
                </c:pt>
                <c:pt idx="2">
                  <c:v>#N/A</c:v>
                </c:pt>
                <c:pt idx="3">
                  <c:v>#N/A</c:v>
                </c:pt>
                <c:pt idx="4">
                  <c:v>#N/A</c:v>
                </c:pt>
                <c:pt idx="5">
                  <c:v>#N/A</c:v>
                </c:pt>
              </c:numCache>
            </c:numRef>
          </c:val>
          <c:smooth val="0"/>
          <c:extLst>
            <c:ext xmlns:c16="http://schemas.microsoft.com/office/drawing/2014/chart" uri="{C3380CC4-5D6E-409C-BE32-E72D297353CC}">
              <c16:uniqueId val="{00000008-675A-AB41-B285-31C0A0DFD9E2}"/>
            </c:ext>
          </c:extLst>
        </c:ser>
        <c:dLbls>
          <c:showLegendKey val="0"/>
          <c:showVal val="0"/>
          <c:showCatName val="0"/>
          <c:showSerName val="0"/>
          <c:showPercent val="0"/>
          <c:showBubbleSize val="0"/>
        </c:dLbls>
        <c:marker val="1"/>
        <c:smooth val="0"/>
        <c:axId val="544425472"/>
        <c:axId val="544423936"/>
      </c:lineChart>
      <c:scatterChart>
        <c:scatterStyle val="lineMarker"/>
        <c:varyColors val="0"/>
        <c:ser>
          <c:idx val="3"/>
          <c:order val="3"/>
          <c:tx>
            <c:strRef>
              <c:f>Sheet2!$G$1</c:f>
              <c:strCache>
                <c:ptCount val="1"/>
                <c:pt idx="0">
                  <c:v>Line Y</c:v>
                </c:pt>
              </c:strCache>
            </c:strRef>
          </c:tx>
          <c:spPr>
            <a:ln w="19050">
              <a:noFill/>
            </a:ln>
          </c:spPr>
          <c:marker>
            <c:symbol val="none"/>
          </c:marker>
          <c:errBars>
            <c:errDir val="x"/>
            <c:errBarType val="both"/>
            <c:errValType val="fixedVal"/>
            <c:noEndCap val="1"/>
            <c:val val="0.83333333333333337"/>
          </c:errBars>
          <c:xVal>
            <c:numRef>
              <c:f>Sheet2!$C$2:$C$8</c:f>
              <c:numCache>
                <c:formatCode>General</c:formatCode>
                <c:ptCount val="7"/>
                <c:pt idx="0">
                  <c:v>1.5</c:v>
                </c:pt>
                <c:pt idx="1">
                  <c:v>2.5</c:v>
                </c:pt>
                <c:pt idx="2">
                  <c:v>3.5</c:v>
                </c:pt>
                <c:pt idx="3">
                  <c:v>4.5</c:v>
                </c:pt>
                <c:pt idx="4">
                  <c:v>5.5</c:v>
                </c:pt>
                <c:pt idx="5">
                  <c:v>6.5</c:v>
                </c:pt>
              </c:numCache>
            </c:numRef>
          </c:xVal>
          <c:yVal>
            <c:numRef>
              <c:f>Sheet2!$G$2:$G$8</c:f>
              <c:numCache>
                <c:formatCode>General</c:formatCode>
                <c:ptCount val="7"/>
                <c:pt idx="0">
                  <c:v>149.69999999999999</c:v>
                </c:pt>
                <c:pt idx="1">
                  <c:v>41.099999999999994</c:v>
                </c:pt>
                <c:pt idx="2">
                  <c:v>37.699999999999996</c:v>
                </c:pt>
                <c:pt idx="3">
                  <c:v>35.199999999999996</c:v>
                </c:pt>
                <c:pt idx="4">
                  <c:v>32.699999999999996</c:v>
                </c:pt>
                <c:pt idx="5">
                  <c:v>34.499999999999993</c:v>
                </c:pt>
              </c:numCache>
            </c:numRef>
          </c:yVal>
          <c:smooth val="0"/>
          <c:extLst>
            <c:ext xmlns:c16="http://schemas.microsoft.com/office/drawing/2014/chart" uri="{C3380CC4-5D6E-409C-BE32-E72D297353CC}">
              <c16:uniqueId val="{00000009-675A-AB41-B285-31C0A0DFD9E2}"/>
            </c:ext>
          </c:extLst>
        </c:ser>
        <c:ser>
          <c:idx val="6"/>
          <c:order val="6"/>
          <c:tx>
            <c:strRef>
              <c:f>Sheet2!$J$1</c:f>
              <c:strCache>
                <c:ptCount val="1"/>
                <c:pt idx="0">
                  <c:v>Below X</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A-675A-AB41-B285-31C0A0DFD9E2}"/>
                </c:ext>
              </c:extLst>
            </c:dLbl>
            <c:spPr>
              <a:noFill/>
              <a:ln>
                <a:noFill/>
              </a:ln>
              <a:effectLst/>
            </c:spPr>
            <c:txPr>
              <a:bodyPr wrap="square" lIns="38100" tIns="19050" rIns="38100" bIns="19050" anchor="ctr">
                <a:spAutoFit/>
              </a:bodyPr>
              <a:lstStyle/>
              <a:p>
                <a:pPr>
                  <a:defRPr sz="800" b="1">
                    <a:latin typeface="+mn-lt"/>
                  </a:defRPr>
                </a:pPr>
                <a:endParaRPr lang="en-VN"/>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xVal>
          <c:yVal>
            <c:numRef>
              <c:f>Sheet2!$J$2:$J$8</c:f>
              <c:numCache>
                <c:formatCode>General</c:formatCode>
                <c:ptCount val="7"/>
                <c:pt idx="0">
                  <c:v>1</c:v>
                </c:pt>
                <c:pt idx="1">
                  <c:v>41.099999999999994</c:v>
                </c:pt>
                <c:pt idx="2">
                  <c:v>37.699999999999996</c:v>
                </c:pt>
                <c:pt idx="3">
                  <c:v>35.199999999999996</c:v>
                </c:pt>
                <c:pt idx="4">
                  <c:v>32.699999999999996</c:v>
                </c:pt>
                <c:pt idx="5">
                  <c:v>32.699999999999996</c:v>
                </c:pt>
              </c:numCache>
            </c:numRef>
          </c:yVal>
          <c:smooth val="0"/>
          <c:extLst>
            <c:ext xmlns:c16="http://schemas.microsoft.com/office/drawing/2014/chart" uri="{C3380CC4-5D6E-409C-BE32-E72D297353CC}">
              <c16:uniqueId val="{0000000B-675A-AB41-B285-31C0A0DFD9E2}"/>
            </c:ext>
          </c:extLst>
        </c:ser>
        <c:dLbls>
          <c:showLegendKey val="0"/>
          <c:showVal val="0"/>
          <c:showCatName val="0"/>
          <c:showSerName val="0"/>
          <c:showPercent val="0"/>
          <c:showBubbleSize val="0"/>
        </c:dLbls>
        <c:axId val="542286208"/>
        <c:axId val="542288128"/>
      </c:scatterChart>
      <c:catAx>
        <c:axId val="542286208"/>
        <c:scaling>
          <c:orientation val="minMax"/>
        </c:scaling>
        <c:delete val="0"/>
        <c:axPos val="b"/>
        <c:numFmt formatCode="General" sourceLinked="1"/>
        <c:majorTickMark val="out"/>
        <c:minorTickMark val="none"/>
        <c:tickLblPos val="none"/>
        <c:spPr>
          <a:ln>
            <a:solidFill>
              <a:schemeClr val="bg1">
                <a:lumMod val="85000"/>
              </a:schemeClr>
            </a:solidFill>
          </a:ln>
        </c:spPr>
        <c:txPr>
          <a:bodyPr rot="0" vert="horz"/>
          <a:lstStyle/>
          <a:p>
            <a:pPr>
              <a:defRPr/>
            </a:pPr>
            <a:endParaRPr lang="en-VN"/>
          </a:p>
        </c:txPr>
        <c:crossAx val="542288128"/>
        <c:crosses val="autoZero"/>
        <c:auto val="0"/>
        <c:lblAlgn val="ctr"/>
        <c:lblOffset val="100"/>
        <c:tickLblSkip val="1"/>
        <c:noMultiLvlLbl val="0"/>
      </c:catAx>
      <c:valAx>
        <c:axId val="542288128"/>
        <c:scaling>
          <c:orientation val="minMax"/>
        </c:scaling>
        <c:delete val="0"/>
        <c:axPos val="l"/>
        <c:title>
          <c:tx>
            <c:rich>
              <a:bodyPr/>
              <a:lstStyle/>
              <a:p>
                <a:pPr>
                  <a:defRPr sz="800">
                    <a:solidFill>
                      <a:schemeClr val="bg1">
                        <a:lumMod val="85000"/>
                      </a:schemeClr>
                    </a:solidFill>
                  </a:defRPr>
                </a:pPr>
                <a:r>
                  <a:rPr lang="en-US" sz="800">
                    <a:solidFill>
                      <a:schemeClr val="bg1">
                        <a:lumMod val="85000"/>
                      </a:schemeClr>
                    </a:solidFill>
                  </a:rPr>
                  <a:t>TRILLION VNĐ</a:t>
                </a:r>
              </a:p>
            </c:rich>
          </c:tx>
          <c:layout>
            <c:manualLayout>
              <c:xMode val="edge"/>
              <c:yMode val="edge"/>
              <c:x val="3.4596169467203404E-2"/>
              <c:y val="0.19124043105019128"/>
            </c:manualLayout>
          </c:layout>
          <c:overlay val="0"/>
        </c:title>
        <c:numFmt formatCode="General;\-General;;" sourceLinked="1"/>
        <c:majorTickMark val="out"/>
        <c:minorTickMark val="none"/>
        <c:tickLblPos val="nextTo"/>
        <c:spPr>
          <a:noFill/>
          <a:ln>
            <a:solidFill>
              <a:schemeClr val="bg1">
                <a:lumMod val="75000"/>
              </a:schemeClr>
            </a:solidFill>
          </a:ln>
        </c:spPr>
        <c:txPr>
          <a:bodyPr/>
          <a:lstStyle/>
          <a:p>
            <a:pPr>
              <a:defRPr sz="800">
                <a:solidFill>
                  <a:schemeClr val="bg1">
                    <a:lumMod val="75000"/>
                  </a:schemeClr>
                </a:solidFill>
              </a:defRPr>
            </a:pPr>
            <a:endParaRPr lang="en-VN"/>
          </a:p>
        </c:txPr>
        <c:crossAx val="542286208"/>
        <c:crosses val="autoZero"/>
        <c:crossBetween val="between"/>
        <c:majorUnit val="25"/>
      </c:valAx>
      <c:valAx>
        <c:axId val="544423936"/>
        <c:scaling>
          <c:orientation val="minMax"/>
        </c:scaling>
        <c:delete val="1"/>
        <c:axPos val="r"/>
        <c:numFmt formatCode="General" sourceLinked="1"/>
        <c:majorTickMark val="out"/>
        <c:minorTickMark val="none"/>
        <c:tickLblPos val="nextTo"/>
        <c:crossAx val="544425472"/>
        <c:crosses val="max"/>
        <c:crossBetween val="between"/>
      </c:valAx>
      <c:catAx>
        <c:axId val="544425472"/>
        <c:scaling>
          <c:orientation val="minMax"/>
        </c:scaling>
        <c:delete val="1"/>
        <c:axPos val="b"/>
        <c:numFmt formatCode="General" sourceLinked="1"/>
        <c:majorTickMark val="out"/>
        <c:minorTickMark val="none"/>
        <c:tickLblPos val="nextTo"/>
        <c:crossAx val="544423936"/>
        <c:crosses val="autoZero"/>
        <c:auto val="1"/>
        <c:lblAlgn val="ctr"/>
        <c:lblOffset val="100"/>
        <c:noMultiLvlLbl val="0"/>
      </c:catAx>
      <c:spPr>
        <a:noFill/>
        <a:ln>
          <a:noFill/>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a:noFill/>
            </a14:hiddenLine>
          </a:ext>
        </a:extLst>
      </c:spPr>
    </c:plotArea>
    <c:plotVisOnly val="1"/>
    <c:dispBlanksAs val="gap"/>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58577632404195012"/>
          <c:w val="0.72018006478603969"/>
          <c:h val="0.37155999174334509"/>
        </c:manualLayout>
      </c:layout>
      <c:lineChart>
        <c:grouping val="standard"/>
        <c:varyColors val="0"/>
        <c:ser>
          <c:idx val="1"/>
          <c:order val="0"/>
          <c:tx>
            <c:strRef>
              <c:f>'Income Statement'!$AQ$9</c:f>
              <c:strCache>
                <c:ptCount val="1"/>
                <c:pt idx="0">
                  <c:v>Interest Expenses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8616-7E4B-A629-3266F0C3EC32}"/>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16-7E4B-A629-3266F0C3EC3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Statement'!$AQ$10:$AQ$14</c:f>
              <c:numCache>
                <c:formatCode>General</c:formatCode>
                <c:ptCount val="5"/>
                <c:pt idx="0">
                  <c:v>0.5</c:v>
                </c:pt>
                <c:pt idx="1">
                  <c:v>0.9</c:v>
                </c:pt>
                <c:pt idx="2">
                  <c:v>2.2000000000000002</c:v>
                </c:pt>
                <c:pt idx="3">
                  <c:v>2.5</c:v>
                </c:pt>
                <c:pt idx="4">
                  <c:v>3.1</c:v>
                </c:pt>
              </c:numCache>
            </c:numRef>
          </c:val>
          <c:smooth val="0"/>
          <c:extLst>
            <c:ext xmlns:c16="http://schemas.microsoft.com/office/drawing/2014/chart" uri="{C3380CC4-5D6E-409C-BE32-E72D297353CC}">
              <c16:uniqueId val="{00000001-8616-7E4B-A629-3266F0C3EC32}"/>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max val="1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5260515627445E-3"/>
              <c:y val="0.593595268688683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2"/>
        <c:min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'Income Statement'!$AQ$4</c:f>
              <c:strCache>
                <c:ptCount val="1"/>
                <c:pt idx="0">
                  <c:v>Interest Expenses</c:v>
                </c:pt>
              </c:strCache>
            </c:strRef>
          </c:tx>
          <c:spPr>
            <a:solidFill>
              <a:schemeClr val="accent1">
                <a:lumMod val="75000"/>
              </a:schemeClr>
            </a:solidFill>
            <a:ln>
              <a:noFill/>
            </a:ln>
            <a:effectLst/>
          </c:spPr>
          <c:invertIfNegative val="0"/>
          <c:dLbls>
            <c:dLbl>
              <c:idx val="0"/>
              <c:tx>
                <c:rich>
                  <a:bodyPr/>
                  <a:lstStyle/>
                  <a:p>
                    <a:r>
                      <a:rPr lang="en-US"/>
                      <a:t>3,1</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322A-3F48-91D1-5253B301590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Statement'!$AQ$5</c:f>
              <c:numCache>
                <c:formatCode>0.0</c:formatCode>
                <c:ptCount val="1"/>
                <c:pt idx="0">
                  <c:v>2.5</c:v>
                </c:pt>
              </c:numCache>
            </c:numRef>
          </c:val>
          <c:extLst>
            <c:ext xmlns:c16="http://schemas.microsoft.com/office/drawing/2014/chart" uri="{C3380CC4-5D6E-409C-BE32-E72D297353CC}">
              <c16:uniqueId val="{00000001-322A-3F48-91D1-5253B3015907}"/>
            </c:ext>
          </c:extLst>
        </c:ser>
        <c:ser>
          <c:idx val="1"/>
          <c:order val="1"/>
          <c:tx>
            <c:v>2021</c:v>
          </c:tx>
          <c:spPr>
            <a:solidFill>
              <a:schemeClr val="accent1">
                <a:lumMod val="75000"/>
              </a:schemeClr>
            </a:solidFill>
            <a:ln>
              <a:noFill/>
            </a:ln>
            <a:effectLst/>
          </c:spPr>
          <c:invertIfNegative val="0"/>
          <c:dLbls>
            <c:dLbl>
              <c:idx val="0"/>
              <c:layout>
                <c:manualLayout>
                  <c:x val="-0.14466303877584552"/>
                  <c:y val="-0.3669798999040651"/>
                </c:manualLayout>
              </c:layout>
              <c:tx>
                <c:rich>
                  <a:bodyPr/>
                  <a:lstStyle/>
                  <a:p>
                    <a:r>
                      <a:rPr lang="en-US" sz="1000" b="1">
                        <a:solidFill>
                          <a:schemeClr val="accent1">
                            <a:lumMod val="75000"/>
                          </a:schemeClr>
                        </a:solidFill>
                      </a:rPr>
                      <a:t>2021 2,5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322A-3F48-91D1-5253B30159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'Income Statement'!$AJ$6</c:f>
              <c:numCache>
                <c:formatCode>General</c:formatCode>
                <c:ptCount val="1"/>
                <c:pt idx="0">
                  <c:v>2022</c:v>
                </c:pt>
              </c:numCache>
            </c:numRef>
          </c:cat>
          <c:val>
            <c:numRef>
              <c:f>'Income Statement'!$AQ$6</c:f>
              <c:numCache>
                <c:formatCode>General</c:formatCode>
                <c:ptCount val="1"/>
                <c:pt idx="0">
                  <c:v>0.60000000000000009</c:v>
                </c:pt>
              </c:numCache>
            </c:numRef>
          </c:val>
          <c:extLst>
            <c:ext xmlns:c16="http://schemas.microsoft.com/office/drawing/2014/chart" uri="{C3380CC4-5D6E-409C-BE32-E72D297353CC}">
              <c16:uniqueId val="{00000003-322A-3F48-91D1-5253B3015907}"/>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0.0"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33781317020169"/>
          <c:y val="0.5239720122521313"/>
          <c:w val="0.74160528036050299"/>
          <c:h val="0.41671215421014879"/>
        </c:manualLayout>
      </c:layout>
      <c:lineChart>
        <c:grouping val="standard"/>
        <c:varyColors val="0"/>
        <c:ser>
          <c:idx val="1"/>
          <c:order val="0"/>
          <c:tx>
            <c:strRef>
              <c:f>'Income Statement'!$AR$9</c:f>
              <c:strCache>
                <c:ptCount val="1"/>
                <c:pt idx="0">
                  <c:v>Tax Expenses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AE3A-AF44-A60A-B1261AF51204}"/>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3A-AF44-A60A-B1261AF5120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Statement'!$AR$10:$AR$14</c:f>
              <c:numCache>
                <c:formatCode>0.0</c:formatCode>
                <c:ptCount val="5"/>
                <c:pt idx="0">
                  <c:v>1.47</c:v>
                </c:pt>
                <c:pt idx="1">
                  <c:v>1.52</c:v>
                </c:pt>
                <c:pt idx="2" formatCode="General">
                  <c:v>1.9</c:v>
                </c:pt>
                <c:pt idx="3" formatCode="General">
                  <c:v>2.5</c:v>
                </c:pt>
                <c:pt idx="4" formatCode="General">
                  <c:v>1.5</c:v>
                </c:pt>
              </c:numCache>
            </c:numRef>
          </c:val>
          <c:smooth val="0"/>
          <c:extLst>
            <c:ext xmlns:c16="http://schemas.microsoft.com/office/drawing/2014/chart" uri="{C3380CC4-5D6E-409C-BE32-E72D297353CC}">
              <c16:uniqueId val="{00000001-AE3A-AF44-A60A-B1261AF51204}"/>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max val="1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5260515627445E-3"/>
              <c:y val="0.593595268688683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0" sourceLinked="0"/>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2"/>
        <c:min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'Income Statement'!$AR$4</c:f>
              <c:strCache>
                <c:ptCount val="1"/>
                <c:pt idx="0">
                  <c:v>Tax Expenses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Statement'!$AR$5</c:f>
              <c:numCache>
                <c:formatCode>General</c:formatCode>
                <c:ptCount val="1"/>
                <c:pt idx="0">
                  <c:v>1.5</c:v>
                </c:pt>
              </c:numCache>
            </c:numRef>
          </c:val>
          <c:extLst>
            <c:ext xmlns:c16="http://schemas.microsoft.com/office/drawing/2014/chart" uri="{C3380CC4-5D6E-409C-BE32-E72D297353CC}">
              <c16:uniqueId val="{00000000-ABCD-A04E-8862-ED883DB06493}"/>
            </c:ext>
          </c:extLst>
        </c:ser>
        <c:ser>
          <c:idx val="1"/>
          <c:order val="1"/>
          <c:tx>
            <c:v>2021</c:v>
          </c:tx>
          <c:spPr>
            <a:pattFill prst="pct10">
              <a:fgClr>
                <a:schemeClr val="accent1">
                  <a:lumMod val="75000"/>
                </a:schemeClr>
              </a:fgClr>
              <a:bgClr>
                <a:schemeClr val="bg1"/>
              </a:bgClr>
            </a:pattFill>
            <a:ln>
              <a:noFill/>
            </a:ln>
            <a:effectLst/>
          </c:spPr>
          <c:invertIfNegative val="0"/>
          <c:dLbls>
            <c:dLbl>
              <c:idx val="0"/>
              <c:layout>
                <c:manualLayout>
                  <c:x val="-0.21142627788496185"/>
                  <c:y val="-0.35091546325785672"/>
                </c:manualLayout>
              </c:layout>
              <c:tx>
                <c:rich>
                  <a:bodyPr/>
                  <a:lstStyle/>
                  <a:p>
                    <a:r>
                      <a:rPr lang="en-US" sz="1000" b="1">
                        <a:solidFill>
                          <a:schemeClr val="accent1">
                            <a:lumMod val="75000"/>
                          </a:schemeClr>
                        </a:solidFill>
                      </a:rPr>
                      <a:t>2021  2.5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ABCD-A04E-8862-ED883DB064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'Income Statement'!$AJ$6</c:f>
              <c:numCache>
                <c:formatCode>General</c:formatCode>
                <c:ptCount val="1"/>
                <c:pt idx="0">
                  <c:v>2022</c:v>
                </c:pt>
              </c:numCache>
            </c:numRef>
          </c:cat>
          <c:val>
            <c:numRef>
              <c:f>'Income Statement'!$AR$6</c:f>
              <c:numCache>
                <c:formatCode>General</c:formatCode>
                <c:ptCount val="1"/>
                <c:pt idx="0">
                  <c:v>1</c:v>
                </c:pt>
              </c:numCache>
            </c:numRef>
          </c:val>
          <c:extLst>
            <c:ext xmlns:c16="http://schemas.microsoft.com/office/drawing/2014/chart" uri="{C3380CC4-5D6E-409C-BE32-E72D297353CC}">
              <c16:uniqueId val="{00000002-ABCD-A04E-8862-ED883DB06493}"/>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17634892412643"/>
          <c:y val="0.11648314996504797"/>
          <c:w val="0.84910754080268269"/>
          <c:h val="0.78360909748478969"/>
        </c:manualLayout>
      </c:layout>
      <c:barChart>
        <c:barDir val="col"/>
        <c:grouping val="clustered"/>
        <c:varyColors val="0"/>
        <c:ser>
          <c:idx val="0"/>
          <c:order val="0"/>
          <c:tx>
            <c:strRef>
              <c:f>'Waterfal Chart'!$D$1</c:f>
              <c:strCache>
                <c:ptCount val="1"/>
                <c:pt idx="0">
                  <c:v>Ends</c:v>
                </c:pt>
              </c:strCache>
            </c:strRef>
          </c:tx>
          <c:spPr>
            <a:solidFill>
              <a:srgbClr val="2279BE"/>
            </a:solidFill>
            <a:ln w="25400">
              <a:noFill/>
            </a:ln>
          </c:spPr>
          <c:invertIfNegative val="0"/>
          <c:dPt>
            <c:idx val="0"/>
            <c:invertIfNegative val="0"/>
            <c:bubble3D val="0"/>
            <c:spPr>
              <a:solidFill>
                <a:schemeClr val="accent1">
                  <a:lumMod val="20000"/>
                  <a:lumOff val="80000"/>
                </a:schemeClr>
              </a:solidFill>
              <a:ln w="25400">
                <a:noFill/>
              </a:ln>
            </c:spPr>
            <c:extLst>
              <c:ext xmlns:c16="http://schemas.microsoft.com/office/drawing/2014/chart" uri="{C3380CC4-5D6E-409C-BE32-E72D297353CC}">
                <c16:uniqueId val="{00000001-9ED6-6042-BD7F-06F1F13C2A52}"/>
              </c:ext>
            </c:extLst>
          </c:dPt>
          <c:dPt>
            <c:idx val="4"/>
            <c:invertIfNegative val="0"/>
            <c:bubble3D val="0"/>
            <c:spPr>
              <a:solidFill>
                <a:schemeClr val="accent1">
                  <a:lumMod val="75000"/>
                </a:schemeClr>
              </a:solidFill>
              <a:ln w="25400">
                <a:noFill/>
              </a:ln>
            </c:spPr>
            <c:extLst>
              <c:ext xmlns:c16="http://schemas.microsoft.com/office/drawing/2014/chart" uri="{C3380CC4-5D6E-409C-BE32-E72D297353CC}">
                <c16:uniqueId val="{00000003-9ED6-6042-BD7F-06F1F13C2A52}"/>
              </c:ext>
            </c:extLst>
          </c:dPt>
          <c:dLbls>
            <c:dLbl>
              <c:idx val="0"/>
              <c:spPr>
                <a:noFill/>
                <a:ln>
                  <a:noFill/>
                </a:ln>
                <a:effectLst/>
              </c:spPr>
              <c:txPr>
                <a:bodyPr wrap="square" lIns="38100" tIns="19050" rIns="38100" bIns="19050" anchor="ctr">
                  <a:spAutoFit/>
                </a:bodyPr>
                <a:lstStyle/>
                <a:p>
                  <a:pPr>
                    <a:defRPr b="1"/>
                  </a:pPr>
                  <a:endParaRPr lang="en-VN"/>
                </a:p>
              </c:txPr>
              <c:dLblPos val="outEnd"/>
              <c:showLegendKey val="0"/>
              <c:showVal val="1"/>
              <c:showCatName val="0"/>
              <c:showSerName val="0"/>
              <c:showPercent val="0"/>
              <c:showBubbleSize val="0"/>
              <c:extLst>
                <c:ext xmlns:c16="http://schemas.microsoft.com/office/drawing/2014/chart" uri="{C3380CC4-5D6E-409C-BE32-E72D297353CC}">
                  <c16:uniqueId val="{00000001-9ED6-6042-BD7F-06F1F13C2A52}"/>
                </c:ext>
              </c:extLst>
            </c:dLbl>
            <c:dLbl>
              <c:idx val="4"/>
              <c:spPr>
                <a:noFill/>
                <a:ln>
                  <a:noFill/>
                </a:ln>
                <a:effectLst/>
              </c:spPr>
              <c:txPr>
                <a:bodyPr wrap="square" lIns="38100" tIns="19050" rIns="38100" bIns="19050" anchor="ctr">
                  <a:spAutoFit/>
                </a:bodyPr>
                <a:lstStyle/>
                <a:p>
                  <a:pPr>
                    <a:defRPr b="1"/>
                  </a:pPr>
                  <a:endParaRPr lang="en-VN"/>
                </a:p>
              </c:txPr>
              <c:dLblPos val="outEnd"/>
              <c:showLegendKey val="0"/>
              <c:showVal val="1"/>
              <c:showCatName val="0"/>
              <c:showSerName val="0"/>
              <c:showPercent val="0"/>
              <c:showBubbleSize val="0"/>
              <c:extLst>
                <c:ext xmlns:c16="http://schemas.microsoft.com/office/drawing/2014/chart" uri="{C3380CC4-5D6E-409C-BE32-E72D297353CC}">
                  <c16:uniqueId val="{00000003-9ED6-6042-BD7F-06F1F13C2A52}"/>
                </c:ext>
              </c:extLst>
            </c:dLbl>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'Waterfal Chart'!$A$2:$A$6</c:f>
              <c:strCache>
                <c:ptCount val="5"/>
                <c:pt idx="0">
                  <c:v>The beginning of period</c:v>
                </c:pt>
                <c:pt idx="1">
                  <c:v>CFO</c:v>
                </c:pt>
                <c:pt idx="2">
                  <c:v>CFI</c:v>
                </c:pt>
                <c:pt idx="3">
                  <c:v>CFO</c:v>
                </c:pt>
                <c:pt idx="4">
                  <c:v>Ending Inventory</c:v>
                </c:pt>
              </c:strCache>
            </c:strRef>
          </c:cat>
          <c:val>
            <c:numRef>
              <c:f>'Waterfal Chart'!$D$2:$D$6</c:f>
              <c:numCache>
                <c:formatCode>General;\-General;;</c:formatCode>
                <c:ptCount val="5"/>
                <c:pt idx="0">
                  <c:v>22.5</c:v>
                </c:pt>
                <c:pt idx="1">
                  <c:v>0</c:v>
                </c:pt>
                <c:pt idx="2">
                  <c:v>0</c:v>
                </c:pt>
                <c:pt idx="3">
                  <c:v>0</c:v>
                </c:pt>
                <c:pt idx="4">
                  <c:v>8.3000000000000007</c:v>
                </c:pt>
              </c:numCache>
            </c:numRef>
          </c:val>
          <c:extLst>
            <c:ext xmlns:c16="http://schemas.microsoft.com/office/drawing/2014/chart" uri="{C3380CC4-5D6E-409C-BE32-E72D297353CC}">
              <c16:uniqueId val="{00000004-9ED6-6042-BD7F-06F1F13C2A52}"/>
            </c:ext>
          </c:extLst>
        </c:ser>
        <c:dLbls>
          <c:showLegendKey val="0"/>
          <c:showVal val="0"/>
          <c:showCatName val="0"/>
          <c:showSerName val="0"/>
          <c:showPercent val="0"/>
          <c:showBubbleSize val="0"/>
        </c:dLbls>
        <c:gapWidth val="50"/>
        <c:axId val="542286208"/>
        <c:axId val="542288128"/>
      </c:barChart>
      <c:lineChart>
        <c:grouping val="standard"/>
        <c:varyColors val="0"/>
        <c:ser>
          <c:idx val="1"/>
          <c:order val="1"/>
          <c:tx>
            <c:strRef>
              <c:f>'Waterfal Chart'!$E$1</c:f>
              <c:strCache>
                <c:ptCount val="1"/>
                <c:pt idx="0">
                  <c:v>Before</c:v>
                </c:pt>
              </c:strCache>
            </c:strRef>
          </c:tx>
          <c:spPr>
            <a:ln w="19050">
              <a:noFill/>
            </a:ln>
          </c:spPr>
          <c:marker>
            <c:symbol val="none"/>
          </c:marker>
          <c:cat>
            <c:strRef>
              <c:f>'Waterfal Chart'!$A$2:$A$6</c:f>
              <c:strCache>
                <c:ptCount val="5"/>
                <c:pt idx="0">
                  <c:v>The beginning of period</c:v>
                </c:pt>
                <c:pt idx="1">
                  <c:v>CFO</c:v>
                </c:pt>
                <c:pt idx="2">
                  <c:v>CFI</c:v>
                </c:pt>
                <c:pt idx="3">
                  <c:v>CFO</c:v>
                </c:pt>
                <c:pt idx="4">
                  <c:v>Ending Inventory</c:v>
                </c:pt>
              </c:strCache>
            </c:strRef>
          </c:cat>
          <c:val>
            <c:numRef>
              <c:f>'Waterfal Chart'!$E$2:$E$6</c:f>
              <c:numCache>
                <c:formatCode>General</c:formatCode>
                <c:ptCount val="5"/>
                <c:pt idx="1">
                  <c:v>22.5</c:v>
                </c:pt>
                <c:pt idx="2">
                  <c:v>34.799999999999997</c:v>
                </c:pt>
                <c:pt idx="3">
                  <c:v>10.199999999999996</c:v>
                </c:pt>
              </c:numCache>
            </c:numRef>
          </c:val>
          <c:smooth val="0"/>
          <c:extLst>
            <c:ext xmlns:c16="http://schemas.microsoft.com/office/drawing/2014/chart" uri="{C3380CC4-5D6E-409C-BE32-E72D297353CC}">
              <c16:uniqueId val="{00000005-9ED6-6042-BD7F-06F1F13C2A52}"/>
            </c:ext>
          </c:extLst>
        </c:ser>
        <c:ser>
          <c:idx val="2"/>
          <c:order val="2"/>
          <c:tx>
            <c:strRef>
              <c:f>'Waterfal Chart'!$F$1</c:f>
              <c:strCache>
                <c:ptCount val="1"/>
                <c:pt idx="0">
                  <c:v>After</c:v>
                </c:pt>
              </c:strCache>
            </c:strRef>
          </c:tx>
          <c:spPr>
            <a:ln w="19050">
              <a:noFill/>
            </a:ln>
          </c:spPr>
          <c:marker>
            <c:symbol val="none"/>
          </c:marker>
          <c:cat>
            <c:strRef>
              <c:f>'Waterfal Chart'!$A$2:$A$6</c:f>
              <c:strCache>
                <c:ptCount val="5"/>
                <c:pt idx="0">
                  <c:v>The beginning of period</c:v>
                </c:pt>
                <c:pt idx="1">
                  <c:v>CFO</c:v>
                </c:pt>
                <c:pt idx="2">
                  <c:v>CFI</c:v>
                </c:pt>
                <c:pt idx="3">
                  <c:v>CFO</c:v>
                </c:pt>
                <c:pt idx="4">
                  <c:v>Ending Inventory</c:v>
                </c:pt>
              </c:strCache>
            </c:strRef>
          </c:cat>
          <c:val>
            <c:numRef>
              <c:f>'Waterfal Chart'!$F$2:$F$6</c:f>
              <c:numCache>
                <c:formatCode>General</c:formatCode>
                <c:ptCount val="5"/>
                <c:pt idx="1">
                  <c:v>34.799999999999997</c:v>
                </c:pt>
                <c:pt idx="2">
                  <c:v>10.199999999999996</c:v>
                </c:pt>
                <c:pt idx="3">
                  <c:v>8.399999999999995</c:v>
                </c:pt>
              </c:numCache>
            </c:numRef>
          </c:val>
          <c:smooth val="0"/>
          <c:extLst>
            <c:ext xmlns:c16="http://schemas.microsoft.com/office/drawing/2014/chart" uri="{C3380CC4-5D6E-409C-BE32-E72D297353CC}">
              <c16:uniqueId val="{00000006-9ED6-6042-BD7F-06F1F13C2A52}"/>
            </c:ext>
          </c:extLst>
        </c:ser>
        <c:dLbls>
          <c:showLegendKey val="0"/>
          <c:showVal val="0"/>
          <c:showCatName val="0"/>
          <c:showSerName val="0"/>
          <c:showPercent val="0"/>
          <c:showBubbleSize val="0"/>
        </c:dLbls>
        <c:upDownBars>
          <c:gapWidth val="50"/>
          <c:upBars>
            <c:spPr>
              <a:solidFill>
                <a:srgbClr val="2CA02C"/>
              </a:solidFill>
              <a:ln w="6350">
                <a:noFill/>
              </a:ln>
            </c:spPr>
          </c:upBars>
          <c:downBars>
            <c:spPr>
              <a:solidFill>
                <a:srgbClr val="E41A1C"/>
              </a:solidFill>
              <a:ln w="6350">
                <a:noFill/>
              </a:ln>
            </c:spPr>
          </c:downBars>
        </c:upDownBars>
        <c:marker val="1"/>
        <c:smooth val="0"/>
        <c:axId val="542286208"/>
        <c:axId val="542288128"/>
      </c:lineChart>
      <c:lineChart>
        <c:grouping val="standard"/>
        <c:varyColors val="0"/>
        <c:ser>
          <c:idx val="4"/>
          <c:order val="4"/>
          <c:tx>
            <c:strRef>
              <c:f>'Waterfal Chart'!$H$1</c:f>
              <c:strCache>
                <c:ptCount val="1"/>
                <c:pt idx="0">
                  <c:v>Center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7-9ED6-6042-BD7F-06F1F13C2A52}"/>
                </c:ext>
              </c:extLst>
            </c:dLbl>
            <c:spPr>
              <a:noFill/>
              <a:ln>
                <a:noFill/>
              </a:ln>
              <a:effectLst/>
            </c:sp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'Waterfal Chart'!$K$2:$K$6</c:f>
              <c:numCache>
                <c:formatCode>General</c:formatCode>
                <c:ptCount val="5"/>
                <c:pt idx="1">
                  <c:v>12.3</c:v>
                </c:pt>
                <c:pt idx="2">
                  <c:v>-24.6</c:v>
                </c:pt>
                <c:pt idx="3">
                  <c:v>-1.8</c:v>
                </c:pt>
              </c:numCache>
            </c:numRef>
          </c:cat>
          <c:val>
            <c:numRef>
              <c:f>'Waterfal Chart'!$H$2:$H$6</c:f>
              <c:numCache>
                <c:formatCode>General</c:formatCode>
                <c:ptCount val="5"/>
                <c:pt idx="0">
                  <c:v>0</c:v>
                </c:pt>
                <c:pt idx="1">
                  <c:v>#N/A</c:v>
                </c:pt>
                <c:pt idx="2">
                  <c:v>#N/A</c:v>
                </c:pt>
                <c:pt idx="3">
                  <c:v>#N/A</c:v>
                </c:pt>
              </c:numCache>
            </c:numRef>
          </c:val>
          <c:smooth val="0"/>
          <c:extLst>
            <c:ext xmlns:c16="http://schemas.microsoft.com/office/drawing/2014/chart" uri="{C3380CC4-5D6E-409C-BE32-E72D297353CC}">
              <c16:uniqueId val="{00000008-9ED6-6042-BD7F-06F1F13C2A52}"/>
            </c:ext>
          </c:extLst>
        </c:ser>
        <c:ser>
          <c:idx val="5"/>
          <c:order val="5"/>
          <c:tx>
            <c:strRef>
              <c:f>'Waterfal Chart'!$I$1</c:f>
              <c:strCache>
                <c:ptCount val="1"/>
                <c:pt idx="0">
                  <c:v>Above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9-9ED6-6042-BD7F-06F1F13C2A52}"/>
                </c:ext>
              </c:extLst>
            </c:dLbl>
            <c:spPr>
              <a:noFill/>
              <a:ln>
                <a:noFill/>
              </a:ln>
              <a:effectLst/>
            </c:spPr>
            <c:dLblPos val="t"/>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'Waterfal Chart'!$K$2:$K$6</c:f>
              <c:numCache>
                <c:formatCode>General</c:formatCode>
                <c:ptCount val="5"/>
                <c:pt idx="1">
                  <c:v>12.3</c:v>
                </c:pt>
                <c:pt idx="2">
                  <c:v>-24.6</c:v>
                </c:pt>
                <c:pt idx="3">
                  <c:v>-1.8</c:v>
                </c:pt>
              </c:numCache>
            </c:numRef>
          </c:cat>
          <c:val>
            <c:numRef>
              <c:f>'Waterfal Chart'!$I$2:$I$6</c:f>
              <c:numCache>
                <c:formatCode>General</c:formatCode>
                <c:ptCount val="5"/>
                <c:pt idx="0">
                  <c:v>0</c:v>
                </c:pt>
                <c:pt idx="1">
                  <c:v>#N/A</c:v>
                </c:pt>
                <c:pt idx="2">
                  <c:v>#N/A</c:v>
                </c:pt>
                <c:pt idx="3">
                  <c:v>#N/A</c:v>
                </c:pt>
              </c:numCache>
            </c:numRef>
          </c:val>
          <c:smooth val="0"/>
          <c:extLst>
            <c:ext xmlns:c16="http://schemas.microsoft.com/office/drawing/2014/chart" uri="{C3380CC4-5D6E-409C-BE32-E72D297353CC}">
              <c16:uniqueId val="{0000000A-9ED6-6042-BD7F-06F1F13C2A52}"/>
            </c:ext>
          </c:extLst>
        </c:ser>
        <c:dLbls>
          <c:showLegendKey val="0"/>
          <c:showVal val="0"/>
          <c:showCatName val="0"/>
          <c:showSerName val="0"/>
          <c:showPercent val="0"/>
          <c:showBubbleSize val="0"/>
        </c:dLbls>
        <c:marker val="1"/>
        <c:smooth val="0"/>
        <c:axId val="544425472"/>
        <c:axId val="544423936"/>
      </c:lineChart>
      <c:scatterChart>
        <c:scatterStyle val="lineMarker"/>
        <c:varyColors val="0"/>
        <c:ser>
          <c:idx val="3"/>
          <c:order val="3"/>
          <c:tx>
            <c:strRef>
              <c:f>'Waterfal Chart'!$G$1</c:f>
              <c:strCache>
                <c:ptCount val="1"/>
                <c:pt idx="0">
                  <c:v>Line Y</c:v>
                </c:pt>
              </c:strCache>
            </c:strRef>
          </c:tx>
          <c:spPr>
            <a:ln w="19050">
              <a:noFill/>
            </a:ln>
          </c:spPr>
          <c:marker>
            <c:symbol val="none"/>
          </c:marker>
          <c:errBars>
            <c:errDir val="x"/>
            <c:errBarType val="both"/>
            <c:errValType val="fixedVal"/>
            <c:noEndCap val="1"/>
            <c:val val="0.83333333333333337"/>
          </c:errBars>
          <c:xVal>
            <c:numRef>
              <c:f>'Waterfal Chart'!$C$2:$C$6</c:f>
              <c:numCache>
                <c:formatCode>General</c:formatCode>
                <c:ptCount val="5"/>
                <c:pt idx="0">
                  <c:v>1.5</c:v>
                </c:pt>
                <c:pt idx="1">
                  <c:v>2.5</c:v>
                </c:pt>
                <c:pt idx="2">
                  <c:v>3.5</c:v>
                </c:pt>
                <c:pt idx="3">
                  <c:v>4.5</c:v>
                </c:pt>
              </c:numCache>
            </c:numRef>
          </c:xVal>
          <c:yVal>
            <c:numRef>
              <c:f>'Waterfal Chart'!$G$2:$G$6</c:f>
              <c:numCache>
                <c:formatCode>General</c:formatCode>
                <c:ptCount val="5"/>
                <c:pt idx="0">
                  <c:v>22.5</c:v>
                </c:pt>
                <c:pt idx="1">
                  <c:v>34.799999999999997</c:v>
                </c:pt>
                <c:pt idx="2">
                  <c:v>10.199999999999996</c:v>
                </c:pt>
                <c:pt idx="3">
                  <c:v>8.399999999999995</c:v>
                </c:pt>
              </c:numCache>
            </c:numRef>
          </c:yVal>
          <c:smooth val="0"/>
          <c:extLst>
            <c:ext xmlns:c16="http://schemas.microsoft.com/office/drawing/2014/chart" uri="{C3380CC4-5D6E-409C-BE32-E72D297353CC}">
              <c16:uniqueId val="{0000000B-9ED6-6042-BD7F-06F1F13C2A52}"/>
            </c:ext>
          </c:extLst>
        </c:ser>
        <c:ser>
          <c:idx val="6"/>
          <c:order val="6"/>
          <c:tx>
            <c:strRef>
              <c:f>'Waterfal Chart'!$J$1</c:f>
              <c:strCache>
                <c:ptCount val="1"/>
                <c:pt idx="0">
                  <c:v>Below X</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9ED6-6042-BD7F-06F1F13C2A52}"/>
                </c:ext>
              </c:extLst>
            </c:dLbl>
            <c:dLbl>
              <c:idx val="3"/>
              <c:tx>
                <c:rich>
                  <a:bodyPr/>
                  <a:lstStyle/>
                  <a:p>
                    <a:r>
                      <a:rPr lang="en-US"/>
                      <a:t>CFF</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046A-C148-A95B-AF8352C1FCFA}"/>
                </c:ext>
              </c:extLst>
            </c:dLbl>
            <c:spPr>
              <a:noFill/>
              <a:ln>
                <a:noFill/>
              </a:ln>
              <a:effectLst/>
            </c:spPr>
            <c:txPr>
              <a:bodyPr wrap="square" lIns="38100" tIns="19050" rIns="38100" bIns="19050" anchor="ctr">
                <a:spAutoFit/>
              </a:bodyPr>
              <a:lstStyle/>
              <a:p>
                <a:pPr>
                  <a:defRPr sz="1000" b="1">
                    <a:latin typeface="+mn-lt"/>
                  </a:defRPr>
                </a:pPr>
                <a:endParaRPr lang="en-VN"/>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strRef>
              <c:f>'Waterfal Chart'!$A$2:$A$6</c:f>
              <c:strCache>
                <c:ptCount val="5"/>
                <c:pt idx="0">
                  <c:v>The beginning of period</c:v>
                </c:pt>
                <c:pt idx="1">
                  <c:v>CFO</c:v>
                </c:pt>
                <c:pt idx="2">
                  <c:v>CFI</c:v>
                </c:pt>
                <c:pt idx="3">
                  <c:v>CFO</c:v>
                </c:pt>
                <c:pt idx="4">
                  <c:v>Ending Inventory</c:v>
                </c:pt>
              </c:strCache>
            </c:strRef>
          </c:xVal>
          <c:yVal>
            <c:numRef>
              <c:f>'Waterfal Chart'!$J$2:$J$6</c:f>
              <c:numCache>
                <c:formatCode>General</c:formatCode>
                <c:ptCount val="5"/>
                <c:pt idx="0">
                  <c:v>1</c:v>
                </c:pt>
                <c:pt idx="1">
                  <c:v>22.5</c:v>
                </c:pt>
                <c:pt idx="2">
                  <c:v>10.199999999999996</c:v>
                </c:pt>
                <c:pt idx="3">
                  <c:v>8.399999999999995</c:v>
                </c:pt>
              </c:numCache>
            </c:numRef>
          </c:yVal>
          <c:smooth val="0"/>
          <c:extLst>
            <c:ext xmlns:c16="http://schemas.microsoft.com/office/drawing/2014/chart" uri="{C3380CC4-5D6E-409C-BE32-E72D297353CC}">
              <c16:uniqueId val="{0000000D-9ED6-6042-BD7F-06F1F13C2A52}"/>
            </c:ext>
          </c:extLst>
        </c:ser>
        <c:dLbls>
          <c:showLegendKey val="0"/>
          <c:showVal val="0"/>
          <c:showCatName val="0"/>
          <c:showSerName val="0"/>
          <c:showPercent val="0"/>
          <c:showBubbleSize val="0"/>
        </c:dLbls>
        <c:axId val="542286208"/>
        <c:axId val="542288128"/>
      </c:scatterChart>
      <c:catAx>
        <c:axId val="542286208"/>
        <c:scaling>
          <c:orientation val="minMax"/>
        </c:scaling>
        <c:delete val="0"/>
        <c:axPos val="b"/>
        <c:numFmt formatCode="General" sourceLinked="1"/>
        <c:majorTickMark val="out"/>
        <c:minorTickMark val="none"/>
        <c:tickLblPos val="none"/>
        <c:spPr>
          <a:ln>
            <a:solidFill>
              <a:schemeClr val="bg1">
                <a:lumMod val="75000"/>
              </a:schemeClr>
            </a:solidFill>
          </a:ln>
        </c:spPr>
        <c:txPr>
          <a:bodyPr rot="0" vert="horz"/>
          <a:lstStyle/>
          <a:p>
            <a:pPr>
              <a:defRPr>
                <a:solidFill>
                  <a:schemeClr val="bg1">
                    <a:lumMod val="75000"/>
                  </a:schemeClr>
                </a:solidFill>
              </a:defRPr>
            </a:pPr>
            <a:endParaRPr lang="en-VN"/>
          </a:p>
        </c:txPr>
        <c:crossAx val="542288128"/>
        <c:crosses val="autoZero"/>
        <c:auto val="0"/>
        <c:lblAlgn val="ctr"/>
        <c:lblOffset val="100"/>
        <c:tickLblSkip val="1"/>
        <c:noMultiLvlLbl val="0"/>
      </c:catAx>
      <c:valAx>
        <c:axId val="542288128"/>
        <c:scaling>
          <c:orientation val="minMax"/>
        </c:scaling>
        <c:delete val="0"/>
        <c:axPos val="l"/>
        <c:title>
          <c:tx>
            <c:rich>
              <a:bodyPr/>
              <a:lstStyle/>
              <a:p>
                <a:pPr>
                  <a:defRPr/>
                </a:pPr>
                <a:r>
                  <a:rPr lang="en-US" b="0">
                    <a:solidFill>
                      <a:schemeClr val="bg1">
                        <a:lumMod val="75000"/>
                      </a:schemeClr>
                    </a:solidFill>
                  </a:rPr>
                  <a:t>TRILLION VNĐ</a:t>
                </a:r>
              </a:p>
            </c:rich>
          </c:tx>
          <c:layout>
            <c:manualLayout>
              <c:xMode val="edge"/>
              <c:yMode val="edge"/>
              <c:x val="1.5593062593272956E-2"/>
              <c:y val="9.1854961582067157E-2"/>
            </c:manualLayout>
          </c:layout>
          <c:overlay val="0"/>
        </c:title>
        <c:numFmt formatCode="General;\-General;;" sourceLinked="1"/>
        <c:majorTickMark val="in"/>
        <c:minorTickMark val="none"/>
        <c:tickLblPos val="nextTo"/>
        <c:spPr>
          <a:noFill/>
          <a:ln>
            <a:solidFill>
              <a:schemeClr val="bg1">
                <a:lumMod val="75000"/>
              </a:schemeClr>
            </a:solidFill>
          </a:ln>
        </c:spPr>
        <c:txPr>
          <a:bodyPr/>
          <a:lstStyle/>
          <a:p>
            <a:pPr>
              <a:defRPr sz="1000">
                <a:solidFill>
                  <a:schemeClr val="bg1">
                    <a:lumMod val="75000"/>
                  </a:schemeClr>
                </a:solidFill>
              </a:defRPr>
            </a:pPr>
            <a:endParaRPr lang="en-VN"/>
          </a:p>
        </c:txPr>
        <c:crossAx val="542286208"/>
        <c:crosses val="autoZero"/>
        <c:crossBetween val="between"/>
        <c:majorUnit val="10"/>
      </c:valAx>
      <c:valAx>
        <c:axId val="544423936"/>
        <c:scaling>
          <c:orientation val="minMax"/>
        </c:scaling>
        <c:delete val="1"/>
        <c:axPos val="r"/>
        <c:numFmt formatCode="General" sourceLinked="1"/>
        <c:majorTickMark val="out"/>
        <c:minorTickMark val="none"/>
        <c:tickLblPos val="nextTo"/>
        <c:crossAx val="544425472"/>
        <c:crosses val="max"/>
        <c:crossBetween val="between"/>
      </c:valAx>
      <c:catAx>
        <c:axId val="544425472"/>
        <c:scaling>
          <c:orientation val="minMax"/>
        </c:scaling>
        <c:delete val="1"/>
        <c:axPos val="b"/>
        <c:numFmt formatCode="General" sourceLinked="1"/>
        <c:majorTickMark val="out"/>
        <c:minorTickMark val="none"/>
        <c:tickLblPos val="nextTo"/>
        <c:crossAx val="544423936"/>
        <c:crosses val="autoZero"/>
        <c:auto val="1"/>
        <c:lblAlgn val="ctr"/>
        <c:lblOffset val="100"/>
        <c:noMultiLvlLbl val="0"/>
      </c:catAx>
      <c:spPr>
        <a:noFill/>
        <a:ln>
          <a:noFill/>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Cash flow</a:t>
            </a:r>
            <a:r>
              <a:rPr lang="en-US" sz="1400" b="0" baseline="0"/>
              <a:t> at the beginning and the end of each year </a:t>
            </a:r>
            <a:endParaRPr lang="en-US" sz="1400" b="0"/>
          </a:p>
        </c:rich>
      </c:tx>
      <c:layout>
        <c:manualLayout>
          <c:xMode val="edge"/>
          <c:yMode val="edge"/>
          <c:x val="3.5360772522790802E-2"/>
          <c:y val="5.26661823534936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11589235211894258"/>
          <c:y val="0.16832391841003724"/>
          <c:w val="0.83681098701086076"/>
          <c:h val="0.62678857223441065"/>
        </c:manualLayout>
      </c:layout>
      <c:barChart>
        <c:barDir val="col"/>
        <c:grouping val="clustered"/>
        <c:varyColors val="0"/>
        <c:ser>
          <c:idx val="2"/>
          <c:order val="0"/>
          <c:tx>
            <c:strRef>
              <c:f>'Cash Flow Statement'!$U$20</c:f>
              <c:strCache>
                <c:ptCount val="1"/>
                <c:pt idx="0">
                  <c:v>The beginning of period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Statement'!$T$30:$T$32</c:f>
              <c:numCache>
                <c:formatCode>General</c:formatCode>
                <c:ptCount val="3"/>
                <c:pt idx="0">
                  <c:v>2020</c:v>
                </c:pt>
                <c:pt idx="1">
                  <c:v>2021</c:v>
                </c:pt>
                <c:pt idx="2">
                  <c:v>2022</c:v>
                </c:pt>
              </c:numCache>
            </c:numRef>
          </c:cat>
          <c:val>
            <c:numRef>
              <c:f>'Cash Flow Statement'!$U$21:$U$23</c:f>
              <c:numCache>
                <c:formatCode>General</c:formatCode>
                <c:ptCount val="3"/>
                <c:pt idx="0">
                  <c:v>4.5</c:v>
                </c:pt>
                <c:pt idx="1">
                  <c:v>13.7</c:v>
                </c:pt>
                <c:pt idx="2">
                  <c:v>22.5</c:v>
                </c:pt>
              </c:numCache>
            </c:numRef>
          </c:val>
          <c:extLst>
            <c:ext xmlns:c16="http://schemas.microsoft.com/office/drawing/2014/chart" uri="{C3380CC4-5D6E-409C-BE32-E72D297353CC}">
              <c16:uniqueId val="{00000000-152F-1A48-A153-EDBB354898DC}"/>
            </c:ext>
          </c:extLst>
        </c:ser>
        <c:ser>
          <c:idx val="3"/>
          <c:order val="1"/>
          <c:tx>
            <c:strRef>
              <c:f>'Cash Flow Statement'!$V$20</c:f>
              <c:strCache>
                <c:ptCount val="1"/>
                <c:pt idx="0">
                  <c:v>The end of period</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Statement'!$T$30:$T$32</c:f>
              <c:numCache>
                <c:formatCode>General</c:formatCode>
                <c:ptCount val="3"/>
                <c:pt idx="0">
                  <c:v>2020</c:v>
                </c:pt>
                <c:pt idx="1">
                  <c:v>2021</c:v>
                </c:pt>
                <c:pt idx="2">
                  <c:v>2022</c:v>
                </c:pt>
              </c:numCache>
            </c:numRef>
          </c:cat>
          <c:val>
            <c:numRef>
              <c:f>'Cash Flow Statement'!$V$21:$V$23</c:f>
              <c:numCache>
                <c:formatCode>General</c:formatCode>
                <c:ptCount val="3"/>
                <c:pt idx="0">
                  <c:v>13.7</c:v>
                </c:pt>
                <c:pt idx="1">
                  <c:v>22.5</c:v>
                </c:pt>
                <c:pt idx="2">
                  <c:v>8.3000000000000007</c:v>
                </c:pt>
              </c:numCache>
            </c:numRef>
          </c:val>
          <c:extLst>
            <c:ext xmlns:c16="http://schemas.microsoft.com/office/drawing/2014/chart" uri="{C3380CC4-5D6E-409C-BE32-E72D297353CC}">
              <c16:uniqueId val="{00000001-152F-1A48-A153-EDBB354898DC}"/>
            </c:ext>
          </c:extLst>
        </c:ser>
        <c:dLbls>
          <c:showLegendKey val="0"/>
          <c:showVal val="0"/>
          <c:showCatName val="0"/>
          <c:showSerName val="0"/>
          <c:showPercent val="0"/>
          <c:showBubbleSize val="0"/>
        </c:dLbls>
        <c:gapWidth val="75"/>
        <c:overlap val="-3"/>
        <c:axId val="1968229935"/>
        <c:axId val="258119872"/>
      </c:barChart>
      <c:barChart>
        <c:barDir val="col"/>
        <c:grouping val="clustered"/>
        <c:varyColors val="0"/>
        <c:ser>
          <c:idx val="0"/>
          <c:order val="2"/>
          <c:tx>
            <c:strRef>
              <c:f>'Cash Flow Statement'!$U$29</c:f>
              <c:strCache>
                <c:ptCount val="1"/>
                <c:pt idx="0">
                  <c:v>Starting Color</c:v>
                </c:pt>
              </c:strCache>
            </c:strRef>
          </c:tx>
          <c:spPr>
            <a:solidFill>
              <a:schemeClr val="accent1">
                <a:lumMod val="20000"/>
                <a:lumOff val="80000"/>
              </a:schemeClr>
            </a:solidFill>
            <a:ln>
              <a:noFill/>
            </a:ln>
            <a:effectLst/>
          </c:spPr>
          <c:invertIfNegative val="0"/>
          <c:cat>
            <c:numRef>
              <c:f>'Cash Flow Statement'!$T$30:$T$32</c:f>
              <c:numCache>
                <c:formatCode>General</c:formatCode>
                <c:ptCount val="3"/>
                <c:pt idx="0">
                  <c:v>2020</c:v>
                </c:pt>
                <c:pt idx="1">
                  <c:v>2021</c:v>
                </c:pt>
                <c:pt idx="2">
                  <c:v>2022</c:v>
                </c:pt>
              </c:numCache>
            </c:numRef>
          </c:cat>
          <c:val>
            <c:numRef>
              <c:f>'Cash Flow Statement'!$U$30:$U$32</c:f>
              <c:numCache>
                <c:formatCode>_(* #,##0.0_);_(* \(#,##0.0\);_(* "-"??_);_(@_)</c:formatCode>
                <c:ptCount val="3"/>
                <c:pt idx="0">
                  <c:v>0</c:v>
                </c:pt>
                <c:pt idx="1">
                  <c:v>0</c:v>
                </c:pt>
                <c:pt idx="2">
                  <c:v>22.5</c:v>
                </c:pt>
              </c:numCache>
            </c:numRef>
          </c:val>
          <c:extLst>
            <c:ext xmlns:c16="http://schemas.microsoft.com/office/drawing/2014/chart" uri="{C3380CC4-5D6E-409C-BE32-E72D297353CC}">
              <c16:uniqueId val="{00000002-152F-1A48-A153-EDBB354898DC}"/>
            </c:ext>
          </c:extLst>
        </c:ser>
        <c:ser>
          <c:idx val="1"/>
          <c:order val="3"/>
          <c:tx>
            <c:strRef>
              <c:f>'Cash Flow Statement'!$V$29</c:f>
              <c:strCache>
                <c:ptCount val="1"/>
                <c:pt idx="0">
                  <c:v>Ending Color</c:v>
                </c:pt>
              </c:strCache>
            </c:strRef>
          </c:tx>
          <c:spPr>
            <a:solidFill>
              <a:schemeClr val="accent1">
                <a:lumMod val="75000"/>
              </a:schemeClr>
            </a:solidFill>
            <a:ln>
              <a:noFill/>
            </a:ln>
            <a:effectLst/>
          </c:spPr>
          <c:invertIfNegative val="0"/>
          <c:cat>
            <c:numRef>
              <c:f>'Cash Flow Statement'!$T$30:$T$32</c:f>
              <c:numCache>
                <c:formatCode>General</c:formatCode>
                <c:ptCount val="3"/>
                <c:pt idx="0">
                  <c:v>2020</c:v>
                </c:pt>
                <c:pt idx="1">
                  <c:v>2021</c:v>
                </c:pt>
                <c:pt idx="2">
                  <c:v>2022</c:v>
                </c:pt>
              </c:numCache>
            </c:numRef>
          </c:cat>
          <c:val>
            <c:numRef>
              <c:f>'Cash Flow Statement'!$V$30:$V$32</c:f>
              <c:numCache>
                <c:formatCode>_(* #,##0.0_);_(* \(#,##0.0\);_(* "-"??_);_(@_)</c:formatCode>
                <c:ptCount val="3"/>
                <c:pt idx="0">
                  <c:v>0</c:v>
                </c:pt>
                <c:pt idx="1">
                  <c:v>0</c:v>
                </c:pt>
                <c:pt idx="2">
                  <c:v>8.3000000000000007</c:v>
                </c:pt>
              </c:numCache>
            </c:numRef>
          </c:val>
          <c:extLst>
            <c:ext xmlns:c16="http://schemas.microsoft.com/office/drawing/2014/chart" uri="{C3380CC4-5D6E-409C-BE32-E72D297353CC}">
              <c16:uniqueId val="{00000003-152F-1A48-A153-EDBB354898DC}"/>
            </c:ext>
          </c:extLst>
        </c:ser>
        <c:dLbls>
          <c:showLegendKey val="0"/>
          <c:showVal val="0"/>
          <c:showCatName val="0"/>
          <c:showSerName val="0"/>
          <c:showPercent val="0"/>
          <c:showBubbleSize val="0"/>
        </c:dLbls>
        <c:gapWidth val="75"/>
        <c:overlap val="-3"/>
        <c:axId val="257755728"/>
        <c:axId val="257752752"/>
      </c:barChart>
      <c:catAx>
        <c:axId val="1968229935"/>
        <c:scaling>
          <c:orientation val="minMax"/>
        </c:scaling>
        <c:delete val="1"/>
        <c:axPos val="b"/>
        <c:numFmt formatCode="General" sourceLinked="1"/>
        <c:majorTickMark val="none"/>
        <c:minorTickMark val="none"/>
        <c:tickLblPos val="nextTo"/>
        <c:crossAx val="258119872"/>
        <c:crosses val="autoZero"/>
        <c:auto val="1"/>
        <c:lblAlgn val="ctr"/>
        <c:lblOffset val="100"/>
        <c:tickMarkSkip val="1"/>
        <c:noMultiLvlLbl val="0"/>
      </c:catAx>
      <c:valAx>
        <c:axId val="258119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r>
                  <a:rPr lang="en-US">
                    <a:solidFill>
                      <a:schemeClr val="bg1">
                        <a:lumMod val="75000"/>
                      </a:schemeClr>
                    </a:solidFill>
                  </a:rPr>
                  <a:t>TRILLION VNĐ</a:t>
                </a:r>
              </a:p>
            </c:rich>
          </c:tx>
          <c:layout>
            <c:manualLayout>
              <c:xMode val="edge"/>
              <c:yMode val="edge"/>
              <c:x val="3.3870911252258509E-2"/>
              <c:y val="0.1469891928397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VN"/>
            </a:p>
          </c:txPr>
        </c:title>
        <c:numFmt formatCode="General"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VN"/>
          </a:p>
        </c:txPr>
        <c:crossAx val="1968229935"/>
        <c:crosses val="autoZero"/>
        <c:crossBetween val="between"/>
        <c:majorUnit val="10"/>
      </c:valAx>
      <c:valAx>
        <c:axId val="257752752"/>
        <c:scaling>
          <c:orientation val="minMax"/>
          <c:max val="30"/>
        </c:scaling>
        <c:delete val="1"/>
        <c:axPos val="r"/>
        <c:numFmt formatCode="_(* #,##0.0_);_(* \(#,##0.0\);_(* &quot;-&quot;??_);_(@_)" sourceLinked="1"/>
        <c:majorTickMark val="out"/>
        <c:minorTickMark val="none"/>
        <c:tickLblPos val="nextTo"/>
        <c:crossAx val="257755728"/>
        <c:crosses val="max"/>
        <c:crossBetween val="between"/>
      </c:valAx>
      <c:catAx>
        <c:axId val="257755728"/>
        <c:scaling>
          <c:orientation val="minMax"/>
        </c:scaling>
        <c:delete val="1"/>
        <c:axPos val="b"/>
        <c:numFmt formatCode="General" sourceLinked="1"/>
        <c:majorTickMark val="out"/>
        <c:minorTickMark val="none"/>
        <c:tickLblPos val="nextTo"/>
        <c:crossAx val="2577527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Free Cash Flow</a:t>
            </a:r>
          </a:p>
        </c:rich>
      </c:tx>
      <c:layout>
        <c:manualLayout>
          <c:xMode val="edge"/>
          <c:yMode val="edge"/>
          <c:x val="2.1310464825074957E-2"/>
          <c:y val="0.1085271317829457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VN"/>
        </a:p>
      </c:txPr>
    </c:title>
    <c:autoTitleDeleted val="0"/>
    <c:plotArea>
      <c:layout>
        <c:manualLayout>
          <c:layoutTarget val="inner"/>
          <c:xMode val="edge"/>
          <c:yMode val="edge"/>
          <c:x val="0.10513094798028647"/>
          <c:y val="0.22914789721052312"/>
          <c:w val="0.88794481840152328"/>
          <c:h val="0.72524415552707078"/>
        </c:manualLayout>
      </c:layout>
      <c:barChart>
        <c:barDir val="col"/>
        <c:grouping val="clustered"/>
        <c:varyColors val="0"/>
        <c:ser>
          <c:idx val="1"/>
          <c:order val="0"/>
          <c:tx>
            <c:strRef>
              <c:f>'Cash Flow Statement'!$W$39</c:f>
              <c:strCache>
                <c:ptCount val="1"/>
                <c:pt idx="0">
                  <c:v>FCF</c:v>
                </c:pt>
              </c:strCache>
            </c:strRef>
          </c:tx>
          <c:spPr>
            <a:solidFill>
              <a:schemeClr val="accent2"/>
            </a:solidFill>
            <a:ln>
              <a:noFill/>
            </a:ln>
            <a:effectLst/>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01-974C-4149-9A7D-050353C17AB8}"/>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3-974C-4149-9A7D-050353C17AB8}"/>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5-974C-4149-9A7D-050353C17AB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Statement'!$V$40:$V$42</c:f>
              <c:numCache>
                <c:formatCode>General</c:formatCode>
                <c:ptCount val="3"/>
                <c:pt idx="0">
                  <c:v>2020</c:v>
                </c:pt>
                <c:pt idx="1">
                  <c:v>2021</c:v>
                </c:pt>
                <c:pt idx="2">
                  <c:v>2022</c:v>
                </c:pt>
              </c:numCache>
            </c:numRef>
          </c:cat>
          <c:val>
            <c:numRef>
              <c:f>'Cash Flow Statement'!$W$40:$W$42</c:f>
              <c:numCache>
                <c:formatCode>0.0</c:formatCode>
                <c:ptCount val="3"/>
                <c:pt idx="0">
                  <c:v>-33.6</c:v>
                </c:pt>
                <c:pt idx="1">
                  <c:v>18.600000000000001</c:v>
                </c:pt>
                <c:pt idx="2">
                  <c:v>17.600000000000001</c:v>
                </c:pt>
              </c:numCache>
            </c:numRef>
          </c:val>
          <c:extLst>
            <c:ext xmlns:c16="http://schemas.microsoft.com/office/drawing/2014/chart" uri="{C3380CC4-5D6E-409C-BE32-E72D297353CC}">
              <c16:uniqueId val="{00000006-974C-4149-9A7D-050353C17AB8}"/>
            </c:ext>
          </c:extLst>
        </c:ser>
        <c:dLbls>
          <c:showLegendKey val="0"/>
          <c:showVal val="0"/>
          <c:showCatName val="0"/>
          <c:showSerName val="0"/>
          <c:showPercent val="0"/>
          <c:showBubbleSize val="0"/>
        </c:dLbls>
        <c:gapWidth val="150"/>
        <c:overlap val="-27"/>
        <c:axId val="388706000"/>
        <c:axId val="388316672"/>
      </c:barChart>
      <c:barChart>
        <c:barDir val="col"/>
        <c:grouping val="clustered"/>
        <c:varyColors val="0"/>
        <c:ser>
          <c:idx val="0"/>
          <c:order val="1"/>
          <c:tx>
            <c:strRef>
              <c:f>'Cash Flow Statement'!$W$44</c:f>
              <c:strCache>
                <c:ptCount val="1"/>
                <c:pt idx="0">
                  <c:v>FCF</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8-974C-4149-9A7D-050353C17AB8}"/>
              </c:ext>
            </c:extLst>
          </c:dPt>
          <c:val>
            <c:numRef>
              <c:f>'Cash Flow Statement'!$W$45:$W$47</c:f>
              <c:numCache>
                <c:formatCode>_(* #,##0.0_);_(* \(#,##0.0\);_(* "-"??_);_(@_)</c:formatCode>
                <c:ptCount val="3"/>
                <c:pt idx="0">
                  <c:v>0</c:v>
                </c:pt>
                <c:pt idx="1">
                  <c:v>0</c:v>
                </c:pt>
                <c:pt idx="2">
                  <c:v>17.600000000000001</c:v>
                </c:pt>
              </c:numCache>
            </c:numRef>
          </c:val>
          <c:extLst>
            <c:ext xmlns:c16="http://schemas.microsoft.com/office/drawing/2014/chart" uri="{C3380CC4-5D6E-409C-BE32-E72D297353CC}">
              <c16:uniqueId val="{00000009-974C-4149-9A7D-050353C17AB8}"/>
            </c:ext>
          </c:extLst>
        </c:ser>
        <c:dLbls>
          <c:showLegendKey val="0"/>
          <c:showVal val="0"/>
          <c:showCatName val="0"/>
          <c:showSerName val="0"/>
          <c:showPercent val="0"/>
          <c:showBubbleSize val="0"/>
        </c:dLbls>
        <c:gapWidth val="150"/>
        <c:overlap val="-27"/>
        <c:axId val="542763152"/>
        <c:axId val="543005184"/>
      </c:barChart>
      <c:catAx>
        <c:axId val="388706000"/>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88316672"/>
        <c:crosses val="autoZero"/>
        <c:auto val="1"/>
        <c:lblAlgn val="ctr"/>
        <c:lblOffset val="100"/>
        <c:noMultiLvlLbl val="0"/>
      </c:catAx>
      <c:valAx>
        <c:axId val="388316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r>
                  <a:rPr lang="en-US">
                    <a:solidFill>
                      <a:schemeClr val="bg1">
                        <a:lumMod val="75000"/>
                      </a:schemeClr>
                    </a:solidFill>
                  </a:rPr>
                  <a:t>TRILLION VNĐ</a:t>
                </a:r>
              </a:p>
            </c:rich>
          </c:tx>
          <c:layout>
            <c:manualLayout>
              <c:xMode val="edge"/>
              <c:yMode val="edge"/>
              <c:x val="1.9641742696932654E-2"/>
              <c:y val="0.206304706097784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VN"/>
            </a:p>
          </c:txPr>
        </c:title>
        <c:numFmt formatCode="0" sourceLinked="0"/>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000" b="0" i="0" u="none" strike="noStrike" kern="1200" baseline="0">
                <a:solidFill>
                  <a:schemeClr val="bg2">
                    <a:lumMod val="90000"/>
                  </a:schemeClr>
                </a:solidFill>
                <a:latin typeface="+mn-lt"/>
                <a:ea typeface="+mn-ea"/>
                <a:cs typeface="+mn-cs"/>
              </a:defRPr>
            </a:pPr>
            <a:endParaRPr lang="en-VN"/>
          </a:p>
        </c:txPr>
        <c:crossAx val="388706000"/>
        <c:crosses val="autoZero"/>
        <c:crossBetween val="between"/>
        <c:majorUnit val="20"/>
      </c:valAx>
      <c:valAx>
        <c:axId val="543005184"/>
        <c:scaling>
          <c:orientation val="minMax"/>
          <c:max val="60"/>
          <c:min val="-40"/>
        </c:scaling>
        <c:delete val="1"/>
        <c:axPos val="r"/>
        <c:numFmt formatCode="_(* #,##0.0_);_(* \(#,##0.0\);_(* &quot;-&quot;??_);_(@_)" sourceLinked="1"/>
        <c:majorTickMark val="out"/>
        <c:minorTickMark val="none"/>
        <c:tickLblPos val="nextTo"/>
        <c:crossAx val="542763152"/>
        <c:crosses val="max"/>
        <c:crossBetween val="between"/>
        <c:majorUnit val="20"/>
      </c:valAx>
      <c:catAx>
        <c:axId val="542763152"/>
        <c:scaling>
          <c:orientation val="minMax"/>
        </c:scaling>
        <c:delete val="1"/>
        <c:axPos val="b"/>
        <c:majorTickMark val="out"/>
        <c:minorTickMark val="none"/>
        <c:tickLblPos val="nextTo"/>
        <c:crossAx val="5430051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4">
                    <a:lumMod val="75000"/>
                  </a:schemeClr>
                </a:solidFill>
              </a:rPr>
              <a:t>MV</a:t>
            </a:r>
            <a:r>
              <a:rPr lang="en-US" sz="1400" b="1" baseline="0">
                <a:solidFill>
                  <a:schemeClr val="accent4">
                    <a:lumMod val="75000"/>
                  </a:schemeClr>
                </a:solidFill>
              </a:rPr>
              <a:t>A</a:t>
            </a:r>
            <a:r>
              <a:rPr lang="en-US" sz="1400" b="1" baseline="0"/>
              <a:t> and </a:t>
            </a:r>
            <a:r>
              <a:rPr lang="en-US" sz="1400" b="1" baseline="0">
                <a:solidFill>
                  <a:schemeClr val="accent4">
                    <a:lumMod val="60000"/>
                    <a:lumOff val="40000"/>
                  </a:schemeClr>
                </a:solidFill>
              </a:rPr>
              <a:t>EVA</a:t>
            </a:r>
            <a:endParaRPr lang="en-US" sz="1400" b="1">
              <a:solidFill>
                <a:schemeClr val="accent4">
                  <a:lumMod val="60000"/>
                  <a:lumOff val="40000"/>
                </a:schemeClr>
              </a:solidFill>
            </a:endParaRPr>
          </a:p>
        </c:rich>
      </c:tx>
      <c:layout>
        <c:manualLayout>
          <c:xMode val="edge"/>
          <c:yMode val="edge"/>
          <c:x val="3.5360772522790802E-2"/>
          <c:y val="5.26661823534936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11773901962751655"/>
          <c:y val="0.16832391841003724"/>
          <c:w val="0.8391110151635397"/>
          <c:h val="0.68801309978758907"/>
        </c:manualLayout>
      </c:layout>
      <c:barChart>
        <c:barDir val="col"/>
        <c:grouping val="clustered"/>
        <c:varyColors val="0"/>
        <c:ser>
          <c:idx val="2"/>
          <c:order val="2"/>
          <c:tx>
            <c:strRef>
              <c:f>'Cash Flow Statement'!$U$53</c:f>
              <c:strCache>
                <c:ptCount val="1"/>
                <c:pt idx="0">
                  <c:v>MVA</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Statement'!$T$61:$T$63</c:f>
              <c:numCache>
                <c:formatCode>General</c:formatCode>
                <c:ptCount val="3"/>
                <c:pt idx="0">
                  <c:v>2020</c:v>
                </c:pt>
                <c:pt idx="1">
                  <c:v>2021</c:v>
                </c:pt>
                <c:pt idx="2">
                  <c:v>2022</c:v>
                </c:pt>
              </c:numCache>
            </c:numRef>
          </c:cat>
          <c:val>
            <c:numRef>
              <c:f>'Cash Flow Statement'!$U$54:$U$56</c:f>
              <c:numCache>
                <c:formatCode>General</c:formatCode>
                <c:ptCount val="3"/>
                <c:pt idx="0">
                  <c:v>75.5</c:v>
                </c:pt>
                <c:pt idx="1">
                  <c:v>66.400000000000006</c:v>
                </c:pt>
                <c:pt idx="2">
                  <c:v>8.6999999999999993</c:v>
                </c:pt>
              </c:numCache>
            </c:numRef>
          </c:val>
          <c:extLst>
            <c:ext xmlns:c16="http://schemas.microsoft.com/office/drawing/2014/chart" uri="{C3380CC4-5D6E-409C-BE32-E72D297353CC}">
              <c16:uniqueId val="{00000000-E4AB-C542-8B6B-CA1D60B6F15C}"/>
            </c:ext>
          </c:extLst>
        </c:ser>
        <c:ser>
          <c:idx val="3"/>
          <c:order val="3"/>
          <c:tx>
            <c:strRef>
              <c:f>'Cash Flow Statement'!$V$53</c:f>
              <c:strCache>
                <c:ptCount val="1"/>
                <c:pt idx="0">
                  <c:v>EVA</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Statement'!$T$61:$T$63</c:f>
              <c:numCache>
                <c:formatCode>General</c:formatCode>
                <c:ptCount val="3"/>
                <c:pt idx="0">
                  <c:v>2020</c:v>
                </c:pt>
                <c:pt idx="1">
                  <c:v>2021</c:v>
                </c:pt>
                <c:pt idx="2">
                  <c:v>2022</c:v>
                </c:pt>
              </c:numCache>
            </c:numRef>
          </c:cat>
          <c:val>
            <c:numRef>
              <c:f>'Cash Flow Statement'!$V$54:$V$56</c:f>
              <c:numCache>
                <c:formatCode>General</c:formatCode>
                <c:ptCount val="3"/>
                <c:pt idx="0">
                  <c:v>3.9</c:v>
                </c:pt>
                <c:pt idx="1">
                  <c:v>23.8</c:v>
                </c:pt>
                <c:pt idx="2">
                  <c:v>0.3</c:v>
                </c:pt>
              </c:numCache>
            </c:numRef>
          </c:val>
          <c:extLst>
            <c:ext xmlns:c16="http://schemas.microsoft.com/office/drawing/2014/chart" uri="{C3380CC4-5D6E-409C-BE32-E72D297353CC}">
              <c16:uniqueId val="{00000001-E4AB-C542-8B6B-CA1D60B6F15C}"/>
            </c:ext>
          </c:extLst>
        </c:ser>
        <c:dLbls>
          <c:showLegendKey val="0"/>
          <c:showVal val="0"/>
          <c:showCatName val="0"/>
          <c:showSerName val="0"/>
          <c:showPercent val="0"/>
          <c:showBubbleSize val="0"/>
        </c:dLbls>
        <c:gapWidth val="75"/>
        <c:overlap val="-3"/>
        <c:axId val="1968229935"/>
        <c:axId val="258119872"/>
      </c:barChart>
      <c:barChart>
        <c:barDir val="col"/>
        <c:grouping val="clustered"/>
        <c:varyColors val="0"/>
        <c:ser>
          <c:idx val="0"/>
          <c:order val="0"/>
          <c:tx>
            <c:strRef>
              <c:f>'Cash Flow Statement'!$U$53</c:f>
              <c:strCache>
                <c:ptCount val="1"/>
                <c:pt idx="0">
                  <c:v>MVA</c:v>
                </c:pt>
              </c:strCache>
            </c:strRef>
          </c:tx>
          <c:spPr>
            <a:solidFill>
              <a:schemeClr val="accent4">
                <a:lumMod val="75000"/>
              </a:schemeClr>
            </a:solidFill>
            <a:ln>
              <a:noFill/>
            </a:ln>
            <a:effectLst/>
          </c:spPr>
          <c:invertIfNegative val="0"/>
          <c:cat>
            <c:numRef>
              <c:f>'Cash Flow Statement'!$T$61:$T$63</c:f>
              <c:numCache>
                <c:formatCode>General</c:formatCode>
                <c:ptCount val="3"/>
                <c:pt idx="0">
                  <c:v>2020</c:v>
                </c:pt>
                <c:pt idx="1">
                  <c:v>2021</c:v>
                </c:pt>
                <c:pt idx="2">
                  <c:v>2022</c:v>
                </c:pt>
              </c:numCache>
            </c:numRef>
          </c:cat>
          <c:val>
            <c:numRef>
              <c:f>'Cash Flow Statement'!$U$61:$U$63</c:f>
              <c:numCache>
                <c:formatCode>_(* #,##0.0_);_(* \(#,##0.0\);_(* "-"??_);_(@_)</c:formatCode>
                <c:ptCount val="3"/>
                <c:pt idx="0">
                  <c:v>0</c:v>
                </c:pt>
                <c:pt idx="1">
                  <c:v>0</c:v>
                </c:pt>
                <c:pt idx="2">
                  <c:v>8.6999999999999993</c:v>
                </c:pt>
              </c:numCache>
            </c:numRef>
          </c:val>
          <c:extLst>
            <c:ext xmlns:c16="http://schemas.microsoft.com/office/drawing/2014/chart" uri="{C3380CC4-5D6E-409C-BE32-E72D297353CC}">
              <c16:uniqueId val="{00000002-E4AB-C542-8B6B-CA1D60B6F15C}"/>
            </c:ext>
          </c:extLst>
        </c:ser>
        <c:ser>
          <c:idx val="1"/>
          <c:order val="1"/>
          <c:tx>
            <c:strRef>
              <c:f>'Cash Flow Statement'!$V$53</c:f>
              <c:strCache>
                <c:ptCount val="1"/>
                <c:pt idx="0">
                  <c:v>EVA</c:v>
                </c:pt>
              </c:strCache>
            </c:strRef>
          </c:tx>
          <c:spPr>
            <a:solidFill>
              <a:schemeClr val="accent4">
                <a:lumMod val="60000"/>
                <a:lumOff val="40000"/>
              </a:schemeClr>
            </a:solidFill>
            <a:ln>
              <a:noFill/>
            </a:ln>
            <a:effectLst/>
          </c:spPr>
          <c:invertIfNegative val="0"/>
          <c:cat>
            <c:numRef>
              <c:f>'Cash Flow Statement'!$T$61:$T$63</c:f>
              <c:numCache>
                <c:formatCode>General</c:formatCode>
                <c:ptCount val="3"/>
                <c:pt idx="0">
                  <c:v>2020</c:v>
                </c:pt>
                <c:pt idx="1">
                  <c:v>2021</c:v>
                </c:pt>
                <c:pt idx="2">
                  <c:v>2022</c:v>
                </c:pt>
              </c:numCache>
            </c:numRef>
          </c:cat>
          <c:val>
            <c:numRef>
              <c:f>'Cash Flow Statement'!$V$61:$V$63</c:f>
              <c:numCache>
                <c:formatCode>_(* #,##0.0_);_(* \(#,##0.0\);_(* "-"??_);_(@_)</c:formatCode>
                <c:ptCount val="3"/>
                <c:pt idx="0">
                  <c:v>0</c:v>
                </c:pt>
                <c:pt idx="1">
                  <c:v>0</c:v>
                </c:pt>
                <c:pt idx="2">
                  <c:v>0.3</c:v>
                </c:pt>
              </c:numCache>
            </c:numRef>
          </c:val>
          <c:extLst>
            <c:ext xmlns:c16="http://schemas.microsoft.com/office/drawing/2014/chart" uri="{C3380CC4-5D6E-409C-BE32-E72D297353CC}">
              <c16:uniqueId val="{00000003-E4AB-C542-8B6B-CA1D60B6F15C}"/>
            </c:ext>
          </c:extLst>
        </c:ser>
        <c:dLbls>
          <c:showLegendKey val="0"/>
          <c:showVal val="0"/>
          <c:showCatName val="0"/>
          <c:showSerName val="0"/>
          <c:showPercent val="0"/>
          <c:showBubbleSize val="0"/>
        </c:dLbls>
        <c:gapWidth val="75"/>
        <c:overlap val="-3"/>
        <c:axId val="349690080"/>
        <c:axId val="349711456"/>
      </c:barChart>
      <c:catAx>
        <c:axId val="1968229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258119872"/>
        <c:crosses val="autoZero"/>
        <c:auto val="1"/>
        <c:lblAlgn val="ctr"/>
        <c:lblOffset val="100"/>
        <c:tickMarkSkip val="1"/>
        <c:noMultiLvlLbl val="0"/>
      </c:catAx>
      <c:valAx>
        <c:axId val="258119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r>
                  <a:rPr lang="en-US">
                    <a:solidFill>
                      <a:schemeClr val="bg1">
                        <a:lumMod val="75000"/>
                      </a:schemeClr>
                    </a:solidFill>
                  </a:rPr>
                  <a:t>TRILLION VNĐ</a:t>
                </a:r>
              </a:p>
            </c:rich>
          </c:tx>
          <c:layout>
            <c:manualLayout>
              <c:xMode val="edge"/>
              <c:yMode val="edge"/>
              <c:x val="3.3870911252258509E-2"/>
              <c:y val="0.1469891928397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VN"/>
            </a:p>
          </c:txPr>
        </c:title>
        <c:numFmt formatCode="General"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VN"/>
          </a:p>
        </c:txPr>
        <c:crossAx val="1968229935"/>
        <c:crosses val="autoZero"/>
        <c:crossBetween val="between"/>
        <c:majorUnit val="20"/>
      </c:valAx>
      <c:valAx>
        <c:axId val="349711456"/>
        <c:scaling>
          <c:orientation val="minMax"/>
        </c:scaling>
        <c:delete val="1"/>
        <c:axPos val="r"/>
        <c:numFmt formatCode="_(* #,##0.0_);_(* \(#,##0.0\);_(* &quot;-&quot;??_);_(@_)" sourceLinked="1"/>
        <c:majorTickMark val="out"/>
        <c:minorTickMark val="none"/>
        <c:tickLblPos val="nextTo"/>
        <c:crossAx val="349690080"/>
        <c:crosses val="max"/>
        <c:crossBetween val="between"/>
        <c:majorUnit val="20"/>
      </c:valAx>
      <c:catAx>
        <c:axId val="349690080"/>
        <c:scaling>
          <c:orientation val="minMax"/>
        </c:scaling>
        <c:delete val="1"/>
        <c:axPos val="b"/>
        <c:numFmt formatCode="General" sourceLinked="1"/>
        <c:majorTickMark val="out"/>
        <c:minorTickMark val="none"/>
        <c:tickLblPos val="nextTo"/>
        <c:crossAx val="3497114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Ratio</a:t>
            </a:r>
            <a:r>
              <a:rPr lang="en-US" b="1" baseline="0">
                <a:solidFill>
                  <a:schemeClr val="tx1">
                    <a:lumMod val="65000"/>
                    <a:lumOff val="35000"/>
                  </a:schemeClr>
                </a:solidFill>
              </a:rPr>
              <a:t> analysis</a:t>
            </a:r>
            <a:endParaRPr lang="en-US" b="1">
              <a:solidFill>
                <a:schemeClr val="tx1">
                  <a:lumMod val="65000"/>
                  <a:lumOff val="35000"/>
                </a:schemeClr>
              </a:solidFill>
            </a:endParaRPr>
          </a:p>
        </c:rich>
      </c:tx>
      <c:layout>
        <c:manualLayout>
          <c:xMode val="edge"/>
          <c:yMode val="edge"/>
          <c:x val="7.1395466977900557E-2"/>
          <c:y val="6.53446035353667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4.3032448100282748E-2"/>
          <c:y val="0.23243248632729135"/>
          <c:w val="0.91420844585012428"/>
          <c:h val="0.69965890153451593"/>
        </c:manualLayout>
      </c:layout>
      <c:barChart>
        <c:barDir val="col"/>
        <c:grouping val="clustered"/>
        <c:varyColors val="0"/>
        <c:ser>
          <c:idx val="0"/>
          <c:order val="0"/>
          <c:tx>
            <c:strRef>
              <c:f>FR!$J$4</c:f>
              <c:strCache>
                <c:ptCount val="1"/>
                <c:pt idx="0">
                  <c:v>HPG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FR!$G$5:$G$61</c:f>
              <c:numCache>
                <c:formatCode>General</c:formatCode>
                <c:ptCount val="3"/>
                <c:pt idx="0">
                  <c:v>2020</c:v>
                </c:pt>
                <c:pt idx="1">
                  <c:v>2021</c:v>
                </c:pt>
                <c:pt idx="2">
                  <c:v>2022</c:v>
                </c:pt>
              </c:numCache>
            </c:numRef>
          </c:cat>
          <c:val>
            <c:numRef>
              <c:f>FR!$J$5:$J$61</c:f>
              <c:numCache>
                <c:formatCode>0.00</c:formatCode>
                <c:ptCount val="3"/>
                <c:pt idx="0">
                  <c:v>0.77</c:v>
                </c:pt>
                <c:pt idx="1">
                  <c:v>0.97</c:v>
                </c:pt>
                <c:pt idx="2">
                  <c:v>0.81</c:v>
                </c:pt>
              </c:numCache>
            </c:numRef>
          </c:val>
          <c:extLst>
            <c:ext xmlns:c16="http://schemas.microsoft.com/office/drawing/2014/chart" uri="{C3380CC4-5D6E-409C-BE32-E72D297353CC}">
              <c16:uniqueId val="{00000000-4289-184A-A743-A6D6080EAB9C}"/>
            </c:ext>
          </c:extLst>
        </c:ser>
        <c:ser>
          <c:idx val="1"/>
          <c:order val="1"/>
          <c:tx>
            <c:strRef>
              <c:f>FR!$K$4</c:f>
              <c:strCache>
                <c:ptCount val="1"/>
                <c:pt idx="0">
                  <c:v>Market Average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FR!$G$5:$G$61</c:f>
              <c:numCache>
                <c:formatCode>General</c:formatCode>
                <c:ptCount val="3"/>
                <c:pt idx="0">
                  <c:v>2020</c:v>
                </c:pt>
                <c:pt idx="1">
                  <c:v>2021</c:v>
                </c:pt>
                <c:pt idx="2">
                  <c:v>2022</c:v>
                </c:pt>
              </c:numCache>
            </c:numRef>
          </c:cat>
          <c:val>
            <c:numRef>
              <c:f>FR!$K$5:$K$61</c:f>
              <c:numCache>
                <c:formatCode>0.00</c:formatCode>
                <c:ptCount val="3"/>
                <c:pt idx="0">
                  <c:v>0.97102695709999998</c:v>
                </c:pt>
                <c:pt idx="1">
                  <c:v>1.2623968669000001</c:v>
                </c:pt>
                <c:pt idx="2">
                  <c:v>1.0189066523000001</c:v>
                </c:pt>
              </c:numCache>
            </c:numRef>
          </c:val>
          <c:extLst>
            <c:ext xmlns:c16="http://schemas.microsoft.com/office/drawing/2014/chart" uri="{C3380CC4-5D6E-409C-BE32-E72D297353CC}">
              <c16:uniqueId val="{00000001-4289-184A-A743-A6D6080EAB9C}"/>
            </c:ext>
          </c:extLst>
        </c:ser>
        <c:dLbls>
          <c:dLblPos val="outEnd"/>
          <c:showLegendKey val="0"/>
          <c:showVal val="1"/>
          <c:showCatName val="0"/>
          <c:showSerName val="0"/>
          <c:showPercent val="0"/>
          <c:showBubbleSize val="0"/>
        </c:dLbls>
        <c:gapWidth val="219"/>
        <c:overlap val="-27"/>
        <c:axId val="899874304"/>
        <c:axId val="899876576"/>
      </c:barChart>
      <c:catAx>
        <c:axId val="89987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899876576"/>
        <c:crosses val="autoZero"/>
        <c:auto val="1"/>
        <c:lblAlgn val="ctr"/>
        <c:lblOffset val="100"/>
        <c:noMultiLvlLbl val="0"/>
      </c:catAx>
      <c:valAx>
        <c:axId val="899876576"/>
        <c:scaling>
          <c:orientation val="minMax"/>
        </c:scaling>
        <c:delete val="1"/>
        <c:axPos val="l"/>
        <c:numFmt formatCode="0.00" sourceLinked="0"/>
        <c:majorTickMark val="none"/>
        <c:minorTickMark val="none"/>
        <c:tickLblPos val="nextTo"/>
        <c:crossAx val="899874304"/>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VN"/>
          </a:p>
        </c:txPr>
      </c:legendEntry>
      <c:legendEntry>
        <c:idx val="1"/>
        <c:txPr>
          <a:bodyPr rot="0" spcFirstLastPara="1" vertOverflow="ellipsis" vert="horz" wrap="square" anchor="ctr" anchorCtr="1"/>
          <a:lstStyle/>
          <a:p>
            <a:pPr>
              <a:defRPr sz="1000" b="1" i="0" u="none" strike="noStrike" kern="1200" baseline="0">
                <a:solidFill>
                  <a:schemeClr val="bg1">
                    <a:lumMod val="65000"/>
                  </a:schemeClr>
                </a:solidFill>
                <a:latin typeface="+mn-lt"/>
                <a:ea typeface="+mn-ea"/>
                <a:cs typeface="+mn-cs"/>
              </a:defRPr>
            </a:pPr>
            <a:endParaRPr lang="en-VN"/>
          </a:p>
        </c:txPr>
      </c:legendEntry>
      <c:layout>
        <c:manualLayout>
          <c:xMode val="edge"/>
          <c:yMode val="edge"/>
          <c:x val="2.7764015704158016E-2"/>
          <c:y val="0.13383515264198181"/>
          <c:w val="0.32402358570190432"/>
          <c:h val="6.20254418142433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'Balance Sheet'!$AQ$56</c:f>
              <c:strCache>
                <c:ptCount val="1"/>
                <c:pt idx="0">
                  <c:v>Current Asset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Sheet'!$AP$58</c:f>
              <c:numCache>
                <c:formatCode>General</c:formatCode>
                <c:ptCount val="1"/>
                <c:pt idx="0">
                  <c:v>2022</c:v>
                </c:pt>
              </c:numCache>
            </c:numRef>
          </c:cat>
          <c:val>
            <c:numRef>
              <c:f>'Balance Sheet'!$AQ$58</c:f>
              <c:numCache>
                <c:formatCode>General</c:formatCode>
                <c:ptCount val="1"/>
                <c:pt idx="0">
                  <c:v>80.510000000000005</c:v>
                </c:pt>
              </c:numCache>
            </c:numRef>
          </c:val>
          <c:extLst>
            <c:ext xmlns:c16="http://schemas.microsoft.com/office/drawing/2014/chart" uri="{C3380CC4-5D6E-409C-BE32-E72D297353CC}">
              <c16:uniqueId val="{00000000-043E-E244-B98A-D02E7DFB19C7}"/>
            </c:ext>
          </c:extLst>
        </c:ser>
        <c:ser>
          <c:idx val="0"/>
          <c:order val="1"/>
          <c:tx>
            <c:v>2021</c:v>
          </c:tx>
          <c:spPr>
            <a:pattFill prst="pct10">
              <a:fgClr>
                <a:schemeClr val="accent1">
                  <a:lumMod val="75000"/>
                </a:schemeClr>
              </a:fgClr>
              <a:bgClr>
                <a:schemeClr val="bg1"/>
              </a:bgClr>
            </a:pattFill>
            <a:ln>
              <a:noFill/>
            </a:ln>
            <a:effectLst/>
          </c:spPr>
          <c:invertIfNegative val="0"/>
          <c:dLbls>
            <c:dLbl>
              <c:idx val="0"/>
              <c:layout>
                <c:manualLayout>
                  <c:x val="-3.6528817188859301E-2"/>
                  <c:y val="-0.34927283704137624"/>
                </c:manualLayout>
              </c:layout>
              <c:tx>
                <c:rich>
                  <a:bodyPr/>
                  <a:lstStyle/>
                  <a:p>
                    <a:r>
                      <a:rPr lang="en-US"/>
                      <a:t>2021  94,15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43E-E244-B98A-D02E7DFB19C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Sheet'!$AP$58</c:f>
              <c:numCache>
                <c:formatCode>General</c:formatCode>
                <c:ptCount val="1"/>
                <c:pt idx="0">
                  <c:v>2022</c:v>
                </c:pt>
              </c:numCache>
            </c:numRef>
          </c:cat>
          <c:val>
            <c:numRef>
              <c:f>'Balance Sheet'!$AQ$57</c:f>
              <c:numCache>
                <c:formatCode>General</c:formatCode>
                <c:ptCount val="1"/>
                <c:pt idx="0">
                  <c:v>13.64</c:v>
                </c:pt>
              </c:numCache>
            </c:numRef>
          </c:val>
          <c:extLst>
            <c:ext xmlns:c16="http://schemas.microsoft.com/office/drawing/2014/chart" uri="{C3380CC4-5D6E-409C-BE32-E72D297353CC}">
              <c16:uniqueId val="{00000002-043E-E244-B98A-D02E7DFB19C7}"/>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solidFill>
              </a:rPr>
              <a:t>ROE</a:t>
            </a:r>
            <a:r>
              <a:rPr lang="en-US" b="1" baseline="0">
                <a:solidFill>
                  <a:schemeClr val="accent3"/>
                </a:solidFill>
              </a:rPr>
              <a:t> of </a:t>
            </a:r>
            <a:r>
              <a:rPr lang="en-US" b="1" baseline="0">
                <a:solidFill>
                  <a:schemeClr val="accent1">
                    <a:lumMod val="50000"/>
                  </a:schemeClr>
                </a:solidFill>
              </a:rPr>
              <a:t>HPG </a:t>
            </a:r>
            <a:r>
              <a:rPr lang="en-US" b="1" baseline="0">
                <a:solidFill>
                  <a:schemeClr val="accent3"/>
                </a:solidFill>
              </a:rPr>
              <a:t>and </a:t>
            </a:r>
            <a:r>
              <a:rPr lang="en-US" b="1" baseline="0">
                <a:solidFill>
                  <a:schemeClr val="accent1">
                    <a:lumMod val="40000"/>
                    <a:lumOff val="60000"/>
                  </a:schemeClr>
                </a:solidFill>
              </a:rPr>
              <a:t>Market</a:t>
            </a:r>
            <a:endParaRPr lang="en-US" b="1">
              <a:solidFill>
                <a:schemeClr val="accent1">
                  <a:lumMod val="40000"/>
                  <a:lumOff val="60000"/>
                </a:schemeClr>
              </a:solidFill>
            </a:endParaRPr>
          </a:p>
        </c:rich>
      </c:tx>
      <c:layout>
        <c:manualLayout>
          <c:xMode val="edge"/>
          <c:yMode val="edge"/>
          <c:x val="1.5202037742810325E-2"/>
          <c:y val="9.94971988500393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18682801193108739"/>
          <c:y val="0.23110580747812251"/>
          <c:w val="0.74634621974776294"/>
          <c:h val="0.67457544835535177"/>
        </c:manualLayout>
      </c:layout>
      <c:barChart>
        <c:barDir val="col"/>
        <c:grouping val="clustered"/>
        <c:varyColors val="0"/>
        <c:ser>
          <c:idx val="2"/>
          <c:order val="2"/>
          <c:tx>
            <c:strRef>
              <c:f>FR!$B$77</c:f>
              <c:strCache>
                <c:ptCount val="1"/>
                <c:pt idx="0">
                  <c:v>Sum of HPG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FR!$A$83:$A$85</c:f>
              <c:numCache>
                <c:formatCode>General</c:formatCode>
                <c:ptCount val="3"/>
                <c:pt idx="0">
                  <c:v>2020</c:v>
                </c:pt>
                <c:pt idx="1">
                  <c:v>2021</c:v>
                </c:pt>
                <c:pt idx="2">
                  <c:v>2022</c:v>
                </c:pt>
              </c:numCache>
            </c:numRef>
          </c:cat>
          <c:val>
            <c:numRef>
              <c:f>FR!$B$78:$B$80</c:f>
              <c:numCache>
                <c:formatCode>0%</c:formatCode>
                <c:ptCount val="3"/>
                <c:pt idx="0">
                  <c:v>0.22806843623333498</c:v>
                </c:pt>
                <c:pt idx="1">
                  <c:v>0.38026786813611585</c:v>
                </c:pt>
                <c:pt idx="2">
                  <c:v>8.7859440032456507E-2</c:v>
                </c:pt>
              </c:numCache>
            </c:numRef>
          </c:val>
          <c:extLst>
            <c:ext xmlns:c16="http://schemas.microsoft.com/office/drawing/2014/chart" uri="{C3380CC4-5D6E-409C-BE32-E72D297353CC}">
              <c16:uniqueId val="{00000000-D5AD-5F44-9313-183AF7F7D86D}"/>
            </c:ext>
          </c:extLst>
        </c:ser>
        <c:ser>
          <c:idx val="3"/>
          <c:order val="3"/>
          <c:tx>
            <c:strRef>
              <c:f>FR!$C$77</c:f>
              <c:strCache>
                <c:ptCount val="1"/>
                <c:pt idx="0">
                  <c:v>Sum of Market</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FR!$A$83:$A$85</c:f>
              <c:numCache>
                <c:formatCode>General</c:formatCode>
                <c:ptCount val="3"/>
                <c:pt idx="0">
                  <c:v>2020</c:v>
                </c:pt>
                <c:pt idx="1">
                  <c:v>2021</c:v>
                </c:pt>
                <c:pt idx="2">
                  <c:v>2022</c:v>
                </c:pt>
              </c:numCache>
            </c:numRef>
          </c:cat>
          <c:val>
            <c:numRef>
              <c:f>FR!$C$78:$C$80</c:f>
              <c:numCache>
                <c:formatCode>0%</c:formatCode>
                <c:ptCount val="3"/>
                <c:pt idx="0">
                  <c:v>0.21906932109999999</c:v>
                </c:pt>
                <c:pt idx="1">
                  <c:v>0.41649280840000003</c:v>
                </c:pt>
                <c:pt idx="2">
                  <c:v>6.2999128599999996E-2</c:v>
                </c:pt>
              </c:numCache>
            </c:numRef>
          </c:val>
          <c:extLst>
            <c:ext xmlns:c16="http://schemas.microsoft.com/office/drawing/2014/chart" uri="{C3380CC4-5D6E-409C-BE32-E72D297353CC}">
              <c16:uniqueId val="{00000001-D5AD-5F44-9313-183AF7F7D86D}"/>
            </c:ext>
          </c:extLst>
        </c:ser>
        <c:dLbls>
          <c:showLegendKey val="0"/>
          <c:showVal val="0"/>
          <c:showCatName val="0"/>
          <c:showSerName val="0"/>
          <c:showPercent val="0"/>
          <c:showBubbleSize val="0"/>
        </c:dLbls>
        <c:gapWidth val="219"/>
        <c:overlap val="-27"/>
        <c:axId val="902113984"/>
        <c:axId val="902116256"/>
      </c:barChart>
      <c:barChart>
        <c:barDir val="col"/>
        <c:grouping val="clustered"/>
        <c:varyColors val="0"/>
        <c:ser>
          <c:idx val="0"/>
          <c:order val="0"/>
          <c:tx>
            <c:strRef>
              <c:f>FR!$B$77</c:f>
              <c:strCache>
                <c:ptCount val="1"/>
                <c:pt idx="0">
                  <c:v>Sum of HPG</c:v>
                </c:pt>
              </c:strCache>
            </c:strRef>
          </c:tx>
          <c:spPr>
            <a:solidFill>
              <a:schemeClr val="accent1">
                <a:lumMod val="50000"/>
              </a:schemeClr>
            </a:solidFill>
            <a:ln>
              <a:noFill/>
            </a:ln>
            <a:effectLst/>
          </c:spPr>
          <c:invertIfNegative val="0"/>
          <c:cat>
            <c:numRef>
              <c:f>FR!$A$83:$A$85</c:f>
              <c:numCache>
                <c:formatCode>General</c:formatCode>
                <c:ptCount val="3"/>
                <c:pt idx="0">
                  <c:v>2020</c:v>
                </c:pt>
                <c:pt idx="1">
                  <c:v>2021</c:v>
                </c:pt>
                <c:pt idx="2">
                  <c:v>2022</c:v>
                </c:pt>
              </c:numCache>
            </c:numRef>
          </c:cat>
          <c:val>
            <c:numRef>
              <c:f>FR!$B$83:$B$85</c:f>
              <c:numCache>
                <c:formatCode>_(* #,##0%_);_(* \(#,##0%\);_(* "-"??_);_(@_)</c:formatCode>
                <c:ptCount val="3"/>
                <c:pt idx="0">
                  <c:v>0.22806843623333498</c:v>
                </c:pt>
                <c:pt idx="1">
                  <c:v>0</c:v>
                </c:pt>
                <c:pt idx="2">
                  <c:v>0</c:v>
                </c:pt>
              </c:numCache>
            </c:numRef>
          </c:val>
          <c:extLst>
            <c:ext xmlns:c16="http://schemas.microsoft.com/office/drawing/2014/chart" uri="{C3380CC4-5D6E-409C-BE32-E72D297353CC}">
              <c16:uniqueId val="{00000002-D5AD-5F44-9313-183AF7F7D86D}"/>
            </c:ext>
          </c:extLst>
        </c:ser>
        <c:ser>
          <c:idx val="1"/>
          <c:order val="1"/>
          <c:tx>
            <c:strRef>
              <c:f>FR!$C$77</c:f>
              <c:strCache>
                <c:ptCount val="1"/>
                <c:pt idx="0">
                  <c:v>Sum of Market</c:v>
                </c:pt>
              </c:strCache>
            </c:strRef>
          </c:tx>
          <c:spPr>
            <a:solidFill>
              <a:schemeClr val="accent1">
                <a:lumMod val="40000"/>
                <a:lumOff val="60000"/>
              </a:schemeClr>
            </a:solidFill>
            <a:ln>
              <a:noFill/>
            </a:ln>
            <a:effectLst/>
          </c:spPr>
          <c:invertIfNegative val="0"/>
          <c:cat>
            <c:numRef>
              <c:f>FR!$A$83:$A$85</c:f>
              <c:numCache>
                <c:formatCode>General</c:formatCode>
                <c:ptCount val="3"/>
                <c:pt idx="0">
                  <c:v>2020</c:v>
                </c:pt>
                <c:pt idx="1">
                  <c:v>2021</c:v>
                </c:pt>
                <c:pt idx="2">
                  <c:v>2022</c:v>
                </c:pt>
              </c:numCache>
            </c:numRef>
          </c:cat>
          <c:val>
            <c:numRef>
              <c:f>FR!$C$83:$C$85</c:f>
              <c:numCache>
                <c:formatCode>_(* #,##0%_);_(* \(#,##0%\);_(* "-"??_);_(@_)</c:formatCode>
                <c:ptCount val="3"/>
                <c:pt idx="0">
                  <c:v>0.21906932109999999</c:v>
                </c:pt>
                <c:pt idx="1">
                  <c:v>0</c:v>
                </c:pt>
                <c:pt idx="2">
                  <c:v>0</c:v>
                </c:pt>
              </c:numCache>
            </c:numRef>
          </c:val>
          <c:extLst>
            <c:ext xmlns:c16="http://schemas.microsoft.com/office/drawing/2014/chart" uri="{C3380CC4-5D6E-409C-BE32-E72D297353CC}">
              <c16:uniqueId val="{00000003-D5AD-5F44-9313-183AF7F7D86D}"/>
            </c:ext>
          </c:extLst>
        </c:ser>
        <c:dLbls>
          <c:showLegendKey val="0"/>
          <c:showVal val="0"/>
          <c:showCatName val="0"/>
          <c:showSerName val="0"/>
          <c:showPercent val="0"/>
          <c:showBubbleSize val="0"/>
        </c:dLbls>
        <c:gapWidth val="219"/>
        <c:overlap val="-27"/>
        <c:axId val="902147808"/>
        <c:axId val="902158464"/>
      </c:barChart>
      <c:catAx>
        <c:axId val="90211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902116256"/>
        <c:crosses val="autoZero"/>
        <c:auto val="1"/>
        <c:lblAlgn val="ctr"/>
        <c:lblOffset val="100"/>
        <c:noMultiLvlLbl val="0"/>
      </c:catAx>
      <c:valAx>
        <c:axId val="902116256"/>
        <c:scaling>
          <c:orientation val="minMax"/>
        </c:scaling>
        <c:delete val="0"/>
        <c:axPos val="l"/>
        <c:numFmt formatCode="0%" sourceLinked="1"/>
        <c:majorTickMark val="none"/>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902113984"/>
        <c:crosses val="autoZero"/>
        <c:crossBetween val="between"/>
        <c:majorUnit val="0.15"/>
      </c:valAx>
      <c:valAx>
        <c:axId val="902158464"/>
        <c:scaling>
          <c:orientation val="minMax"/>
          <c:max val="0.45"/>
        </c:scaling>
        <c:delete val="1"/>
        <c:axPos val="r"/>
        <c:numFmt formatCode="_(* #,##0%_);_(* \(#,##0%\);_(* &quot;-&quot;??_);_(@_)" sourceLinked="1"/>
        <c:majorTickMark val="out"/>
        <c:minorTickMark val="none"/>
        <c:tickLblPos val="nextTo"/>
        <c:crossAx val="902147808"/>
        <c:crosses val="max"/>
        <c:crossBetween val="between"/>
        <c:majorUnit val="0.15"/>
        <c:minorUnit val="0.01"/>
      </c:valAx>
      <c:catAx>
        <c:axId val="902147808"/>
        <c:scaling>
          <c:orientation val="minMax"/>
        </c:scaling>
        <c:delete val="1"/>
        <c:axPos val="b"/>
        <c:numFmt formatCode="General" sourceLinked="1"/>
        <c:majorTickMark val="out"/>
        <c:minorTickMark val="none"/>
        <c:tickLblPos val="nextTo"/>
        <c:crossAx val="9021584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accent3"/>
                </a:solidFill>
                <a:latin typeface="+mn-lt"/>
                <a:ea typeface="+mn-ea"/>
                <a:cs typeface="+mn-cs"/>
              </a:defRPr>
            </a:pPr>
            <a:r>
              <a:rPr lang="en-US" sz="1200" b="1">
                <a:solidFill>
                  <a:schemeClr val="accent3"/>
                </a:solidFill>
              </a:rPr>
              <a:t>DUPONT</a:t>
            </a:r>
            <a:r>
              <a:rPr lang="en-US" sz="1200" b="1" baseline="0">
                <a:solidFill>
                  <a:schemeClr val="accent3"/>
                </a:solidFill>
              </a:rPr>
              <a:t> equation</a:t>
            </a:r>
            <a:r>
              <a:rPr lang="en-US" sz="1200" b="1">
                <a:solidFill>
                  <a:schemeClr val="accent3"/>
                </a:solidFill>
              </a:rPr>
              <a:t> </a:t>
            </a:r>
          </a:p>
        </c:rich>
      </c:tx>
      <c:layout>
        <c:manualLayout>
          <c:xMode val="edge"/>
          <c:yMode val="edge"/>
          <c:x val="3.7543085142598985E-2"/>
          <c:y val="4.128866982182915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3"/>
              </a:solidFill>
              <a:latin typeface="+mn-lt"/>
              <a:ea typeface="+mn-ea"/>
              <a:cs typeface="+mn-cs"/>
            </a:defRPr>
          </a:pPr>
          <a:endParaRPr lang="en-VN"/>
        </a:p>
      </c:txPr>
    </c:title>
    <c:autoTitleDeleted val="0"/>
    <c:plotArea>
      <c:layout>
        <c:manualLayout>
          <c:layoutTarget val="inner"/>
          <c:xMode val="edge"/>
          <c:yMode val="edge"/>
          <c:x val="0.35097515435732818"/>
          <c:y val="0.16393149583021085"/>
          <c:w val="0.55557895795634937"/>
          <c:h val="0.7320772655433061"/>
        </c:manualLayout>
      </c:layout>
      <c:lineChart>
        <c:grouping val="standard"/>
        <c:varyColors val="0"/>
        <c:ser>
          <c:idx val="5"/>
          <c:order val="0"/>
          <c:tx>
            <c:strRef>
              <c:f>FR!$K$99</c:f>
              <c:strCache>
                <c:ptCount val="1"/>
                <c:pt idx="0">
                  <c:v>Equity Multiplier</c:v>
                </c:pt>
              </c:strCache>
            </c:strRef>
          </c:tx>
          <c:spPr>
            <a:ln w="28575" cap="rnd">
              <a:solidFill>
                <a:srgbClr val="EC0202"/>
              </a:solidFill>
              <a:round/>
            </a:ln>
            <a:effectLst/>
          </c:spPr>
          <c:marker>
            <c:symbol val="circle"/>
            <c:size val="5"/>
            <c:spPr>
              <a:solidFill>
                <a:srgbClr val="EC0202"/>
              </a:solidFill>
              <a:ln w="9525">
                <a:solidFill>
                  <a:srgbClr val="EC0202"/>
                </a:solidFill>
              </a:ln>
              <a:effectLst/>
            </c:spPr>
          </c:marker>
          <c:dPt>
            <c:idx val="1"/>
            <c:marker>
              <c:symbol val="circle"/>
              <c:size val="5"/>
              <c:spPr>
                <a:solidFill>
                  <a:srgbClr val="EC0202"/>
                </a:solidFill>
                <a:ln w="9525">
                  <a:solidFill>
                    <a:srgbClr val="EC0202"/>
                  </a:solidFill>
                </a:ln>
                <a:effectLst/>
              </c:spPr>
            </c:marker>
            <c:bubble3D val="0"/>
            <c:extLst>
              <c:ext xmlns:c16="http://schemas.microsoft.com/office/drawing/2014/chart" uri="{C3380CC4-5D6E-409C-BE32-E72D297353CC}">
                <c16:uniqueId val="{00000000-45AE-2E43-AE82-B10068F7F23D}"/>
              </c:ext>
            </c:extLst>
          </c:dPt>
          <c:dLbls>
            <c:dLbl>
              <c:idx val="0"/>
              <c:layout>
                <c:manualLayout>
                  <c:x val="-0.30440147603862455"/>
                  <c:y val="-4.4994534241772147E-3"/>
                </c:manualLayout>
              </c:layout>
              <c:tx>
                <c:rich>
                  <a:bodyPr/>
                  <a:lstStyle/>
                  <a:p>
                    <a:fld id="{E43702F3-C03B-A94F-8441-A40279267709}" type="SERIESNAME">
                      <a:rPr lang="en-US" sz="1000" b="1"/>
                      <a:pPr/>
                      <a:t>[SERIES NAME]</a:t>
                    </a:fld>
                    <a:r>
                      <a:rPr lang="en-US" sz="1000" b="1" baseline="0"/>
                      <a:t> </a:t>
                    </a:r>
                    <a:fld id="{46CDE51F-9C76-0644-ACE0-CE75662B313D}" type="VALUE">
                      <a:rPr lang="en-US" sz="1000" b="1" baseline="0"/>
                      <a:pPr/>
                      <a:t>[VALUE]</a:t>
                    </a:fld>
                    <a:endParaRPr lang="en-US" sz="1000" b="1" baseline="0"/>
                  </a:p>
                </c:rich>
              </c:tx>
              <c:dLblPos val="r"/>
              <c:showLegendKey val="0"/>
              <c:showVal val="1"/>
              <c:showCatName val="0"/>
              <c:showSerName val="1"/>
              <c:showPercent val="0"/>
              <c:showBubbleSize val="0"/>
              <c:separator> </c:separator>
              <c:extLst>
                <c:ext xmlns:c15="http://schemas.microsoft.com/office/drawing/2012/chart" uri="{CE6537A1-D6FC-4f65-9D91-7224C49458BB}">
                  <c15:layout>
                    <c:manualLayout>
                      <c:w val="0.2948512737676397"/>
                      <c:h val="0.10500752830850252"/>
                    </c:manualLayout>
                  </c15:layout>
                  <c15:dlblFieldTable/>
                  <c15:showDataLabelsRange val="0"/>
                </c:ext>
                <c:ext xmlns:c16="http://schemas.microsoft.com/office/drawing/2014/chart" uri="{C3380CC4-5D6E-409C-BE32-E72D297353CC}">
                  <c16:uniqueId val="{00000001-45AE-2E43-AE82-B10068F7F23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C0202"/>
                      </a:solidFill>
                      <a:latin typeface="+mn-lt"/>
                      <a:ea typeface="+mn-ea"/>
                      <a:cs typeface="+mn-cs"/>
                    </a:defRPr>
                  </a:pPr>
                  <a:endParaRPr lang="en-VN"/>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5AE-2E43-AE82-B10068F7F23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C0202"/>
                      </a:solidFill>
                      <a:latin typeface="+mn-lt"/>
                      <a:ea typeface="+mn-ea"/>
                      <a:cs typeface="+mn-cs"/>
                    </a:defRPr>
                  </a:pPr>
                  <a:endParaRPr lang="en-VN"/>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AE-2E43-AE82-B10068F7F23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EC0202"/>
                    </a:solidFill>
                    <a:latin typeface="+mn-lt"/>
                    <a:ea typeface="+mn-ea"/>
                    <a:cs typeface="+mn-cs"/>
                  </a:defRPr>
                </a:pPr>
                <a:endParaRPr lang="en-VN"/>
              </a:p>
            </c:txPr>
            <c:dLblPos val="l"/>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noFill/>
                      <a:round/>
                    </a:ln>
                    <a:effectLst/>
                  </c:spPr>
                </c15:leaderLines>
              </c:ext>
            </c:extLst>
          </c:dLbls>
          <c:cat>
            <c:numRef>
              <c:f>FR!$J$100:$J$102</c:f>
              <c:numCache>
                <c:formatCode>General</c:formatCode>
                <c:ptCount val="3"/>
                <c:pt idx="0">
                  <c:v>2020</c:v>
                </c:pt>
                <c:pt idx="1">
                  <c:v>2021</c:v>
                </c:pt>
                <c:pt idx="2">
                  <c:v>2022</c:v>
                </c:pt>
              </c:numCache>
            </c:numRef>
          </c:cat>
          <c:val>
            <c:numRef>
              <c:f>FR!$K$100:$K$102</c:f>
              <c:numCache>
                <c:formatCode>0.00</c:formatCode>
                <c:ptCount val="3"/>
                <c:pt idx="0">
                  <c:v>2.2207347002072191</c:v>
                </c:pt>
                <c:pt idx="1">
                  <c:v>1.9633751293748241</c:v>
                </c:pt>
                <c:pt idx="2">
                  <c:v>1.7722433648274418</c:v>
                </c:pt>
              </c:numCache>
            </c:numRef>
          </c:val>
          <c:smooth val="0"/>
          <c:extLst>
            <c:ext xmlns:c16="http://schemas.microsoft.com/office/drawing/2014/chart" uri="{C3380CC4-5D6E-409C-BE32-E72D297353CC}">
              <c16:uniqueId val="{00000003-45AE-2E43-AE82-B10068F7F23D}"/>
            </c:ext>
          </c:extLst>
        </c:ser>
        <c:ser>
          <c:idx val="0"/>
          <c:order val="1"/>
          <c:tx>
            <c:strRef>
              <c:f>FR!$L$99</c:f>
              <c:strCache>
                <c:ptCount val="1"/>
                <c:pt idx="0">
                  <c:v>Net Profit Margin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none"/>
            </c:marker>
            <c:bubble3D val="0"/>
            <c:extLst>
              <c:ext xmlns:c16="http://schemas.microsoft.com/office/drawing/2014/chart" uri="{C3380CC4-5D6E-409C-BE32-E72D297353CC}">
                <c16:uniqueId val="{00000004-45AE-2E43-AE82-B10068F7F23D}"/>
              </c:ext>
            </c:extLst>
          </c:dPt>
          <c:dLbls>
            <c:dLbl>
              <c:idx val="0"/>
              <c:layout>
                <c:manualLayout>
                  <c:x val="-0.28026560752311996"/>
                  <c:y val="-3.8157180081424559E-5"/>
                </c:manualLayout>
              </c:layout>
              <c:dLblPos val="r"/>
              <c:showLegendKey val="0"/>
              <c:showVal val="1"/>
              <c:showCatName val="0"/>
              <c:showSerName val="1"/>
              <c:showPercent val="0"/>
              <c:showBubbleSize val="0"/>
              <c:separator> </c:separator>
              <c:extLst>
                <c:ext xmlns:c15="http://schemas.microsoft.com/office/drawing/2012/chart" uri="{CE6537A1-D6FC-4f65-9D91-7224C49458BB}">
                  <c15:layout>
                    <c:manualLayout>
                      <c:w val="0.27352147340632016"/>
                      <c:h val="9.4000041251005487E-2"/>
                    </c:manualLayout>
                  </c15:layout>
                </c:ext>
                <c:ext xmlns:c16="http://schemas.microsoft.com/office/drawing/2014/chart" uri="{C3380CC4-5D6E-409C-BE32-E72D297353CC}">
                  <c16:uniqueId val="{00000005-45AE-2E43-AE82-B10068F7F23D}"/>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AE-2E43-AE82-B10068F7F23D}"/>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AE-2E43-AE82-B10068F7F23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noFill/>
                      <a:round/>
                    </a:ln>
                    <a:effectLst/>
                  </c:spPr>
                </c15:leaderLines>
              </c:ext>
            </c:extLst>
          </c:dLbls>
          <c:cat>
            <c:numRef>
              <c:f>FR!$J$100:$J$102</c:f>
              <c:numCache>
                <c:formatCode>General</c:formatCode>
                <c:ptCount val="3"/>
                <c:pt idx="0">
                  <c:v>2020</c:v>
                </c:pt>
                <c:pt idx="1">
                  <c:v>2021</c:v>
                </c:pt>
                <c:pt idx="2">
                  <c:v>2022</c:v>
                </c:pt>
              </c:numCache>
            </c:numRef>
          </c:cat>
          <c:val>
            <c:numRef>
              <c:f>FR!$L$100:$L$102</c:f>
              <c:numCache>
                <c:formatCode>0.00</c:formatCode>
                <c:ptCount val="3"/>
                <c:pt idx="0">
                  <c:v>0.14987115346284027</c:v>
                </c:pt>
                <c:pt idx="1">
                  <c:v>0.23063203747187047</c:v>
                </c:pt>
                <c:pt idx="2">
                  <c:v>5.9716232098106892E-2</c:v>
                </c:pt>
              </c:numCache>
            </c:numRef>
          </c:val>
          <c:smooth val="0"/>
          <c:extLst>
            <c:ext xmlns:c16="http://schemas.microsoft.com/office/drawing/2014/chart" uri="{C3380CC4-5D6E-409C-BE32-E72D297353CC}">
              <c16:uniqueId val="{00000007-45AE-2E43-AE82-B10068F7F23D}"/>
            </c:ext>
          </c:extLst>
        </c:ser>
        <c:ser>
          <c:idx val="1"/>
          <c:order val="2"/>
          <c:tx>
            <c:strRef>
              <c:f>FR!$M$99</c:f>
              <c:strCache>
                <c:ptCount val="1"/>
                <c:pt idx="0">
                  <c:v>Total Asset Turnover</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1"/>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8-45AE-2E43-AE82-B10068F7F23D}"/>
              </c:ext>
            </c:extLst>
          </c:dPt>
          <c:dLbls>
            <c:dLbl>
              <c:idx val="0"/>
              <c:layout>
                <c:manualLayout>
                  <c:x val="-0.35322658492738424"/>
                  <c:y val="-4.365559535513678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VN"/>
                </a:p>
              </c:txPr>
              <c:showLegendKey val="0"/>
              <c:showVal val="1"/>
              <c:showCatName val="0"/>
              <c:showSerName val="1"/>
              <c:showPercent val="0"/>
              <c:showBubbleSize val="0"/>
              <c:separator> </c:separator>
              <c:extLst>
                <c:ext xmlns:c15="http://schemas.microsoft.com/office/drawing/2012/chart" uri="{CE6537A1-D6FC-4f65-9D91-7224C49458BB}">
                  <c15:layout>
                    <c:manualLayout>
                      <c:w val="0.37843154727997319"/>
                      <c:h val="9.4812686059222676E-2"/>
                    </c:manualLayout>
                  </c15:layout>
                </c:ext>
                <c:ext xmlns:c16="http://schemas.microsoft.com/office/drawing/2014/chart" uri="{C3380CC4-5D6E-409C-BE32-E72D297353CC}">
                  <c16:uniqueId val="{00000009-45AE-2E43-AE82-B10068F7F23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VN"/>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5AE-2E43-AE82-B10068F7F23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5AE-2E43-AE82-B10068F7F23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FR!$J$100:$J$102</c:f>
              <c:numCache>
                <c:formatCode>General</c:formatCode>
                <c:ptCount val="3"/>
                <c:pt idx="0">
                  <c:v>2020</c:v>
                </c:pt>
                <c:pt idx="1">
                  <c:v>2021</c:v>
                </c:pt>
                <c:pt idx="2">
                  <c:v>2022</c:v>
                </c:pt>
              </c:numCache>
            </c:numRef>
          </c:cat>
          <c:val>
            <c:numRef>
              <c:f>FR!$M$100:$M$102</c:f>
              <c:numCache>
                <c:formatCode>0.00</c:formatCode>
                <c:ptCount val="3"/>
                <c:pt idx="0">
                  <c:v>0.68525222803262553</c:v>
                </c:pt>
                <c:pt idx="1">
                  <c:v>0.8397822846695937</c:v>
                </c:pt>
                <c:pt idx="2">
                  <c:v>0.83018078008022844</c:v>
                </c:pt>
              </c:numCache>
            </c:numRef>
          </c:val>
          <c:smooth val="0"/>
          <c:extLst>
            <c:ext xmlns:c16="http://schemas.microsoft.com/office/drawing/2014/chart" uri="{C3380CC4-5D6E-409C-BE32-E72D297353CC}">
              <c16:uniqueId val="{0000000B-45AE-2E43-AE82-B10068F7F23D}"/>
            </c:ext>
          </c:extLst>
        </c:ser>
        <c:dLbls>
          <c:showLegendKey val="0"/>
          <c:showVal val="0"/>
          <c:showCatName val="0"/>
          <c:showSerName val="0"/>
          <c:showPercent val="0"/>
          <c:showBubbleSize val="0"/>
        </c:dLbls>
        <c:marker val="1"/>
        <c:smooth val="0"/>
        <c:axId val="393425504"/>
        <c:axId val="352769584"/>
      </c:lineChart>
      <c:catAx>
        <c:axId val="39342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75000"/>
                  </a:schemeClr>
                </a:solidFill>
                <a:latin typeface="Arial" panose="020B0604020202020204" pitchFamily="34" charset="0"/>
                <a:ea typeface="+mn-ea"/>
                <a:cs typeface="Arial" panose="020B0604020202020204" pitchFamily="34" charset="0"/>
              </a:defRPr>
            </a:pPr>
            <a:endParaRPr lang="en-VN"/>
          </a:p>
        </c:txPr>
        <c:crossAx val="352769584"/>
        <c:crosses val="autoZero"/>
        <c:auto val="1"/>
        <c:lblAlgn val="ctr"/>
        <c:lblOffset val="100"/>
        <c:noMultiLvlLbl val="0"/>
      </c:catAx>
      <c:valAx>
        <c:axId val="352769584"/>
        <c:scaling>
          <c:orientation val="minMax"/>
        </c:scaling>
        <c:delete val="1"/>
        <c:axPos val="l"/>
        <c:numFmt formatCode="0.00" sourceLinked="1"/>
        <c:majorTickMark val="none"/>
        <c:minorTickMark val="none"/>
        <c:tickLblPos val="nextTo"/>
        <c:crossAx val="393425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BETA: Relative volatility of HPG stock</a:t>
            </a:r>
          </a:p>
        </c:rich>
      </c:tx>
      <c:layout>
        <c:manualLayout>
          <c:xMode val="edge"/>
          <c:yMode val="edge"/>
          <c:x val="3.4483585602430575E-2"/>
          <c:y val="3.495843249691842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9.0023401336763717E-2"/>
          <c:y val="0.13953099699441349"/>
          <c:w val="0.86241659016387973"/>
          <c:h val="0.73967350926945752"/>
        </c:manualLayout>
      </c:layout>
      <c:lineChart>
        <c:grouping val="standard"/>
        <c:varyColors val="0"/>
        <c:ser>
          <c:idx val="1"/>
          <c:order val="0"/>
          <c:tx>
            <c:strRef>
              <c:f>'Beta Coefficient'!$O$2</c:f>
              <c:strCache>
                <c:ptCount val="1"/>
                <c:pt idx="0">
                  <c:v>rHSG</c:v>
                </c:pt>
              </c:strCache>
            </c:strRef>
          </c:tx>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20000"/>
                    <a:lumOff val="80000"/>
                  </a:schemeClr>
                </a:solidFill>
              </a:ln>
              <a:effectLst/>
            </c:spPr>
          </c:marker>
          <c:dLbls>
            <c:dLbl>
              <c:idx val="0"/>
              <c:layout>
                <c:manualLayout>
                  <c:x val="-0.14002056708409216"/>
                  <c:y val="-6.9448437230487303E-3"/>
                </c:manualLayout>
              </c:layout>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3DA5-9F49-8FB5-F55490CE79E0}"/>
                </c:ext>
              </c:extLst>
            </c:dLbl>
            <c:dLbl>
              <c:idx val="2"/>
              <c:layout>
                <c:manualLayout>
                  <c:x val="8.2315474793684688E-4"/>
                  <c:y val="4.960602659320495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A5-9F49-8FB5-F55490CE79E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40000"/>
                        <a:lumOff val="60000"/>
                      </a:schemeClr>
                    </a:solidFill>
                    <a:latin typeface="+mn-lt"/>
                    <a:ea typeface="+mn-ea"/>
                    <a:cs typeface="+mn-cs"/>
                  </a:defRPr>
                </a:pPr>
                <a:endParaRPr lang="en-V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'Beta Coefficient'!$M$3:$M$5</c:f>
              <c:numCache>
                <c:formatCode>General</c:formatCode>
                <c:ptCount val="3"/>
                <c:pt idx="0">
                  <c:v>2020</c:v>
                </c:pt>
                <c:pt idx="1">
                  <c:v>2021</c:v>
                </c:pt>
                <c:pt idx="2">
                  <c:v>2022</c:v>
                </c:pt>
              </c:numCache>
            </c:numRef>
          </c:cat>
          <c:val>
            <c:numRef>
              <c:f>'Beta Coefficient'!$O$3:$O$5</c:f>
              <c:numCache>
                <c:formatCode>0.0%</c:formatCode>
                <c:ptCount val="3"/>
                <c:pt idx="0">
                  <c:v>0.1307451738536935</c:v>
                </c:pt>
                <c:pt idx="1">
                  <c:v>6.0999999999999999E-2</c:v>
                </c:pt>
                <c:pt idx="2">
                  <c:v>-6.5000000000000002E-2</c:v>
                </c:pt>
              </c:numCache>
            </c:numRef>
          </c:val>
          <c:smooth val="0"/>
          <c:extLst>
            <c:ext xmlns:c16="http://schemas.microsoft.com/office/drawing/2014/chart" uri="{C3380CC4-5D6E-409C-BE32-E72D297353CC}">
              <c16:uniqueId val="{00000001-7B7E-464F-978B-BC1896C2B085}"/>
            </c:ext>
          </c:extLst>
        </c:ser>
        <c:ser>
          <c:idx val="2"/>
          <c:order val="1"/>
          <c:tx>
            <c:strRef>
              <c:f>'Beta Coefficient'!$P$2</c:f>
              <c:strCache>
                <c:ptCount val="1"/>
                <c:pt idx="0">
                  <c:v>rM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0"/>
              <c:layout>
                <c:manualLayout>
                  <c:x val="-0.10243606961579385"/>
                  <c:y val="-3.2838408407433227E-3"/>
                </c:manualLayout>
              </c:layout>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3DA5-9F49-8FB5-F55490CE79E0}"/>
                </c:ext>
              </c:extLst>
            </c:dLbl>
            <c:dLbl>
              <c:idx val="2"/>
              <c:delete val="1"/>
              <c:extLst>
                <c:ext xmlns:c15="http://schemas.microsoft.com/office/drawing/2012/chart" uri="{CE6537A1-D6FC-4f65-9D91-7224C49458BB}"/>
                <c:ext xmlns:c16="http://schemas.microsoft.com/office/drawing/2014/chart" uri="{C3380CC4-5D6E-409C-BE32-E72D297353CC}">
                  <c16:uniqueId val="{00000004-3DA5-9F49-8FB5-F55490CE79E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VN"/>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'Beta Coefficient'!$M$3:$M$5</c:f>
              <c:numCache>
                <c:formatCode>General</c:formatCode>
                <c:ptCount val="3"/>
                <c:pt idx="0">
                  <c:v>2020</c:v>
                </c:pt>
                <c:pt idx="1">
                  <c:v>2021</c:v>
                </c:pt>
                <c:pt idx="2">
                  <c:v>2022</c:v>
                </c:pt>
              </c:numCache>
            </c:numRef>
          </c:cat>
          <c:val>
            <c:numRef>
              <c:f>'Beta Coefficient'!$P$3:$P$5</c:f>
              <c:numCache>
                <c:formatCode>0.0%</c:formatCode>
                <c:ptCount val="3"/>
                <c:pt idx="0">
                  <c:v>1.7683708189974806E-2</c:v>
                </c:pt>
                <c:pt idx="1">
                  <c:v>-1.4696731032490598E-2</c:v>
                </c:pt>
                <c:pt idx="2">
                  <c:v>-3.1199644146571393E-2</c:v>
                </c:pt>
              </c:numCache>
            </c:numRef>
          </c:val>
          <c:smooth val="0"/>
          <c:extLst>
            <c:ext xmlns:c16="http://schemas.microsoft.com/office/drawing/2014/chart" uri="{C3380CC4-5D6E-409C-BE32-E72D297353CC}">
              <c16:uniqueId val="{00000002-7B7E-464F-978B-BC1896C2B085}"/>
            </c:ext>
          </c:extLst>
        </c:ser>
        <c:ser>
          <c:idx val="0"/>
          <c:order val="2"/>
          <c:tx>
            <c:strRef>
              <c:f>'Beta Coefficient'!$N$2</c:f>
              <c:strCache>
                <c:ptCount val="1"/>
                <c:pt idx="0">
                  <c:v>rHPG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0.1329489194768165"/>
                  <c:y val="-4.9606026593204955E-3"/>
                </c:manualLayout>
              </c:layout>
              <c:tx>
                <c:rich>
                  <a:bodyPr/>
                  <a:lstStyle/>
                  <a:p>
                    <a:fld id="{68734A9B-D646-7841-A7E1-0BB77B75286A}" type="SERIESNAME">
                      <a:rPr lang="en-US"/>
                      <a:pPr/>
                      <a:t>[SERIES NAME]</a:t>
                    </a:fld>
                    <a:r>
                      <a:rPr lang="en-US" baseline="0"/>
                      <a:t> </a:t>
                    </a:r>
                    <a:fld id="{8955D782-1220-A446-92B0-CA788E9AA4A0}" type="VALUE">
                      <a:rPr lang="en-US" baseline="0"/>
                      <a:pPr/>
                      <a:t>[VALUE]</a:t>
                    </a:fld>
                    <a:endParaRPr lang="en-US" baseline="0"/>
                  </a:p>
                </c:rich>
              </c:tx>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DA5-9F49-8FB5-F55490CE79E0}"/>
                </c:ext>
              </c:extLst>
            </c:dLbl>
            <c:dLbl>
              <c:idx val="2"/>
              <c:layout>
                <c:manualLayout>
                  <c:x val="-1.0476514973741687E-3"/>
                  <c:y val="2.976361595592297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A5-9F49-8FB5-F55490CE79E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'Beta Coefficient'!$M$3:$M$5</c:f>
              <c:numCache>
                <c:formatCode>General</c:formatCode>
                <c:ptCount val="3"/>
                <c:pt idx="0">
                  <c:v>2020</c:v>
                </c:pt>
                <c:pt idx="1">
                  <c:v>2021</c:v>
                </c:pt>
                <c:pt idx="2">
                  <c:v>2022</c:v>
                </c:pt>
              </c:numCache>
            </c:numRef>
          </c:cat>
          <c:val>
            <c:numRef>
              <c:f>'Beta Coefficient'!$N$3:$N$5</c:f>
              <c:numCache>
                <c:formatCode>0.0%</c:formatCode>
                <c:ptCount val="3"/>
                <c:pt idx="0">
                  <c:v>7.6292638767033863E-2</c:v>
                </c:pt>
                <c:pt idx="1">
                  <c:v>4.1992072205236035E-2</c:v>
                </c:pt>
                <c:pt idx="2">
                  <c:v>-3.1199644146571393E-2</c:v>
                </c:pt>
              </c:numCache>
            </c:numRef>
          </c:val>
          <c:smooth val="0"/>
          <c:extLst>
            <c:ext xmlns:c16="http://schemas.microsoft.com/office/drawing/2014/chart" uri="{C3380CC4-5D6E-409C-BE32-E72D297353CC}">
              <c16:uniqueId val="{00000000-7B7E-464F-978B-BC1896C2B085}"/>
            </c:ext>
          </c:extLst>
        </c:ser>
        <c:dLbls>
          <c:showLegendKey val="0"/>
          <c:showVal val="0"/>
          <c:showCatName val="0"/>
          <c:showSerName val="0"/>
          <c:showPercent val="0"/>
          <c:showBubbleSize val="0"/>
        </c:dLbls>
        <c:marker val="1"/>
        <c:smooth val="0"/>
        <c:axId val="295228512"/>
        <c:axId val="294731328"/>
      </c:lineChart>
      <c:catAx>
        <c:axId val="2952285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294731328"/>
        <c:crosses val="autoZero"/>
        <c:auto val="1"/>
        <c:lblAlgn val="ctr"/>
        <c:lblOffset val="100"/>
        <c:noMultiLvlLbl val="0"/>
      </c:catAx>
      <c:valAx>
        <c:axId val="294731328"/>
        <c:scaling>
          <c:orientation val="minMax"/>
        </c:scaling>
        <c:delete val="0"/>
        <c:axPos val="l"/>
        <c:numFmt formatCode="0%" sourceLinked="0"/>
        <c:majorTickMark val="in"/>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29522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Beta Coefficient</a:t>
            </a:r>
          </a:p>
        </c:rich>
      </c:tx>
      <c:layout>
        <c:manualLayout>
          <c:xMode val="edge"/>
          <c:yMode val="edge"/>
          <c:x val="4.6679027384579977E-2"/>
          <c:y val="3.564084412673267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8.3731096444520092E-2"/>
          <c:y val="0.1626158436054117"/>
          <c:w val="0.86449233355998978"/>
          <c:h val="0.63944463898802328"/>
        </c:manualLayout>
      </c:layout>
      <c:lineChart>
        <c:grouping val="standard"/>
        <c:varyColors val="0"/>
        <c:ser>
          <c:idx val="4"/>
          <c:order val="0"/>
          <c:tx>
            <c:strRef>
              <c:f>'Beta Coefficient'!$Q$2</c:f>
              <c:strCache>
                <c:ptCount val="1"/>
                <c:pt idx="0">
                  <c:v>Beta</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dLbls>
            <c:dLbl>
              <c:idx val="2"/>
              <c:layout>
                <c:manualLayout>
                  <c:x val="3.186603706174252E-3"/>
                  <c:y val="-1.0098178505215563E-3"/>
                </c:manualLayout>
              </c:layout>
              <c:tx>
                <c:rich>
                  <a:bodyPr/>
                  <a:lstStyle/>
                  <a:p>
                    <a:fld id="{D5A82729-E0BB-AE43-9F91-87408C90B08B}" type="VALUE">
                      <a:rPr lang="en-US" baseline="0"/>
                      <a:pPr/>
                      <a:t>[VALUE]</a:t>
                    </a:fld>
                    <a:r>
                      <a:rPr lang="en-US" baseline="0"/>
                      <a:t>  Beta</a:t>
                    </a:r>
                  </a:p>
                </c:rich>
              </c:tx>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C1F-3E43-A7AB-9608922E483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VN"/>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'Beta Coefficient'!$M$3:$M$5</c:f>
              <c:numCache>
                <c:formatCode>General</c:formatCode>
                <c:ptCount val="3"/>
                <c:pt idx="0">
                  <c:v>2020</c:v>
                </c:pt>
                <c:pt idx="1">
                  <c:v>2021</c:v>
                </c:pt>
                <c:pt idx="2">
                  <c:v>2022</c:v>
                </c:pt>
              </c:numCache>
            </c:numRef>
          </c:cat>
          <c:val>
            <c:numRef>
              <c:f>'Beta Coefficient'!$Q$3:$Q$5</c:f>
              <c:numCache>
                <c:formatCode>#,##0.00</c:formatCode>
                <c:ptCount val="3"/>
                <c:pt idx="0">
                  <c:v>0.71054698722781462</c:v>
                </c:pt>
                <c:pt idx="1">
                  <c:v>0.24577972142388446</c:v>
                </c:pt>
                <c:pt idx="2">
                  <c:v>0.29476733231318702</c:v>
                </c:pt>
              </c:numCache>
            </c:numRef>
          </c:val>
          <c:smooth val="0"/>
          <c:extLst>
            <c:ext xmlns:c16="http://schemas.microsoft.com/office/drawing/2014/chart" uri="{C3380CC4-5D6E-409C-BE32-E72D297353CC}">
              <c16:uniqueId val="{00000007-BC1F-3E43-A7AB-9608922E4836}"/>
            </c:ext>
          </c:extLst>
        </c:ser>
        <c:dLbls>
          <c:showLegendKey val="0"/>
          <c:showVal val="0"/>
          <c:showCatName val="0"/>
          <c:showSerName val="0"/>
          <c:showPercent val="0"/>
          <c:showBubbleSize val="0"/>
        </c:dLbls>
        <c:marker val="1"/>
        <c:smooth val="0"/>
        <c:axId val="1153766624"/>
        <c:axId val="187223824"/>
      </c:lineChart>
      <c:catAx>
        <c:axId val="115376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187223824"/>
        <c:crosses val="autoZero"/>
        <c:auto val="1"/>
        <c:lblAlgn val="ctr"/>
        <c:lblOffset val="100"/>
        <c:noMultiLvlLbl val="0"/>
      </c:catAx>
      <c:valAx>
        <c:axId val="187223824"/>
        <c:scaling>
          <c:orientation val="minMax"/>
        </c:scaling>
        <c:delete val="0"/>
        <c:axPos val="l"/>
        <c:numFmt formatCode="#,##0.0" sourceLinked="0"/>
        <c:majorTickMark val="in"/>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VN"/>
          </a:p>
        </c:txPr>
        <c:crossAx val="115376662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58589763528776"/>
          <c:y val="0.48556577055728634"/>
          <c:w val="0.73701207470924102"/>
          <c:h val="0.27481159238628811"/>
        </c:manualLayout>
      </c:layout>
      <c:lineChart>
        <c:grouping val="standard"/>
        <c:varyColors val="0"/>
        <c:ser>
          <c:idx val="1"/>
          <c:order val="0"/>
          <c:tx>
            <c:strRef>
              <c:f>'Income Statement'!$AK$9</c:f>
              <c:strCache>
                <c:ptCount val="1"/>
                <c:pt idx="0">
                  <c:v>EBITDA</c:v>
                </c:pt>
              </c:strCache>
            </c:strRef>
          </c:tx>
          <c:spPr>
            <a:ln w="28575" cap="rnd">
              <a:solidFill>
                <a:schemeClr val="accent1">
                  <a:lumMod val="75000"/>
                </a:schemeClr>
              </a:solidFill>
              <a:round/>
            </a:ln>
            <a:effectLst/>
          </c:spPr>
          <c:marker>
            <c:symbol val="none"/>
          </c:marker>
          <c:dPt>
            <c:idx val="4"/>
            <c:marker>
              <c:symbol val="circle"/>
              <c:size val="8"/>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3-6AB2-5545-BCE1-4CA381D7CC95}"/>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B2-5545-BCE1-4CA381D7CC9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Statement'!$AK$10:$AK$14</c:f>
              <c:numCache>
                <c:formatCode>General</c:formatCode>
                <c:ptCount val="5"/>
                <c:pt idx="0">
                  <c:v>11.7</c:v>
                </c:pt>
                <c:pt idx="1">
                  <c:v>11.2</c:v>
                </c:pt>
                <c:pt idx="2">
                  <c:v>18.899999999999999</c:v>
                </c:pt>
                <c:pt idx="3">
                  <c:v>41.1</c:v>
                </c:pt>
                <c:pt idx="4">
                  <c:v>16.8</c:v>
                </c:pt>
              </c:numCache>
            </c:numRef>
          </c:val>
          <c:smooth val="0"/>
          <c:extLst>
            <c:ext xmlns:c16="http://schemas.microsoft.com/office/drawing/2014/chart" uri="{C3380CC4-5D6E-409C-BE32-E72D297353CC}">
              <c16:uniqueId val="{00000001-6AB2-5545-BCE1-4CA381D7CC95}"/>
            </c:ext>
          </c:extLst>
        </c:ser>
        <c:dLbls>
          <c:showLegendKey val="0"/>
          <c:showVal val="0"/>
          <c:showCatName val="0"/>
          <c:showSerName val="0"/>
          <c:showPercent val="0"/>
          <c:showBubbleSize val="0"/>
        </c:dLbls>
        <c:smooth val="0"/>
        <c:axId val="1134265503"/>
        <c:axId val="1134267839"/>
      </c:lineChart>
      <c:catAx>
        <c:axId val="113426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134267839"/>
        <c:crosses val="autoZero"/>
        <c:auto val="1"/>
        <c:lblAlgn val="ctr"/>
        <c:lblOffset val="100"/>
        <c:noMultiLvlLbl val="0"/>
      </c:catAx>
      <c:valAx>
        <c:axId val="11342678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5.4822160693275786E-2"/>
              <c:y val="0.469536691988763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title>
        <c:numFmt formatCode="##0" sourceLinked="0"/>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134265503"/>
        <c:crosses val="autoZero"/>
        <c:crossBetween val="between"/>
        <c:majorUnit val="1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'Income Statement'!$AK$4</c:f>
              <c:strCache>
                <c:ptCount val="1"/>
                <c:pt idx="0">
                  <c:v>EBITDA</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Statement'!$AK$6</c:f>
              <c:numCache>
                <c:formatCode>General</c:formatCode>
                <c:ptCount val="1"/>
                <c:pt idx="0">
                  <c:v>16.8</c:v>
                </c:pt>
              </c:numCache>
            </c:numRef>
          </c:val>
          <c:extLst>
            <c:ext xmlns:c16="http://schemas.microsoft.com/office/drawing/2014/chart" uri="{C3380CC4-5D6E-409C-BE32-E72D297353CC}">
              <c16:uniqueId val="{00000001-6D45-B64C-90A2-1CEA5B8F8DAC}"/>
            </c:ext>
          </c:extLst>
        </c:ser>
        <c:ser>
          <c:idx val="0"/>
          <c:order val="1"/>
          <c:tx>
            <c:v>2021</c:v>
          </c:tx>
          <c:spPr>
            <a:pattFill prst="pct10">
              <a:fgClr>
                <a:schemeClr val="accent1">
                  <a:lumMod val="75000"/>
                </a:schemeClr>
              </a:fgClr>
              <a:bgClr>
                <a:schemeClr val="bg1"/>
              </a:bgClr>
            </a:pattFill>
            <a:ln>
              <a:noFill/>
            </a:ln>
            <a:effectLst/>
          </c:spPr>
          <c:invertIfNegative val="0"/>
          <c:dLbls>
            <c:dLbl>
              <c:idx val="0"/>
              <c:layout>
                <c:manualLayout>
                  <c:x val="0.16225567643260433"/>
                  <c:y val="-0.34340306806913851"/>
                </c:manualLayout>
              </c:layout>
              <c:tx>
                <c:rich>
                  <a:bodyPr/>
                  <a:lstStyle/>
                  <a:p>
                    <a:fld id="{AD47CA6D-43D4-AD42-95FF-FE80FE163129}" type="SERIESNAME">
                      <a:rPr lang="en-US"/>
                      <a:pPr/>
                      <a:t>[SERIES NAME]</a:t>
                    </a:fld>
                    <a:r>
                      <a:rPr lang="en-US" baseline="0"/>
                      <a:t>  41,1</a:t>
                    </a:r>
                  </a:p>
                </c:rich>
              </c:tx>
              <c:dLblPos val="ct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6D45-B64C-90A2-1CEA5B8F8DAC}"/>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'Income Statement'!$AK$5</c:f>
              <c:numCache>
                <c:formatCode>General</c:formatCode>
                <c:ptCount val="1"/>
                <c:pt idx="0">
                  <c:v>24.3</c:v>
                </c:pt>
              </c:numCache>
            </c:numRef>
          </c:val>
          <c:extLst>
            <c:ext xmlns:c16="http://schemas.microsoft.com/office/drawing/2014/chart" uri="{C3380CC4-5D6E-409C-BE32-E72D297353CC}">
              <c16:uniqueId val="{00000002-6D45-B64C-90A2-1CEA5B8F8DAC}"/>
            </c:ext>
          </c:extLst>
        </c:ser>
        <c:dLbls>
          <c:showLegendKey val="0"/>
          <c:showVal val="0"/>
          <c:showCatName val="0"/>
          <c:showSerName val="0"/>
          <c:showPercent val="0"/>
          <c:showBubbleSize val="0"/>
        </c:dLbls>
        <c:gapWidth val="0"/>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scaling>
        <c:delete val="1"/>
        <c:axPos val="b"/>
        <c:numFmt formatCode="General" sourceLinked="1"/>
        <c:majorTickMark val="none"/>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60594168330744769"/>
          <c:w val="0.74160528036050299"/>
          <c:h val="0.35139474397850257"/>
        </c:manualLayout>
      </c:layout>
      <c:lineChart>
        <c:grouping val="standard"/>
        <c:varyColors val="0"/>
        <c:ser>
          <c:idx val="1"/>
          <c:order val="0"/>
          <c:tx>
            <c:strRef>
              <c:f>'Income Statement'!$AL$9</c:f>
              <c:strCache>
                <c:ptCount val="1"/>
                <c:pt idx="0">
                  <c:v>Revenue</c:v>
                </c:pt>
              </c:strCache>
            </c:strRef>
          </c:tx>
          <c:spPr>
            <a:ln w="28575" cap="rnd">
              <a:solidFill>
                <a:schemeClr val="accent1">
                  <a:lumMod val="75000"/>
                </a:schemeClr>
              </a:solidFill>
              <a:round/>
            </a:ln>
            <a:effectLst/>
          </c:spPr>
          <c:marker>
            <c:symbol val="none"/>
          </c:marker>
          <c:dPt>
            <c:idx val="4"/>
            <c:marker>
              <c:symbol val="circle"/>
              <c:size val="8"/>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4C8B-F442-AC8F-94E5150DD732}"/>
              </c:ext>
            </c:extLst>
          </c:dPt>
          <c:dLbls>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C8B-F442-AC8F-94E5150DD73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Statement'!$AL$10:$AL$14</c:f>
              <c:numCache>
                <c:formatCode>General</c:formatCode>
                <c:ptCount val="5"/>
                <c:pt idx="0">
                  <c:v>55.8</c:v>
                </c:pt>
                <c:pt idx="1">
                  <c:v>63.7</c:v>
                </c:pt>
                <c:pt idx="2">
                  <c:v>90.1</c:v>
                </c:pt>
                <c:pt idx="3">
                  <c:v>149.69999999999999</c:v>
                </c:pt>
                <c:pt idx="4">
                  <c:v>141.4</c:v>
                </c:pt>
              </c:numCache>
            </c:numRef>
          </c:val>
          <c:smooth val="0"/>
          <c:extLst>
            <c:ext xmlns:c16="http://schemas.microsoft.com/office/drawing/2014/chart" uri="{C3380CC4-5D6E-409C-BE32-E72D297353CC}">
              <c16:uniqueId val="{00000001-560C-CD4B-B4EB-EA2E4C858054}"/>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5260515627445E-3"/>
              <c:y val="0.593595268688683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'Income Statement'!$AL$4</c:f>
              <c:strCache>
                <c:ptCount val="1"/>
                <c:pt idx="0">
                  <c:v>Revenue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Statement'!$AL$6</c:f>
              <c:numCache>
                <c:formatCode>General</c:formatCode>
                <c:ptCount val="1"/>
                <c:pt idx="0">
                  <c:v>141.4</c:v>
                </c:pt>
              </c:numCache>
            </c:numRef>
          </c:val>
          <c:extLst>
            <c:ext xmlns:c16="http://schemas.microsoft.com/office/drawing/2014/chart" uri="{C3380CC4-5D6E-409C-BE32-E72D297353CC}">
              <c16:uniqueId val="{00000005-ED01-114A-84B8-FB4B1607214D}"/>
            </c:ext>
          </c:extLst>
        </c:ser>
        <c:ser>
          <c:idx val="1"/>
          <c:order val="1"/>
          <c:tx>
            <c:v>2021</c:v>
          </c:tx>
          <c:spPr>
            <a:pattFill prst="pct10">
              <a:fgClr>
                <a:schemeClr val="accent1">
                  <a:lumMod val="75000"/>
                </a:schemeClr>
              </a:fgClr>
              <a:bgClr>
                <a:schemeClr val="bg1"/>
              </a:bgClr>
            </a:pattFill>
            <a:ln>
              <a:noFill/>
            </a:ln>
            <a:effectLst/>
          </c:spPr>
          <c:invertIfNegative val="0"/>
          <c:dLbls>
            <c:dLbl>
              <c:idx val="0"/>
              <c:layout>
                <c:manualLayout>
                  <c:x val="-6.7053763894285454E-2"/>
                  <c:y val="-0.33553197710848404"/>
                </c:manualLayout>
              </c:layout>
              <c:tx>
                <c:rich>
                  <a:bodyPr/>
                  <a:lstStyle/>
                  <a:p>
                    <a:fld id="{7ED2E497-858F-AB4A-B1C1-F3676227C3AC}" type="SERIESNAME">
                      <a:rPr lang="en-US"/>
                      <a:pPr/>
                      <a:t>[SERIES NAME]</a:t>
                    </a:fld>
                    <a:r>
                      <a:rPr lang="en-US" baseline="0"/>
                      <a:t>  149,7</a:t>
                    </a:r>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0-F32C-1F40-8ABA-8452EE2FCA60}"/>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Statement'!$AL$5</c:f>
              <c:numCache>
                <c:formatCode>General</c:formatCode>
                <c:ptCount val="1"/>
                <c:pt idx="0">
                  <c:v>8.3000000000000007</c:v>
                </c:pt>
              </c:numCache>
            </c:numRef>
          </c:val>
          <c:extLst>
            <c:ext xmlns:c16="http://schemas.microsoft.com/office/drawing/2014/chart" uri="{C3380CC4-5D6E-409C-BE32-E72D297353CC}">
              <c16:uniqueId val="{00000006-ED01-114A-84B8-FB4B1607214D}"/>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60594168330744769"/>
          <c:w val="0.74160528036050299"/>
          <c:h val="0.35139474397850257"/>
        </c:manualLayout>
      </c:layout>
      <c:lineChart>
        <c:grouping val="standard"/>
        <c:varyColors val="0"/>
        <c:ser>
          <c:idx val="1"/>
          <c:order val="0"/>
          <c:tx>
            <c:strRef>
              <c:f>'Income Statement'!$AO$9</c:f>
              <c:strCache>
                <c:ptCount val="1"/>
                <c:pt idx="0">
                  <c:v>Operating Profit</c:v>
                </c:pt>
              </c:strCache>
            </c:strRef>
          </c:tx>
          <c:spPr>
            <a:ln w="28575" cap="rnd">
              <a:solidFill>
                <a:schemeClr val="accent1">
                  <a:lumMod val="75000"/>
                </a:schemeClr>
              </a:solidFill>
              <a:round/>
            </a:ln>
            <a:effectLst/>
          </c:spPr>
          <c:marker>
            <c:symbol val="none"/>
          </c:marker>
          <c:dPt>
            <c:idx val="4"/>
            <c:marker>
              <c:symbol val="circle"/>
              <c:size val="8"/>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2-574D-AE4A-833B-FFE6D9F7CF61}"/>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4D-AE4A-833B-FFE6D9F7CF6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Statement'!$AO$10:$AO$14</c:f>
              <c:numCache>
                <c:formatCode>General</c:formatCode>
                <c:ptCount val="5"/>
                <c:pt idx="0">
                  <c:v>10.5</c:v>
                </c:pt>
                <c:pt idx="1">
                  <c:v>9.6999999999999993</c:v>
                </c:pt>
                <c:pt idx="2">
                  <c:v>17.100000000000001</c:v>
                </c:pt>
                <c:pt idx="3">
                  <c:v>37.700000000000003</c:v>
                </c:pt>
                <c:pt idx="4">
                  <c:v>13.1</c:v>
                </c:pt>
              </c:numCache>
            </c:numRef>
          </c:val>
          <c:smooth val="0"/>
          <c:extLst>
            <c:ext xmlns:c16="http://schemas.microsoft.com/office/drawing/2014/chart" uri="{C3380CC4-5D6E-409C-BE32-E72D297353CC}">
              <c16:uniqueId val="{00000001-574D-AE4A-833B-FFE6D9F7CF61}"/>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5260515627445E-3"/>
              <c:y val="0.593595268688683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'Income Statement'!$AO$4</c:f>
              <c:strCache>
                <c:ptCount val="1"/>
                <c:pt idx="0">
                  <c:v>Operating Profit</c:v>
                </c:pt>
              </c:strCache>
            </c:strRef>
          </c:tx>
          <c:spPr>
            <a:solidFill>
              <a:schemeClr val="accent1">
                <a:lumMod val="75000"/>
              </a:schemeClr>
            </a:solidFill>
            <a:ln>
              <a:noFill/>
            </a:ln>
            <a:effectLst/>
          </c:spPr>
          <c:invertIfNegative val="0"/>
          <c:dLbls>
            <c:dLbl>
              <c:idx val="0"/>
              <c:tx>
                <c:rich>
                  <a:bodyPr/>
                  <a:lstStyle/>
                  <a:p>
                    <a:fld id="{2BFE030E-0A6D-6943-9E99-B824AF2573ED}" type="VALUE">
                      <a:rPr lang="en-US" sz="800" b="1">
                        <a:solidFill>
                          <a:schemeClr val="bg1"/>
                        </a:solidFill>
                      </a:rPr>
                      <a:pPr/>
                      <a:t>[VALUE]</a:t>
                    </a:fld>
                    <a:endParaRPr lang="en-US"/>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48D-6F4E-A1A5-19EF7BDCEF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Statement'!$AO$6</c:f>
              <c:numCache>
                <c:formatCode>General</c:formatCode>
                <c:ptCount val="1"/>
                <c:pt idx="0">
                  <c:v>13.1</c:v>
                </c:pt>
              </c:numCache>
            </c:numRef>
          </c:val>
          <c:extLst>
            <c:ext xmlns:c16="http://schemas.microsoft.com/office/drawing/2014/chart" uri="{C3380CC4-5D6E-409C-BE32-E72D297353CC}">
              <c16:uniqueId val="{00000003-348D-6F4E-A1A5-19EF7BDCEF89}"/>
            </c:ext>
          </c:extLst>
        </c:ser>
        <c:ser>
          <c:idx val="1"/>
          <c:order val="1"/>
          <c:tx>
            <c:strRef>
              <c:f>'Income Statement'!$AJ$5</c:f>
              <c:strCache>
                <c:ptCount val="1"/>
                <c:pt idx="0">
                  <c:v>2021</c:v>
                </c:pt>
              </c:strCache>
            </c:strRef>
          </c:tx>
          <c:spPr>
            <a:solidFill>
              <a:schemeClr val="accent2"/>
            </a:solidFill>
            <a:ln>
              <a:noFill/>
            </a:ln>
            <a:effectLst/>
          </c:spPr>
          <c:invertIfNegative val="0"/>
          <c:dPt>
            <c:idx val="0"/>
            <c:invertIfNegative val="0"/>
            <c:bubble3D val="0"/>
            <c:spPr>
              <a:pattFill prst="pct10">
                <a:fgClr>
                  <a:schemeClr val="accent1">
                    <a:lumMod val="75000"/>
                  </a:schemeClr>
                </a:fgClr>
                <a:bgClr>
                  <a:schemeClr val="bg1"/>
                </a:bgClr>
              </a:pattFill>
              <a:ln>
                <a:noFill/>
              </a:ln>
              <a:effectLst/>
            </c:spPr>
            <c:extLst>
              <c:ext xmlns:c16="http://schemas.microsoft.com/office/drawing/2014/chart" uri="{C3380CC4-5D6E-409C-BE32-E72D297353CC}">
                <c16:uniqueId val="{00000001-3F64-3244-A503-B9621B4F504B}"/>
              </c:ext>
            </c:extLst>
          </c:dPt>
          <c:dLbls>
            <c:dLbl>
              <c:idx val="0"/>
              <c:layout>
                <c:manualLayout>
                  <c:x val="0.18978008381359401"/>
                  <c:y val="-0.34637968635937999"/>
                </c:manualLayout>
              </c:layout>
              <c:tx>
                <c:rich>
                  <a:bodyPr/>
                  <a:lstStyle/>
                  <a:p>
                    <a:r>
                      <a:rPr lang="en-US" sz="800" b="1">
                        <a:solidFill>
                          <a:schemeClr val="accent1">
                            <a:lumMod val="75000"/>
                          </a:schemeClr>
                        </a:solidFill>
                      </a:rPr>
                      <a:t>2021</a:t>
                    </a:r>
                    <a:r>
                      <a:rPr lang="en-US" sz="800" b="1" baseline="0">
                        <a:solidFill>
                          <a:schemeClr val="accent1">
                            <a:lumMod val="75000"/>
                          </a:schemeClr>
                        </a:solidFill>
                      </a:rPr>
                      <a:t> </a:t>
                    </a:r>
                    <a:r>
                      <a:rPr lang="en-US" sz="800" b="1">
                        <a:solidFill>
                          <a:schemeClr val="accent1">
                            <a:lumMod val="75000"/>
                          </a:schemeClr>
                        </a:solidFill>
                      </a:rPr>
                      <a:t> 37,7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3F64-3244-A503-B9621B4F50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bg1"/>
                      </a:solidFill>
                      <a:round/>
                    </a:ln>
                    <a:effectLst/>
                  </c:spPr>
                </c15:leaderLines>
              </c:ext>
            </c:extLst>
          </c:dLbls>
          <c:cat>
            <c:numRef>
              <c:f>'Income Statement'!$AJ$6</c:f>
              <c:numCache>
                <c:formatCode>General</c:formatCode>
                <c:ptCount val="1"/>
                <c:pt idx="0">
                  <c:v>2022</c:v>
                </c:pt>
              </c:numCache>
            </c:numRef>
          </c:cat>
          <c:val>
            <c:numRef>
              <c:f>'Income Statement'!$AO$5</c:f>
              <c:numCache>
                <c:formatCode>General</c:formatCode>
                <c:ptCount val="1"/>
                <c:pt idx="0">
                  <c:v>24.6</c:v>
                </c:pt>
              </c:numCache>
            </c:numRef>
          </c:val>
          <c:extLst>
            <c:ext xmlns:c16="http://schemas.microsoft.com/office/drawing/2014/chart" uri="{C3380CC4-5D6E-409C-BE32-E72D297353CC}">
              <c16:uniqueId val="{00000000-3F64-3244-A503-B9621B4F504B}"/>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6948328316975"/>
          <c:y val="0.54126768506860146"/>
          <c:w val="0.7365517297536136"/>
          <c:h val="0.34861326655454822"/>
        </c:manualLayout>
      </c:layout>
      <c:lineChart>
        <c:grouping val="standard"/>
        <c:varyColors val="0"/>
        <c:ser>
          <c:idx val="1"/>
          <c:order val="0"/>
          <c:tx>
            <c:strRef>
              <c:f>'Balance Sheet'!$AM$73</c:f>
              <c:strCache>
                <c:ptCount val="1"/>
                <c:pt idx="0">
                  <c:v>Current Liabilities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79D1-5748-AD28-73B91449109E}"/>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D1-5748-AD28-73B91449109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Sheet'!$AL$74:$AL$78</c:f>
              <c:numCache>
                <c:formatCode>General</c:formatCode>
                <c:ptCount val="5"/>
                <c:pt idx="0">
                  <c:v>2018</c:v>
                </c:pt>
                <c:pt idx="1">
                  <c:v>2019</c:v>
                </c:pt>
                <c:pt idx="2">
                  <c:v>2020</c:v>
                </c:pt>
                <c:pt idx="3">
                  <c:v>2021</c:v>
                </c:pt>
                <c:pt idx="4">
                  <c:v>2022</c:v>
                </c:pt>
              </c:numCache>
            </c:numRef>
          </c:cat>
          <c:val>
            <c:numRef>
              <c:f>'Balance Sheet'!$AM$74:$AM$78</c:f>
              <c:numCache>
                <c:formatCode>General</c:formatCode>
                <c:ptCount val="5"/>
                <c:pt idx="0">
                  <c:v>22.64</c:v>
                </c:pt>
                <c:pt idx="1">
                  <c:v>26.98</c:v>
                </c:pt>
                <c:pt idx="2">
                  <c:v>51.98</c:v>
                </c:pt>
                <c:pt idx="3">
                  <c:v>73.459999999999994</c:v>
                </c:pt>
                <c:pt idx="4">
                  <c:v>62.39</c:v>
                </c:pt>
              </c:numCache>
            </c:numRef>
          </c:val>
          <c:smooth val="0"/>
          <c:extLst>
            <c:ext xmlns:c16="http://schemas.microsoft.com/office/drawing/2014/chart" uri="{C3380CC4-5D6E-409C-BE32-E72D297353CC}">
              <c16:uniqueId val="{00000001-79D1-5748-AD28-73B91449109E}"/>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1.9096495846759435E-2"/>
              <c:y val="0.518716859394076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60594168330744769"/>
          <c:w val="0.74160528036050299"/>
          <c:h val="0.35139474397850257"/>
        </c:manualLayout>
      </c:layout>
      <c:lineChart>
        <c:grouping val="standard"/>
        <c:varyColors val="0"/>
        <c:ser>
          <c:idx val="1"/>
          <c:order val="0"/>
          <c:tx>
            <c:strRef>
              <c:f>'Income Statement'!$AN$9</c:f>
              <c:strCache>
                <c:ptCount val="1"/>
                <c:pt idx="0">
                  <c:v>EBT</c:v>
                </c:pt>
              </c:strCache>
            </c:strRef>
          </c:tx>
          <c:spPr>
            <a:ln w="28575" cap="rnd">
              <a:solidFill>
                <a:schemeClr val="accent1">
                  <a:lumMod val="75000"/>
                </a:schemeClr>
              </a:solidFill>
              <a:round/>
            </a:ln>
            <a:effectLst/>
          </c:spPr>
          <c:marker>
            <c:symbol val="none"/>
          </c:marker>
          <c:dPt>
            <c:idx val="4"/>
            <c:marker>
              <c:symbol val="circle"/>
              <c:size val="8"/>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2-525B-CA42-A321-5EC2F7A2A011}"/>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5B-CA42-A321-5EC2F7A2A01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Statement'!$AN$10:$AN$14</c:f>
              <c:numCache>
                <c:formatCode>General</c:formatCode>
                <c:ptCount val="5"/>
                <c:pt idx="0">
                  <c:v>10</c:v>
                </c:pt>
                <c:pt idx="1">
                  <c:v>8.8000000000000007</c:v>
                </c:pt>
                <c:pt idx="2">
                  <c:v>14.9</c:v>
                </c:pt>
                <c:pt idx="3">
                  <c:v>35.1</c:v>
                </c:pt>
                <c:pt idx="4">
                  <c:v>10</c:v>
                </c:pt>
              </c:numCache>
            </c:numRef>
          </c:val>
          <c:smooth val="0"/>
          <c:extLst>
            <c:ext xmlns:c16="http://schemas.microsoft.com/office/drawing/2014/chart" uri="{C3380CC4-5D6E-409C-BE32-E72D297353CC}">
              <c16:uniqueId val="{00000001-525B-CA42-A321-5EC2F7A2A011}"/>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5260515627445E-3"/>
              <c:y val="0.593595268688683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'Income Statement'!$AN$4</c:f>
              <c:strCache>
                <c:ptCount val="1"/>
                <c:pt idx="0">
                  <c:v>EBT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Statement'!$AN$6</c:f>
              <c:numCache>
                <c:formatCode>General</c:formatCode>
                <c:ptCount val="1"/>
                <c:pt idx="0">
                  <c:v>10</c:v>
                </c:pt>
              </c:numCache>
            </c:numRef>
          </c:val>
          <c:extLst>
            <c:ext xmlns:c16="http://schemas.microsoft.com/office/drawing/2014/chart" uri="{C3380CC4-5D6E-409C-BE32-E72D297353CC}">
              <c16:uniqueId val="{00000002-BA82-D048-893E-B3E93D8CAB4A}"/>
            </c:ext>
          </c:extLst>
        </c:ser>
        <c:ser>
          <c:idx val="1"/>
          <c:order val="1"/>
          <c:tx>
            <c:strRef>
              <c:f>'Income Statement'!$AJ$5</c:f>
              <c:strCache>
                <c:ptCount val="1"/>
                <c:pt idx="0">
                  <c:v>2021</c:v>
                </c:pt>
              </c:strCache>
            </c:strRef>
          </c:tx>
          <c:spPr>
            <a:pattFill prst="pct10">
              <a:fgClr>
                <a:schemeClr val="accent1">
                  <a:lumMod val="75000"/>
                </a:schemeClr>
              </a:fgClr>
              <a:bgClr>
                <a:schemeClr val="bg1"/>
              </a:bgClr>
            </a:pattFill>
            <a:ln>
              <a:noFill/>
            </a:ln>
            <a:effectLst/>
          </c:spPr>
          <c:invertIfNegative val="0"/>
          <c:dLbls>
            <c:dLbl>
              <c:idx val="0"/>
              <c:layout>
                <c:manualLayout>
                  <c:x val="0.21334177890534714"/>
                  <c:y val="-0.32522603133859357"/>
                </c:manualLayout>
              </c:layout>
              <c:tx>
                <c:rich>
                  <a:bodyPr rot="0" spcFirstLastPara="1" vertOverflow="ellipsis" vert="horz" wrap="square" lIns="38100" tIns="19050" rIns="38100" bIns="19050" anchor="ctr" anchorCtr="1">
                    <a:spAutoFit/>
                  </a:bodyPr>
                  <a:lstStyle/>
                  <a:p>
                    <a:pPr>
                      <a:defRPr sz="800" b="1" i="0" u="none" strike="noStrike" kern="1200" baseline="0">
                        <a:solidFill>
                          <a:schemeClr val="accent1">
                            <a:lumMod val="75000"/>
                          </a:schemeClr>
                        </a:solidFill>
                        <a:latin typeface="+mn-lt"/>
                        <a:ea typeface="+mn-ea"/>
                        <a:cs typeface="+mn-cs"/>
                      </a:defRPr>
                    </a:pPr>
                    <a:r>
                      <a:rPr lang="en-US"/>
                      <a:t>2021  35,1</a:t>
                    </a:r>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794-F943-A52C-144AF7BB5D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Statement'!$AN$5</c:f>
              <c:numCache>
                <c:formatCode>General</c:formatCode>
                <c:ptCount val="1"/>
                <c:pt idx="0">
                  <c:v>25.1</c:v>
                </c:pt>
              </c:numCache>
            </c:numRef>
          </c:val>
          <c:extLst>
            <c:ext xmlns:c16="http://schemas.microsoft.com/office/drawing/2014/chart" uri="{C3380CC4-5D6E-409C-BE32-E72D297353CC}">
              <c16:uniqueId val="{00000000-5794-F943-A52C-144AF7BB5DF4}"/>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60594168330744769"/>
          <c:w val="0.74160528036050299"/>
          <c:h val="0.35139474397850257"/>
        </c:manualLayout>
      </c:layout>
      <c:lineChart>
        <c:grouping val="standard"/>
        <c:varyColors val="0"/>
        <c:ser>
          <c:idx val="0"/>
          <c:order val="0"/>
          <c:tx>
            <c:strRef>
              <c:f>'Income Statement'!$AM$9</c:f>
              <c:strCache>
                <c:ptCount val="1"/>
                <c:pt idx="0">
                  <c:v>Net Profit</c:v>
                </c:pt>
              </c:strCache>
            </c:strRef>
          </c:tx>
          <c:spPr>
            <a:ln w="28575" cap="rnd">
              <a:solidFill>
                <a:schemeClr val="accent1">
                  <a:lumMod val="75000"/>
                </a:schemeClr>
              </a:solidFill>
              <a:round/>
            </a:ln>
            <a:effectLst/>
          </c:spPr>
          <c:marker>
            <c:symbol val="none"/>
          </c:marker>
          <c:dPt>
            <c:idx val="4"/>
            <c:marker>
              <c:symbol val="circle"/>
              <c:size val="8"/>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B8B4-BE4E-9534-116878FAB8DB}"/>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8B4-BE4E-9534-116878FAB8D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Statement'!$AM$10:$AM$14</c:f>
              <c:numCache>
                <c:formatCode>General</c:formatCode>
                <c:ptCount val="5"/>
                <c:pt idx="0">
                  <c:v>8.6</c:v>
                </c:pt>
                <c:pt idx="1">
                  <c:v>7.5</c:v>
                </c:pt>
                <c:pt idx="2">
                  <c:v>13.5</c:v>
                </c:pt>
                <c:pt idx="3">
                  <c:v>34.5</c:v>
                </c:pt>
                <c:pt idx="4">
                  <c:v>8.4</c:v>
                </c:pt>
              </c:numCache>
            </c:numRef>
          </c:val>
          <c:smooth val="0"/>
          <c:extLst>
            <c:ext xmlns:c16="http://schemas.microsoft.com/office/drawing/2014/chart" uri="{C3380CC4-5D6E-409C-BE32-E72D297353CC}">
              <c16:uniqueId val="{00000001-B8B4-BE4E-9534-116878FAB8DB}"/>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5260515627445E-3"/>
              <c:y val="0.593595268688683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'Income Statement'!$AM$4</c:f>
              <c:strCache>
                <c:ptCount val="1"/>
                <c:pt idx="0">
                  <c:v>Net Profit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Statement'!$AM$6</c:f>
              <c:numCache>
                <c:formatCode>General</c:formatCode>
                <c:ptCount val="1"/>
                <c:pt idx="0">
                  <c:v>8.4</c:v>
                </c:pt>
              </c:numCache>
            </c:numRef>
          </c:val>
          <c:extLst>
            <c:ext xmlns:c16="http://schemas.microsoft.com/office/drawing/2014/chart" uri="{C3380CC4-5D6E-409C-BE32-E72D297353CC}">
              <c16:uniqueId val="{00000000-9889-0842-AB39-03F04B43B8D4}"/>
            </c:ext>
          </c:extLst>
        </c:ser>
        <c:ser>
          <c:idx val="0"/>
          <c:order val="1"/>
          <c:tx>
            <c:v>2021</c:v>
          </c:tx>
          <c:spPr>
            <a:pattFill prst="pct10">
              <a:fgClr>
                <a:schemeClr val="accent1">
                  <a:lumMod val="75000"/>
                </a:schemeClr>
              </a:fgClr>
              <a:bgClr>
                <a:schemeClr val="bg1"/>
              </a:bgClr>
            </a:pattFill>
            <a:ln>
              <a:noFill/>
            </a:ln>
            <a:effectLst/>
          </c:spPr>
          <c:invertIfNegative val="0"/>
          <c:dLbls>
            <c:dLbl>
              <c:idx val="0"/>
              <c:layout>
                <c:manualLayout>
                  <c:x val="0.22520009376489414"/>
                  <c:y val="-0.33564795495390232"/>
                </c:manualLayout>
              </c:layout>
              <c:tx>
                <c:rich>
                  <a:bodyPr/>
                  <a:lstStyle/>
                  <a:p>
                    <a:fld id="{FC8CEB06-C502-E74A-A2DE-B8C2A9325909}" type="SERIESNAME">
                      <a:rPr lang="en-US"/>
                      <a:pPr/>
                      <a:t>[SERIES NAME]</a:t>
                    </a:fld>
                    <a:r>
                      <a:rPr lang="en-US" baseline="0"/>
                      <a:t>  34,5</a:t>
                    </a:r>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9889-0842-AB39-03F04B43B8D4}"/>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Statement'!$AM$5</c:f>
              <c:numCache>
                <c:formatCode>General</c:formatCode>
                <c:ptCount val="1"/>
                <c:pt idx="0">
                  <c:v>26.1</c:v>
                </c:pt>
              </c:numCache>
            </c:numRef>
          </c:val>
          <c:extLst>
            <c:ext xmlns:c16="http://schemas.microsoft.com/office/drawing/2014/chart" uri="{C3380CC4-5D6E-409C-BE32-E72D297353CC}">
              <c16:uniqueId val="{00000002-9889-0842-AB39-03F04B43B8D4}"/>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solidFill>
                  <a:schemeClr val="tx1">
                    <a:lumMod val="65000"/>
                    <a:lumOff val="35000"/>
                  </a:schemeClr>
                </a:solidFill>
              </a:rPr>
              <a:t>Income Statement</a:t>
            </a:r>
          </a:p>
        </c:rich>
      </c:tx>
      <c:layout>
        <c:manualLayout>
          <c:xMode val="edge"/>
          <c:yMode val="edge"/>
          <c:x val="5.5788758896932807E-2"/>
          <c:y val="0.14699105143977156"/>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7.8869462550966912E-2"/>
          <c:y val="0.36730781678835894"/>
          <c:w val="0.86742447176843052"/>
          <c:h val="0.57925761224172745"/>
        </c:manualLayout>
      </c:layout>
      <c:barChart>
        <c:barDir val="bar"/>
        <c:grouping val="percentStacked"/>
        <c:varyColors val="0"/>
        <c:ser>
          <c:idx val="3"/>
          <c:order val="0"/>
          <c:tx>
            <c:strRef>
              <c:f>'Income Statement'!$AK$17</c:f>
              <c:strCache>
                <c:ptCount val="1"/>
                <c:pt idx="0">
                  <c:v>Cost of Sales</c:v>
                </c:pt>
              </c:strCache>
            </c:strRef>
          </c:tx>
          <c:spPr>
            <a:solidFill>
              <a:schemeClr val="accent1">
                <a:lumMod val="50000"/>
              </a:schemeClr>
            </a:solidFill>
            <a:ln cap="flat">
              <a:solidFill>
                <a:schemeClr val="bg1">
                  <a:lumMod val="75000"/>
                </a:schemeClr>
              </a:solidFill>
            </a:ln>
            <a:effectLst/>
          </c:spPr>
          <c:invertIfNegative val="0"/>
          <c:dLbls>
            <c:dLbl>
              <c:idx val="0"/>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F8-C74E-AF4C-B62F74ABB187}"/>
                </c:ext>
              </c:extLst>
            </c:dLbl>
            <c:dLbl>
              <c:idx val="1"/>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F8-C74E-AF4C-B62F74ABB187}"/>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Base"/>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Statement'!$AJ$18:$AJ$20</c:f>
              <c:numCache>
                <c:formatCode>General</c:formatCode>
                <c:ptCount val="3"/>
                <c:pt idx="0">
                  <c:v>2020</c:v>
                </c:pt>
                <c:pt idx="1">
                  <c:v>2021</c:v>
                </c:pt>
                <c:pt idx="2">
                  <c:v>2022</c:v>
                </c:pt>
              </c:numCache>
            </c:numRef>
          </c:cat>
          <c:val>
            <c:numRef>
              <c:f>'Income Statement'!$AK$18:$AK$20</c:f>
              <c:numCache>
                <c:formatCode>0%</c:formatCode>
                <c:ptCount val="3"/>
                <c:pt idx="0">
                  <c:v>0.79023120463239305</c:v>
                </c:pt>
                <c:pt idx="1">
                  <c:v>0.72535764822582405</c:v>
                </c:pt>
                <c:pt idx="2">
                  <c:v>0.88145454883711405</c:v>
                </c:pt>
              </c:numCache>
            </c:numRef>
          </c:val>
          <c:extLst>
            <c:ext xmlns:c16="http://schemas.microsoft.com/office/drawing/2014/chart" uri="{C3380CC4-5D6E-409C-BE32-E72D297353CC}">
              <c16:uniqueId val="{00000003-0611-CD41-89D9-44C2DF443B53}"/>
            </c:ext>
          </c:extLst>
        </c:ser>
        <c:ser>
          <c:idx val="2"/>
          <c:order val="1"/>
          <c:tx>
            <c:strRef>
              <c:f>'Income Statement'!$AL$17</c:f>
              <c:strCache>
                <c:ptCount val="1"/>
                <c:pt idx="0">
                  <c:v>Interest Expenses</c:v>
                </c:pt>
              </c:strCache>
            </c:strRef>
          </c:tx>
          <c:spPr>
            <a:solidFill>
              <a:schemeClr val="accent1">
                <a:lumMod val="60000"/>
                <a:lumOff val="40000"/>
              </a:schemeClr>
            </a:solidFill>
            <a:ln>
              <a:noFill/>
            </a:ln>
            <a:effectLst/>
          </c:spPr>
          <c:invertIfNegative val="0"/>
          <c:cat>
            <c:numRef>
              <c:f>'Income Statement'!$AJ$18:$AJ$20</c:f>
              <c:numCache>
                <c:formatCode>General</c:formatCode>
                <c:ptCount val="3"/>
                <c:pt idx="0">
                  <c:v>2020</c:v>
                </c:pt>
                <c:pt idx="1">
                  <c:v>2021</c:v>
                </c:pt>
                <c:pt idx="2">
                  <c:v>2022</c:v>
                </c:pt>
              </c:numCache>
            </c:numRef>
          </c:cat>
          <c:val>
            <c:numRef>
              <c:f>'Income Statement'!$AL$18:$AL$20</c:f>
              <c:numCache>
                <c:formatCode>0%</c:formatCode>
                <c:ptCount val="3"/>
                <c:pt idx="0">
                  <c:v>2.4319988016659001E-2</c:v>
                </c:pt>
                <c:pt idx="1">
                  <c:v>1.6874845018058599E-2</c:v>
                </c:pt>
                <c:pt idx="2">
                  <c:v>2.1806477287856198E-2</c:v>
                </c:pt>
              </c:numCache>
            </c:numRef>
          </c:val>
          <c:extLst>
            <c:ext xmlns:c16="http://schemas.microsoft.com/office/drawing/2014/chart" uri="{C3380CC4-5D6E-409C-BE32-E72D297353CC}">
              <c16:uniqueId val="{00000002-0611-CD41-89D9-44C2DF443B53}"/>
            </c:ext>
          </c:extLst>
        </c:ser>
        <c:ser>
          <c:idx val="4"/>
          <c:order val="2"/>
          <c:tx>
            <c:strRef>
              <c:f>'Income Statement'!$AM$17</c:f>
              <c:strCache>
                <c:ptCount val="1"/>
                <c:pt idx="0">
                  <c:v>Operating expenses</c:v>
                </c:pt>
              </c:strCache>
            </c:strRef>
          </c:tx>
          <c:spPr>
            <a:solidFill>
              <a:schemeClr val="accent1">
                <a:lumMod val="40000"/>
                <a:lumOff val="60000"/>
              </a:schemeClr>
            </a:solidFill>
            <a:ln>
              <a:noFill/>
            </a:ln>
            <a:effectLst/>
          </c:spPr>
          <c:invertIfNegative val="0"/>
          <c:cat>
            <c:numRef>
              <c:f>'Income Statement'!$AJ$18:$AJ$20</c:f>
              <c:numCache>
                <c:formatCode>General</c:formatCode>
                <c:ptCount val="3"/>
                <c:pt idx="0">
                  <c:v>2020</c:v>
                </c:pt>
                <c:pt idx="1">
                  <c:v>2021</c:v>
                </c:pt>
                <c:pt idx="2">
                  <c:v>2022</c:v>
                </c:pt>
              </c:numCache>
            </c:numRef>
          </c:cat>
          <c:val>
            <c:numRef>
              <c:f>'Income Statement'!$AM$18:$AM$20</c:f>
              <c:numCache>
                <c:formatCode>0%</c:formatCode>
                <c:ptCount val="3"/>
                <c:pt idx="0">
                  <c:v>1.97639107939288E-2</c:v>
                </c:pt>
                <c:pt idx="1">
                  <c:v>2.3011321517636407E-2</c:v>
                </c:pt>
                <c:pt idx="2">
                  <c:v>2.6060881655785351E-2</c:v>
                </c:pt>
              </c:numCache>
            </c:numRef>
          </c:val>
          <c:extLst>
            <c:ext xmlns:c16="http://schemas.microsoft.com/office/drawing/2014/chart" uri="{C3380CC4-5D6E-409C-BE32-E72D297353CC}">
              <c16:uniqueId val="{00000004-0611-CD41-89D9-44C2DF443B53}"/>
            </c:ext>
          </c:extLst>
        </c:ser>
        <c:ser>
          <c:idx val="5"/>
          <c:order val="3"/>
          <c:tx>
            <c:strRef>
              <c:f>'Income Statement'!$AN$17</c:f>
              <c:strCache>
                <c:ptCount val="1"/>
                <c:pt idx="0">
                  <c:v>Tax Expense</c:v>
                </c:pt>
              </c:strCache>
            </c:strRef>
          </c:tx>
          <c:spPr>
            <a:solidFill>
              <a:schemeClr val="accent1">
                <a:lumMod val="20000"/>
                <a:lumOff val="80000"/>
              </a:schemeClr>
            </a:solidFill>
            <a:ln>
              <a:noFill/>
            </a:ln>
            <a:effectLst/>
          </c:spPr>
          <c:invertIfNegative val="0"/>
          <c:cat>
            <c:numRef>
              <c:f>'Income Statement'!$AJ$18:$AJ$20</c:f>
              <c:numCache>
                <c:formatCode>General</c:formatCode>
                <c:ptCount val="3"/>
                <c:pt idx="0">
                  <c:v>2020</c:v>
                </c:pt>
                <c:pt idx="1">
                  <c:v>2021</c:v>
                </c:pt>
                <c:pt idx="2">
                  <c:v>2022</c:v>
                </c:pt>
              </c:numCache>
            </c:numRef>
          </c:cat>
          <c:val>
            <c:numRef>
              <c:f>'Income Statement'!$AN$18:$AN$20</c:f>
              <c:numCache>
                <c:formatCode>0%</c:formatCode>
                <c:ptCount val="3"/>
                <c:pt idx="0">
                  <c:v>2.05374330955134E-2</c:v>
                </c:pt>
                <c:pt idx="1">
                  <c:v>1.6941651128999601E-2</c:v>
                </c:pt>
                <c:pt idx="2">
                  <c:v>1.04555523561477E-2</c:v>
                </c:pt>
              </c:numCache>
            </c:numRef>
          </c:val>
          <c:extLst>
            <c:ext xmlns:c16="http://schemas.microsoft.com/office/drawing/2014/chart" uri="{C3380CC4-5D6E-409C-BE32-E72D297353CC}">
              <c16:uniqueId val="{00000005-0611-CD41-89D9-44C2DF443B53}"/>
            </c:ext>
          </c:extLst>
        </c:ser>
        <c:ser>
          <c:idx val="0"/>
          <c:order val="4"/>
          <c:tx>
            <c:strRef>
              <c:f>'Income Statement'!$AO$17</c:f>
              <c:strCache>
                <c:ptCount val="1"/>
                <c:pt idx="0">
                  <c:v>Net Profit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Statement'!$AJ$18:$AJ$20</c:f>
              <c:numCache>
                <c:formatCode>General</c:formatCode>
                <c:ptCount val="3"/>
                <c:pt idx="0">
                  <c:v>2020</c:v>
                </c:pt>
                <c:pt idx="1">
                  <c:v>2021</c:v>
                </c:pt>
                <c:pt idx="2">
                  <c:v>2022</c:v>
                </c:pt>
              </c:numCache>
            </c:numRef>
          </c:cat>
          <c:val>
            <c:numRef>
              <c:f>'Income Statement'!$AO$18:$AO$20</c:f>
              <c:numCache>
                <c:formatCode>0%</c:formatCode>
                <c:ptCount val="3"/>
                <c:pt idx="0">
                  <c:v>0.15459484346417438</c:v>
                </c:pt>
                <c:pt idx="1">
                  <c:v>0.24344954083425999</c:v>
                </c:pt>
                <c:pt idx="2">
                  <c:v>5.9209924333117031E-2</c:v>
                </c:pt>
              </c:numCache>
            </c:numRef>
          </c:val>
          <c:extLst>
            <c:ext xmlns:c16="http://schemas.microsoft.com/office/drawing/2014/chart" uri="{C3380CC4-5D6E-409C-BE32-E72D297353CC}">
              <c16:uniqueId val="{00000000-5E0F-2C4D-AD72-292F21CA1935}"/>
            </c:ext>
          </c:extLst>
        </c:ser>
        <c:dLbls>
          <c:showLegendKey val="0"/>
          <c:showVal val="0"/>
          <c:showCatName val="0"/>
          <c:showSerName val="0"/>
          <c:showPercent val="0"/>
          <c:showBubbleSize val="0"/>
        </c:dLbls>
        <c:gapWidth val="94"/>
        <c:overlap val="100"/>
        <c:axId val="552972207"/>
        <c:axId val="553093631"/>
      </c:barChart>
      <c:catAx>
        <c:axId val="552972207"/>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553093631"/>
        <c:crosses val="autoZero"/>
        <c:auto val="1"/>
        <c:lblAlgn val="ctr"/>
        <c:lblOffset val="100"/>
        <c:noMultiLvlLbl val="0"/>
      </c:catAx>
      <c:valAx>
        <c:axId val="553093631"/>
        <c:scaling>
          <c:orientation val="minMax"/>
        </c:scaling>
        <c:delete val="0"/>
        <c:axPos val="t"/>
        <c:numFmt formatCode="0%"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552972207"/>
        <c:crosses val="autoZero"/>
        <c:crossBetween val="between"/>
        <c:majorUnit val="0.2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1">
                    <a:lumMod val="65000"/>
                    <a:lumOff val="35000"/>
                  </a:schemeClr>
                </a:solidFill>
              </a:defRPr>
            </a:pPr>
            <a:r>
              <a:rPr lang="en-US" sz="1000">
                <a:solidFill>
                  <a:schemeClr val="tx1">
                    <a:lumMod val="65000"/>
                    <a:lumOff val="35000"/>
                  </a:schemeClr>
                </a:solidFill>
              </a:rPr>
              <a:t>Profit and Loss</a:t>
            </a:r>
          </a:p>
        </c:rich>
      </c:tx>
      <c:layout>
        <c:manualLayout>
          <c:xMode val="edge"/>
          <c:yMode val="edge"/>
          <c:x val="3.6852329743107738E-2"/>
          <c:y val="0.1194459566520167"/>
        </c:manualLayout>
      </c:layout>
      <c:overlay val="0"/>
    </c:title>
    <c:autoTitleDeleted val="0"/>
    <c:plotArea>
      <c:layout>
        <c:manualLayout>
          <c:layoutTarget val="inner"/>
          <c:xMode val="edge"/>
          <c:yMode val="edge"/>
          <c:x val="8.1743179242816044E-2"/>
          <c:y val="0.21163242525718767"/>
          <c:w val="0.72321133796521031"/>
          <c:h val="0.68079711067649529"/>
        </c:manualLayout>
      </c:layout>
      <c:barChart>
        <c:barDir val="col"/>
        <c:grouping val="clustered"/>
        <c:varyColors val="0"/>
        <c:ser>
          <c:idx val="0"/>
          <c:order val="0"/>
          <c:tx>
            <c:strRef>
              <c:f>Sheet2!$D$1</c:f>
              <c:strCache>
                <c:ptCount val="1"/>
                <c:pt idx="0">
                  <c:v>Ends</c:v>
                </c:pt>
              </c:strCache>
            </c:strRef>
          </c:tx>
          <c:spPr>
            <a:solidFill>
              <a:schemeClr val="accent1">
                <a:lumMod val="75000"/>
              </a:schemeClr>
            </a:solidFill>
            <a:ln w="25400">
              <a:noFill/>
            </a:ln>
          </c:spPr>
          <c:invertIfNegative val="0"/>
          <c:dPt>
            <c:idx val="0"/>
            <c:invertIfNegative val="0"/>
            <c:bubble3D val="0"/>
            <c:extLst>
              <c:ext xmlns:c16="http://schemas.microsoft.com/office/drawing/2014/chart" uri="{C3380CC4-5D6E-409C-BE32-E72D297353CC}">
                <c16:uniqueId val="{00000001-4FA0-F749-BE5A-7E61D2F3245E}"/>
              </c:ext>
            </c:extLst>
          </c:dPt>
          <c:dPt>
            <c:idx val="4"/>
            <c:invertIfNegative val="0"/>
            <c:bubble3D val="0"/>
            <c:extLst>
              <c:ext xmlns:c16="http://schemas.microsoft.com/office/drawing/2014/chart" uri="{C3380CC4-5D6E-409C-BE32-E72D297353CC}">
                <c16:uniqueId val="{00000003-4FA0-F749-BE5A-7E61D2F3245E}"/>
              </c:ext>
            </c:extLst>
          </c:dPt>
          <c:dLbls>
            <c:spPr>
              <a:noFill/>
              <a:ln>
                <a:noFill/>
              </a:ln>
              <a:effectLst/>
            </c:spPr>
            <c:txPr>
              <a:bodyPr wrap="square" lIns="38100" tIns="19050" rIns="38100" bIns="19050" anchor="ctr">
                <a:spAutoFit/>
              </a:bodyPr>
              <a:lstStyle/>
              <a:p>
                <a:pPr>
                  <a:defRPr b="1"/>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cat>
          <c:val>
            <c:numRef>
              <c:f>Sheet2!$D$2:$D$8</c:f>
              <c:numCache>
                <c:formatCode>General;\-General;;</c:formatCode>
                <c:ptCount val="7"/>
                <c:pt idx="0">
                  <c:v>149.69999999999999</c:v>
                </c:pt>
                <c:pt idx="1">
                  <c:v>0</c:v>
                </c:pt>
                <c:pt idx="2">
                  <c:v>0</c:v>
                </c:pt>
                <c:pt idx="3">
                  <c:v>0</c:v>
                </c:pt>
                <c:pt idx="4">
                  <c:v>0</c:v>
                </c:pt>
                <c:pt idx="5">
                  <c:v>0</c:v>
                </c:pt>
                <c:pt idx="6" formatCode="General">
                  <c:v>34.5</c:v>
                </c:pt>
              </c:numCache>
            </c:numRef>
          </c:val>
          <c:extLst>
            <c:ext xmlns:c16="http://schemas.microsoft.com/office/drawing/2014/chart" uri="{C3380CC4-5D6E-409C-BE32-E72D297353CC}">
              <c16:uniqueId val="{00000004-4FA0-F749-BE5A-7E61D2F3245E}"/>
            </c:ext>
          </c:extLst>
        </c:ser>
        <c:dLbls>
          <c:showLegendKey val="0"/>
          <c:showVal val="0"/>
          <c:showCatName val="0"/>
          <c:showSerName val="0"/>
          <c:showPercent val="0"/>
          <c:showBubbleSize val="0"/>
        </c:dLbls>
        <c:gapWidth val="50"/>
        <c:axId val="542286208"/>
        <c:axId val="542288128"/>
      </c:barChart>
      <c:lineChart>
        <c:grouping val="standard"/>
        <c:varyColors val="0"/>
        <c:ser>
          <c:idx val="1"/>
          <c:order val="1"/>
          <c:tx>
            <c:strRef>
              <c:f>Sheet2!$E$1</c:f>
              <c:strCache>
                <c:ptCount val="1"/>
                <c:pt idx="0">
                  <c:v>Before</c:v>
                </c:pt>
              </c:strCache>
            </c:strRef>
          </c:tx>
          <c:spPr>
            <a:ln w="19050">
              <a:noFill/>
            </a:ln>
          </c:spPr>
          <c:marker>
            <c:symbol val="none"/>
          </c:marker>
          <c:cat>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cat>
          <c:val>
            <c:numRef>
              <c:f>Sheet2!$E$2:$E$8</c:f>
              <c:numCache>
                <c:formatCode>General</c:formatCode>
                <c:ptCount val="7"/>
                <c:pt idx="1">
                  <c:v>149.69999999999999</c:v>
                </c:pt>
                <c:pt idx="2">
                  <c:v>41.099999999999994</c:v>
                </c:pt>
                <c:pt idx="3">
                  <c:v>37.699999999999996</c:v>
                </c:pt>
                <c:pt idx="4">
                  <c:v>35.199999999999996</c:v>
                </c:pt>
                <c:pt idx="5">
                  <c:v>32.699999999999996</c:v>
                </c:pt>
              </c:numCache>
            </c:numRef>
          </c:val>
          <c:smooth val="0"/>
          <c:extLst>
            <c:ext xmlns:c16="http://schemas.microsoft.com/office/drawing/2014/chart" uri="{C3380CC4-5D6E-409C-BE32-E72D297353CC}">
              <c16:uniqueId val="{00000005-4FA0-F749-BE5A-7E61D2F3245E}"/>
            </c:ext>
          </c:extLst>
        </c:ser>
        <c:ser>
          <c:idx val="2"/>
          <c:order val="2"/>
          <c:tx>
            <c:strRef>
              <c:f>Sheet2!$F$1</c:f>
              <c:strCache>
                <c:ptCount val="1"/>
                <c:pt idx="0">
                  <c:v>After</c:v>
                </c:pt>
              </c:strCache>
            </c:strRef>
          </c:tx>
          <c:spPr>
            <a:ln w="19050">
              <a:noFill/>
            </a:ln>
          </c:spPr>
          <c:marker>
            <c:symbol val="none"/>
          </c:marker>
          <c:cat>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cat>
          <c:val>
            <c:numRef>
              <c:f>Sheet2!$F$2:$F$8</c:f>
              <c:numCache>
                <c:formatCode>General</c:formatCode>
                <c:ptCount val="7"/>
                <c:pt idx="1">
                  <c:v>41.099999999999994</c:v>
                </c:pt>
                <c:pt idx="2">
                  <c:v>37.699999999999996</c:v>
                </c:pt>
                <c:pt idx="3">
                  <c:v>35.199999999999996</c:v>
                </c:pt>
                <c:pt idx="4">
                  <c:v>32.699999999999996</c:v>
                </c:pt>
                <c:pt idx="5">
                  <c:v>34.499999999999993</c:v>
                </c:pt>
              </c:numCache>
            </c:numRef>
          </c:val>
          <c:smooth val="0"/>
          <c:extLst>
            <c:ext xmlns:c16="http://schemas.microsoft.com/office/drawing/2014/chart" uri="{C3380CC4-5D6E-409C-BE32-E72D297353CC}">
              <c16:uniqueId val="{00000006-4FA0-F749-BE5A-7E61D2F3245E}"/>
            </c:ext>
          </c:extLst>
        </c:ser>
        <c:dLbls>
          <c:showLegendKey val="0"/>
          <c:showVal val="0"/>
          <c:showCatName val="0"/>
          <c:showSerName val="0"/>
          <c:showPercent val="0"/>
          <c:showBubbleSize val="0"/>
        </c:dLbls>
        <c:upDownBars>
          <c:gapWidth val="50"/>
          <c:upBars>
            <c:spPr>
              <a:solidFill>
                <a:srgbClr val="2CA02C"/>
              </a:solidFill>
              <a:ln w="6350">
                <a:noFill/>
              </a:ln>
            </c:spPr>
          </c:upBars>
          <c:downBars>
            <c:spPr>
              <a:solidFill>
                <a:srgbClr val="E41A1C"/>
              </a:solidFill>
              <a:ln w="6350">
                <a:noFill/>
              </a:ln>
            </c:spPr>
          </c:downBars>
        </c:upDownBars>
        <c:marker val="1"/>
        <c:smooth val="0"/>
        <c:axId val="542286208"/>
        <c:axId val="542288128"/>
      </c:lineChart>
      <c:lineChart>
        <c:grouping val="standard"/>
        <c:varyColors val="0"/>
        <c:ser>
          <c:idx val="4"/>
          <c:order val="4"/>
          <c:tx>
            <c:strRef>
              <c:f>Sheet2!$H$1</c:f>
              <c:strCache>
                <c:ptCount val="1"/>
                <c:pt idx="0">
                  <c:v>Center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7-4FA0-F749-BE5A-7E61D2F3245E}"/>
                </c:ext>
              </c:extLst>
            </c:dLbl>
            <c:spPr>
              <a:noFill/>
              <a:ln>
                <a:noFill/>
              </a:ln>
              <a:effectLst/>
            </c:sp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Sheet2!$K$2:$K$8</c:f>
              <c:numCache>
                <c:formatCode>General</c:formatCode>
                <c:ptCount val="7"/>
                <c:pt idx="1">
                  <c:v>-108.6</c:v>
                </c:pt>
                <c:pt idx="2">
                  <c:v>-3.4</c:v>
                </c:pt>
                <c:pt idx="3">
                  <c:v>-2.5</c:v>
                </c:pt>
                <c:pt idx="4">
                  <c:v>-2.5</c:v>
                </c:pt>
                <c:pt idx="5">
                  <c:v>1.8</c:v>
                </c:pt>
              </c:numCache>
            </c:numRef>
          </c:cat>
          <c:val>
            <c:numRef>
              <c:f>Sheet2!$H$2:$H$8</c:f>
              <c:numCache>
                <c:formatCode>General</c:formatCode>
                <c:ptCount val="7"/>
                <c:pt idx="0">
                  <c:v>0</c:v>
                </c:pt>
                <c:pt idx="1">
                  <c:v>#N/A</c:v>
                </c:pt>
                <c:pt idx="2">
                  <c:v>#N/A</c:v>
                </c:pt>
                <c:pt idx="3">
                  <c:v>#N/A</c:v>
                </c:pt>
                <c:pt idx="4">
                  <c:v>#N/A</c:v>
                </c:pt>
                <c:pt idx="5">
                  <c:v>#N/A</c:v>
                </c:pt>
              </c:numCache>
            </c:numRef>
          </c:val>
          <c:smooth val="0"/>
          <c:extLst>
            <c:ext xmlns:c16="http://schemas.microsoft.com/office/drawing/2014/chart" uri="{C3380CC4-5D6E-409C-BE32-E72D297353CC}">
              <c16:uniqueId val="{00000008-4FA0-F749-BE5A-7E61D2F3245E}"/>
            </c:ext>
          </c:extLst>
        </c:ser>
        <c:ser>
          <c:idx val="5"/>
          <c:order val="5"/>
          <c:tx>
            <c:strRef>
              <c:f>Sheet2!$I$1</c:f>
              <c:strCache>
                <c:ptCount val="1"/>
                <c:pt idx="0">
                  <c:v>Above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9-4FA0-F749-BE5A-7E61D2F3245E}"/>
                </c:ext>
              </c:extLst>
            </c:dLbl>
            <c:spPr>
              <a:noFill/>
              <a:ln>
                <a:noFill/>
              </a:ln>
              <a:effectLst/>
            </c:spPr>
            <c:dLblPos val="t"/>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Sheet2!$K$2:$K$8</c:f>
              <c:numCache>
                <c:formatCode>General</c:formatCode>
                <c:ptCount val="7"/>
                <c:pt idx="1">
                  <c:v>-108.6</c:v>
                </c:pt>
                <c:pt idx="2">
                  <c:v>-3.4</c:v>
                </c:pt>
                <c:pt idx="3">
                  <c:v>-2.5</c:v>
                </c:pt>
                <c:pt idx="4">
                  <c:v>-2.5</c:v>
                </c:pt>
                <c:pt idx="5">
                  <c:v>1.8</c:v>
                </c:pt>
              </c:numCache>
            </c:numRef>
          </c:cat>
          <c:val>
            <c:numRef>
              <c:f>Sheet2!$I$2:$I$8</c:f>
              <c:numCache>
                <c:formatCode>General</c:formatCode>
                <c:ptCount val="7"/>
                <c:pt idx="0">
                  <c:v>0</c:v>
                </c:pt>
                <c:pt idx="1">
                  <c:v>#N/A</c:v>
                </c:pt>
                <c:pt idx="2">
                  <c:v>#N/A</c:v>
                </c:pt>
                <c:pt idx="3">
                  <c:v>#N/A</c:v>
                </c:pt>
                <c:pt idx="4">
                  <c:v>#N/A</c:v>
                </c:pt>
                <c:pt idx="5">
                  <c:v>#N/A</c:v>
                </c:pt>
              </c:numCache>
            </c:numRef>
          </c:val>
          <c:smooth val="0"/>
          <c:extLst>
            <c:ext xmlns:c16="http://schemas.microsoft.com/office/drawing/2014/chart" uri="{C3380CC4-5D6E-409C-BE32-E72D297353CC}">
              <c16:uniqueId val="{0000000A-4FA0-F749-BE5A-7E61D2F3245E}"/>
            </c:ext>
          </c:extLst>
        </c:ser>
        <c:dLbls>
          <c:showLegendKey val="0"/>
          <c:showVal val="0"/>
          <c:showCatName val="0"/>
          <c:showSerName val="0"/>
          <c:showPercent val="0"/>
          <c:showBubbleSize val="0"/>
        </c:dLbls>
        <c:marker val="1"/>
        <c:smooth val="0"/>
        <c:axId val="544425472"/>
        <c:axId val="544423936"/>
      </c:lineChart>
      <c:scatterChart>
        <c:scatterStyle val="lineMarker"/>
        <c:varyColors val="0"/>
        <c:ser>
          <c:idx val="3"/>
          <c:order val="3"/>
          <c:tx>
            <c:strRef>
              <c:f>Sheet2!$G$1</c:f>
              <c:strCache>
                <c:ptCount val="1"/>
                <c:pt idx="0">
                  <c:v>Line Y</c:v>
                </c:pt>
              </c:strCache>
            </c:strRef>
          </c:tx>
          <c:spPr>
            <a:ln w="19050">
              <a:noFill/>
            </a:ln>
          </c:spPr>
          <c:marker>
            <c:symbol val="none"/>
          </c:marker>
          <c:errBars>
            <c:errDir val="x"/>
            <c:errBarType val="both"/>
            <c:errValType val="fixedVal"/>
            <c:noEndCap val="1"/>
            <c:val val="0.83333333333333337"/>
          </c:errBars>
          <c:xVal>
            <c:numRef>
              <c:f>Sheet2!$C$2:$C$8</c:f>
              <c:numCache>
                <c:formatCode>General</c:formatCode>
                <c:ptCount val="7"/>
                <c:pt idx="0">
                  <c:v>1.5</c:v>
                </c:pt>
                <c:pt idx="1">
                  <c:v>2.5</c:v>
                </c:pt>
                <c:pt idx="2">
                  <c:v>3.5</c:v>
                </c:pt>
                <c:pt idx="3">
                  <c:v>4.5</c:v>
                </c:pt>
                <c:pt idx="4">
                  <c:v>5.5</c:v>
                </c:pt>
                <c:pt idx="5">
                  <c:v>6.5</c:v>
                </c:pt>
              </c:numCache>
            </c:numRef>
          </c:xVal>
          <c:yVal>
            <c:numRef>
              <c:f>Sheet2!$G$2:$G$8</c:f>
              <c:numCache>
                <c:formatCode>General</c:formatCode>
                <c:ptCount val="7"/>
                <c:pt idx="0">
                  <c:v>149.69999999999999</c:v>
                </c:pt>
                <c:pt idx="1">
                  <c:v>41.099999999999994</c:v>
                </c:pt>
                <c:pt idx="2">
                  <c:v>37.699999999999996</c:v>
                </c:pt>
                <c:pt idx="3">
                  <c:v>35.199999999999996</c:v>
                </c:pt>
                <c:pt idx="4">
                  <c:v>32.699999999999996</c:v>
                </c:pt>
                <c:pt idx="5">
                  <c:v>34.499999999999993</c:v>
                </c:pt>
              </c:numCache>
            </c:numRef>
          </c:yVal>
          <c:smooth val="0"/>
          <c:extLst>
            <c:ext xmlns:c16="http://schemas.microsoft.com/office/drawing/2014/chart" uri="{C3380CC4-5D6E-409C-BE32-E72D297353CC}">
              <c16:uniqueId val="{0000000B-4FA0-F749-BE5A-7E61D2F3245E}"/>
            </c:ext>
          </c:extLst>
        </c:ser>
        <c:ser>
          <c:idx val="6"/>
          <c:order val="6"/>
          <c:tx>
            <c:strRef>
              <c:f>Sheet2!$J$1</c:f>
              <c:strCache>
                <c:ptCount val="1"/>
                <c:pt idx="0">
                  <c:v>Below X</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4FA0-F749-BE5A-7E61D2F3245E}"/>
                </c:ext>
              </c:extLst>
            </c:dLbl>
            <c:spPr>
              <a:noFill/>
              <a:ln>
                <a:noFill/>
              </a:ln>
              <a:effectLst/>
            </c:spPr>
            <c:txPr>
              <a:bodyPr wrap="square" lIns="38100" tIns="19050" rIns="38100" bIns="19050" anchor="ctr">
                <a:spAutoFit/>
              </a:bodyPr>
              <a:lstStyle/>
              <a:p>
                <a:pPr>
                  <a:defRPr sz="800" b="1">
                    <a:latin typeface="+mn-lt"/>
                  </a:defRPr>
                </a:pPr>
                <a:endParaRPr lang="en-VN"/>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xVal>
          <c:yVal>
            <c:numRef>
              <c:f>Sheet2!$J$2:$J$8</c:f>
              <c:numCache>
                <c:formatCode>General</c:formatCode>
                <c:ptCount val="7"/>
                <c:pt idx="0">
                  <c:v>1</c:v>
                </c:pt>
                <c:pt idx="1">
                  <c:v>41.099999999999994</c:v>
                </c:pt>
                <c:pt idx="2">
                  <c:v>37.699999999999996</c:v>
                </c:pt>
                <c:pt idx="3">
                  <c:v>35.199999999999996</c:v>
                </c:pt>
                <c:pt idx="4">
                  <c:v>32.699999999999996</c:v>
                </c:pt>
                <c:pt idx="5">
                  <c:v>32.699999999999996</c:v>
                </c:pt>
              </c:numCache>
            </c:numRef>
          </c:yVal>
          <c:smooth val="0"/>
          <c:extLst>
            <c:ext xmlns:c16="http://schemas.microsoft.com/office/drawing/2014/chart" uri="{C3380CC4-5D6E-409C-BE32-E72D297353CC}">
              <c16:uniqueId val="{0000000D-4FA0-F749-BE5A-7E61D2F3245E}"/>
            </c:ext>
          </c:extLst>
        </c:ser>
        <c:dLbls>
          <c:showLegendKey val="0"/>
          <c:showVal val="0"/>
          <c:showCatName val="0"/>
          <c:showSerName val="0"/>
          <c:showPercent val="0"/>
          <c:showBubbleSize val="0"/>
        </c:dLbls>
        <c:axId val="542286208"/>
        <c:axId val="542288128"/>
      </c:scatterChart>
      <c:catAx>
        <c:axId val="542286208"/>
        <c:scaling>
          <c:orientation val="minMax"/>
        </c:scaling>
        <c:delete val="0"/>
        <c:axPos val="b"/>
        <c:numFmt formatCode="General" sourceLinked="1"/>
        <c:majorTickMark val="out"/>
        <c:minorTickMark val="none"/>
        <c:tickLblPos val="none"/>
        <c:spPr>
          <a:ln>
            <a:solidFill>
              <a:schemeClr val="bg1">
                <a:lumMod val="85000"/>
              </a:schemeClr>
            </a:solidFill>
          </a:ln>
        </c:spPr>
        <c:txPr>
          <a:bodyPr rot="0" vert="horz"/>
          <a:lstStyle/>
          <a:p>
            <a:pPr>
              <a:defRPr/>
            </a:pPr>
            <a:endParaRPr lang="en-VN"/>
          </a:p>
        </c:txPr>
        <c:crossAx val="542288128"/>
        <c:crosses val="autoZero"/>
        <c:auto val="0"/>
        <c:lblAlgn val="ctr"/>
        <c:lblOffset val="100"/>
        <c:tickLblSkip val="1"/>
        <c:noMultiLvlLbl val="0"/>
      </c:catAx>
      <c:valAx>
        <c:axId val="542288128"/>
        <c:scaling>
          <c:orientation val="minMax"/>
        </c:scaling>
        <c:delete val="0"/>
        <c:axPos val="l"/>
        <c:title>
          <c:tx>
            <c:rich>
              <a:bodyPr/>
              <a:lstStyle/>
              <a:p>
                <a:pPr>
                  <a:defRPr sz="800">
                    <a:solidFill>
                      <a:schemeClr val="bg1">
                        <a:lumMod val="85000"/>
                      </a:schemeClr>
                    </a:solidFill>
                  </a:defRPr>
                </a:pPr>
                <a:r>
                  <a:rPr lang="en-US" sz="800">
                    <a:solidFill>
                      <a:schemeClr val="bg1">
                        <a:lumMod val="85000"/>
                      </a:schemeClr>
                    </a:solidFill>
                  </a:rPr>
                  <a:t>TRILLION VNĐ</a:t>
                </a:r>
              </a:p>
            </c:rich>
          </c:tx>
          <c:layout>
            <c:manualLayout>
              <c:xMode val="edge"/>
              <c:yMode val="edge"/>
              <c:x val="3.4596169467203404E-2"/>
              <c:y val="0.19124043105019128"/>
            </c:manualLayout>
          </c:layout>
          <c:overlay val="0"/>
        </c:title>
        <c:numFmt formatCode="General;\-General;;" sourceLinked="1"/>
        <c:majorTickMark val="out"/>
        <c:minorTickMark val="none"/>
        <c:tickLblPos val="nextTo"/>
        <c:spPr>
          <a:noFill/>
          <a:ln>
            <a:solidFill>
              <a:schemeClr val="bg1">
                <a:lumMod val="75000"/>
              </a:schemeClr>
            </a:solidFill>
          </a:ln>
        </c:spPr>
        <c:txPr>
          <a:bodyPr/>
          <a:lstStyle/>
          <a:p>
            <a:pPr>
              <a:defRPr sz="800">
                <a:solidFill>
                  <a:schemeClr val="bg1">
                    <a:lumMod val="75000"/>
                  </a:schemeClr>
                </a:solidFill>
              </a:defRPr>
            </a:pPr>
            <a:endParaRPr lang="en-VN"/>
          </a:p>
        </c:txPr>
        <c:crossAx val="542286208"/>
        <c:crosses val="autoZero"/>
        <c:crossBetween val="between"/>
        <c:majorUnit val="25"/>
      </c:valAx>
      <c:valAx>
        <c:axId val="544423936"/>
        <c:scaling>
          <c:orientation val="minMax"/>
        </c:scaling>
        <c:delete val="1"/>
        <c:axPos val="r"/>
        <c:numFmt formatCode="General" sourceLinked="1"/>
        <c:majorTickMark val="out"/>
        <c:minorTickMark val="none"/>
        <c:tickLblPos val="nextTo"/>
        <c:crossAx val="544425472"/>
        <c:crosses val="max"/>
        <c:crossBetween val="between"/>
      </c:valAx>
      <c:catAx>
        <c:axId val="544425472"/>
        <c:scaling>
          <c:orientation val="minMax"/>
        </c:scaling>
        <c:delete val="1"/>
        <c:axPos val="b"/>
        <c:numFmt formatCode="General" sourceLinked="1"/>
        <c:majorTickMark val="out"/>
        <c:minorTickMark val="none"/>
        <c:tickLblPos val="nextTo"/>
        <c:crossAx val="544423936"/>
        <c:crosses val="autoZero"/>
        <c:auto val="1"/>
        <c:lblAlgn val="ctr"/>
        <c:lblOffset val="100"/>
        <c:noMultiLvlLbl val="0"/>
      </c:catAx>
      <c:spPr>
        <a:noFill/>
        <a:ln>
          <a:noFill/>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a:noFill/>
            </a14:hiddenLine>
          </a:ext>
        </a:extLst>
      </c:spPr>
    </c:plotArea>
    <c:plotVisOnly val="1"/>
    <c:dispBlanksAs val="gap"/>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60594168330744769"/>
          <c:w val="0.74160528036050299"/>
          <c:h val="0.35139474397850257"/>
        </c:manualLayout>
      </c:layout>
      <c:lineChart>
        <c:grouping val="standard"/>
        <c:varyColors val="0"/>
        <c:ser>
          <c:idx val="1"/>
          <c:order val="0"/>
          <c:tx>
            <c:strRef>
              <c:f>'Income Statement'!$AR$9</c:f>
              <c:strCache>
                <c:ptCount val="1"/>
                <c:pt idx="0">
                  <c:v>Tax Expenses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DCB4-B043-B3F3-F4901414A873}"/>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B4-B043-B3F3-F4901414A87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Statement'!$AJ$10:$AJ$14</c:f>
              <c:numCache>
                <c:formatCode>General</c:formatCode>
                <c:ptCount val="5"/>
                <c:pt idx="0">
                  <c:v>2018</c:v>
                </c:pt>
                <c:pt idx="1">
                  <c:v>2019</c:v>
                </c:pt>
                <c:pt idx="2">
                  <c:v>2020</c:v>
                </c:pt>
                <c:pt idx="3">
                  <c:v>2021</c:v>
                </c:pt>
                <c:pt idx="4">
                  <c:v>2022</c:v>
                </c:pt>
              </c:numCache>
            </c:numRef>
          </c:cat>
          <c:val>
            <c:numRef>
              <c:f>'Income Statement'!$AR$10:$AR$14</c:f>
              <c:numCache>
                <c:formatCode>0.0</c:formatCode>
                <c:ptCount val="5"/>
                <c:pt idx="0">
                  <c:v>1.47</c:v>
                </c:pt>
                <c:pt idx="1">
                  <c:v>1.52</c:v>
                </c:pt>
                <c:pt idx="2" formatCode="General">
                  <c:v>1.9</c:v>
                </c:pt>
                <c:pt idx="3" formatCode="General">
                  <c:v>2.5</c:v>
                </c:pt>
                <c:pt idx="4" formatCode="General">
                  <c:v>1.5</c:v>
                </c:pt>
              </c:numCache>
            </c:numRef>
          </c:val>
          <c:smooth val="0"/>
          <c:extLst>
            <c:ext xmlns:c16="http://schemas.microsoft.com/office/drawing/2014/chart" uri="{C3380CC4-5D6E-409C-BE32-E72D297353CC}">
              <c16:uniqueId val="{00000001-DCB4-B043-B3F3-F4901414A873}"/>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max val="1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5260515627445E-3"/>
              <c:y val="0.593595268688683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0" sourceLinked="0"/>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2"/>
        <c:min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'Income Statement'!$AR$4</c:f>
              <c:strCache>
                <c:ptCount val="1"/>
                <c:pt idx="0">
                  <c:v>Tax Expenses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'Income Statement'!$AJ$6</c:f>
              <c:numCache>
                <c:formatCode>General</c:formatCode>
                <c:ptCount val="1"/>
                <c:pt idx="0">
                  <c:v>2022</c:v>
                </c:pt>
              </c:numCache>
            </c:numRef>
          </c:cat>
          <c:val>
            <c:numRef>
              <c:f>'Income Statement'!$AR$5</c:f>
              <c:numCache>
                <c:formatCode>General</c:formatCode>
                <c:ptCount val="1"/>
                <c:pt idx="0">
                  <c:v>1.5</c:v>
                </c:pt>
              </c:numCache>
            </c:numRef>
          </c:val>
          <c:extLst>
            <c:ext xmlns:c16="http://schemas.microsoft.com/office/drawing/2014/chart" uri="{C3380CC4-5D6E-409C-BE32-E72D297353CC}">
              <c16:uniqueId val="{00000000-FAA4-F84E-BEC9-0200B921F129}"/>
            </c:ext>
          </c:extLst>
        </c:ser>
        <c:ser>
          <c:idx val="1"/>
          <c:order val="1"/>
          <c:tx>
            <c:v>2021</c:v>
          </c:tx>
          <c:spPr>
            <a:pattFill prst="pct10">
              <a:fgClr>
                <a:schemeClr val="accent1">
                  <a:lumMod val="75000"/>
                </a:schemeClr>
              </a:fgClr>
              <a:bgClr>
                <a:schemeClr val="bg1"/>
              </a:bgClr>
            </a:pattFill>
            <a:ln>
              <a:noFill/>
            </a:ln>
            <a:effectLst/>
          </c:spPr>
          <c:invertIfNegative val="0"/>
          <c:dLbls>
            <c:dLbl>
              <c:idx val="0"/>
              <c:layout>
                <c:manualLayout>
                  <c:x val="-0.21142627788496185"/>
                  <c:y val="-0.35091546325785672"/>
                </c:manualLayout>
              </c:layout>
              <c:tx>
                <c:rich>
                  <a:bodyPr/>
                  <a:lstStyle/>
                  <a:p>
                    <a:r>
                      <a:rPr lang="en-US" sz="1000" b="1">
                        <a:solidFill>
                          <a:schemeClr val="accent1">
                            <a:lumMod val="75000"/>
                          </a:schemeClr>
                        </a:solidFill>
                      </a:rPr>
                      <a:t>2021  2.5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FAA4-F84E-BEC9-0200B921F1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'Income Statement'!$AJ$6</c:f>
              <c:numCache>
                <c:formatCode>General</c:formatCode>
                <c:ptCount val="1"/>
                <c:pt idx="0">
                  <c:v>2022</c:v>
                </c:pt>
              </c:numCache>
            </c:numRef>
          </c:cat>
          <c:val>
            <c:numRef>
              <c:f>'Income Statement'!$AR$6</c:f>
              <c:numCache>
                <c:formatCode>General</c:formatCode>
                <c:ptCount val="1"/>
                <c:pt idx="0">
                  <c:v>1</c:v>
                </c:pt>
              </c:numCache>
            </c:numRef>
          </c:val>
          <c:extLst>
            <c:ext xmlns:c16="http://schemas.microsoft.com/office/drawing/2014/chart" uri="{C3380CC4-5D6E-409C-BE32-E72D297353CC}">
              <c16:uniqueId val="{00000002-FAA4-F84E-BEC9-0200B921F129}"/>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1577600246156"/>
          <c:y val="0.60594168330744769"/>
          <c:w val="0.74160528036050299"/>
          <c:h val="0.35139474397850257"/>
        </c:manualLayout>
      </c:layout>
      <c:lineChart>
        <c:grouping val="standard"/>
        <c:varyColors val="0"/>
        <c:ser>
          <c:idx val="0"/>
          <c:order val="0"/>
          <c:tx>
            <c:strRef>
              <c:f>'Balance Sheet'!$AM$43</c:f>
              <c:strCache>
                <c:ptCount val="1"/>
                <c:pt idx="0">
                  <c:v>Total Liability and Shareholder Equity</c:v>
                </c:pt>
              </c:strCache>
            </c:strRef>
          </c:tx>
          <c:spPr>
            <a:ln w="28575" cap="rnd">
              <a:solidFill>
                <a:schemeClr val="accent1"/>
              </a:solidFill>
              <a:round/>
            </a:ln>
            <a:effectLst/>
          </c:spPr>
          <c:marker>
            <c:symbol val="none"/>
          </c:marker>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CABD-F042-A6A3-CCC8CCC55FA0}"/>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ABD-F042-A6A3-CCC8CCC55FA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Sheet'!$AL$44:$AL$48</c:f>
              <c:numCache>
                <c:formatCode>General</c:formatCode>
                <c:ptCount val="5"/>
                <c:pt idx="0">
                  <c:v>2018</c:v>
                </c:pt>
                <c:pt idx="1">
                  <c:v>2019</c:v>
                </c:pt>
                <c:pt idx="2">
                  <c:v>2020</c:v>
                </c:pt>
                <c:pt idx="3">
                  <c:v>2021</c:v>
                </c:pt>
                <c:pt idx="4">
                  <c:v>2022</c:v>
                </c:pt>
              </c:numCache>
            </c:numRef>
          </c:cat>
          <c:val>
            <c:numRef>
              <c:f>'Balance Sheet'!$AM$44:$AM$48</c:f>
              <c:numCache>
                <c:formatCode>General</c:formatCode>
                <c:ptCount val="5"/>
                <c:pt idx="0">
                  <c:v>78.2</c:v>
                </c:pt>
                <c:pt idx="1">
                  <c:v>101.8</c:v>
                </c:pt>
                <c:pt idx="2">
                  <c:v>131.5</c:v>
                </c:pt>
                <c:pt idx="3">
                  <c:v>178.2</c:v>
                </c:pt>
                <c:pt idx="4">
                  <c:v>170.3</c:v>
                </c:pt>
              </c:numCache>
            </c:numRef>
          </c:val>
          <c:smooth val="0"/>
          <c:extLst>
            <c:ext xmlns:c16="http://schemas.microsoft.com/office/drawing/2014/chart" uri="{C3380CC4-5D6E-409C-BE32-E72D297353CC}">
              <c16:uniqueId val="{00000005-CABD-F042-A6A3-CCC8CCC55FA0}"/>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8.3664883949741906E-3"/>
              <c:y val="0.584388790770177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'Income Statement'!$AN$4</c:f>
              <c:strCache>
                <c:ptCount val="1"/>
                <c:pt idx="0">
                  <c:v>EBT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Sheet'!$AP$48</c:f>
              <c:numCache>
                <c:formatCode>General</c:formatCode>
                <c:ptCount val="1"/>
                <c:pt idx="0">
                  <c:v>2022</c:v>
                </c:pt>
              </c:numCache>
            </c:numRef>
          </c:cat>
          <c:val>
            <c:numRef>
              <c:f>'Balance Sheet'!$AQ$48</c:f>
              <c:numCache>
                <c:formatCode>General</c:formatCode>
                <c:ptCount val="1"/>
                <c:pt idx="0">
                  <c:v>170.3</c:v>
                </c:pt>
              </c:numCache>
            </c:numRef>
          </c:val>
          <c:extLst>
            <c:ext xmlns:c16="http://schemas.microsoft.com/office/drawing/2014/chart" uri="{C3380CC4-5D6E-409C-BE32-E72D297353CC}">
              <c16:uniqueId val="{00000000-CB5B-0F41-AB79-CD284E18053C}"/>
            </c:ext>
          </c:extLst>
        </c:ser>
        <c:ser>
          <c:idx val="0"/>
          <c:order val="1"/>
          <c:tx>
            <c:v>2021</c:v>
          </c:tx>
          <c:spPr>
            <a:pattFill prst="pct10">
              <a:fgClr>
                <a:schemeClr val="accent1">
                  <a:lumMod val="75000"/>
                </a:schemeClr>
              </a:fgClr>
              <a:bgClr>
                <a:schemeClr val="bg1"/>
              </a:bgClr>
            </a:pattFill>
            <a:ln>
              <a:noFill/>
            </a:ln>
            <a:effectLst/>
          </c:spPr>
          <c:invertIfNegative val="0"/>
          <c:dLbls>
            <c:dLbl>
              <c:idx val="0"/>
              <c:layout>
                <c:manualLayout>
                  <c:x val="-6.114974632416903E-2"/>
                  <c:y val="-0.32660254495489577"/>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accent1">
                            <a:lumMod val="75000"/>
                          </a:schemeClr>
                        </a:solidFill>
                        <a:latin typeface="+mn-lt"/>
                        <a:ea typeface="+mn-ea"/>
                        <a:cs typeface="+mn-cs"/>
                      </a:defRPr>
                    </a:pPr>
                    <a:r>
                      <a:rPr lang="en-US" b="1">
                        <a:solidFill>
                          <a:schemeClr val="accent1">
                            <a:lumMod val="75000"/>
                          </a:schemeClr>
                        </a:solidFill>
                      </a:rPr>
                      <a:t>2021</a:t>
                    </a:r>
                    <a:r>
                      <a:rPr lang="en-US" b="1" baseline="0">
                        <a:solidFill>
                          <a:schemeClr val="accent1">
                            <a:lumMod val="75000"/>
                          </a:schemeClr>
                        </a:solidFill>
                      </a:rPr>
                      <a:t>  </a:t>
                    </a:r>
                    <a:r>
                      <a:rPr lang="en-US" b="1">
                        <a:solidFill>
                          <a:schemeClr val="accent1">
                            <a:lumMod val="75000"/>
                          </a:schemeClr>
                        </a:solidFill>
                      </a:rPr>
                      <a:t>178,2</a:t>
                    </a:r>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accent1">
                          <a:lumMod val="75000"/>
                        </a:schemeClr>
                      </a:solidFill>
                      <a:latin typeface="+mn-lt"/>
                      <a:ea typeface="+mn-ea"/>
                      <a:cs typeface="+mn-cs"/>
                    </a:defRPr>
                  </a:pPr>
                  <a:endParaRPr lang="en-VN"/>
                </a:p>
              </c:txPr>
              <c:showLegendKey val="0"/>
              <c:showVal val="1"/>
              <c:showCatName val="1"/>
              <c:showSerName val="0"/>
              <c:showPercent val="0"/>
              <c:showBubbleSize val="0"/>
              <c:extLst>
                <c:ext xmlns:c15="http://schemas.microsoft.com/office/drawing/2012/chart" uri="{CE6537A1-D6FC-4f65-9D91-7224C49458BB}">
                  <c15:layout>
                    <c:manualLayout>
                      <c:w val="0.17750302106990545"/>
                      <c:h val="0.2344856655448686"/>
                    </c:manualLayout>
                  </c15:layout>
                  <c15:showDataLabelsRange val="0"/>
                </c:ext>
                <c:ext xmlns:c16="http://schemas.microsoft.com/office/drawing/2014/chart" uri="{C3380CC4-5D6E-409C-BE32-E72D297353CC}">
                  <c16:uniqueId val="{00000001-CB5B-0F41-AB79-CD284E18053C}"/>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Sheet'!$AP$48</c:f>
              <c:numCache>
                <c:formatCode>General</c:formatCode>
                <c:ptCount val="1"/>
                <c:pt idx="0">
                  <c:v>2022</c:v>
                </c:pt>
              </c:numCache>
            </c:numRef>
          </c:cat>
          <c:val>
            <c:numRef>
              <c:f>'Balance Sheet'!$AQ$47</c:f>
              <c:numCache>
                <c:formatCode>General</c:formatCode>
                <c:ptCount val="1"/>
                <c:pt idx="0">
                  <c:v>7.9</c:v>
                </c:pt>
              </c:numCache>
            </c:numRef>
          </c:val>
          <c:extLst>
            <c:ext xmlns:c16="http://schemas.microsoft.com/office/drawing/2014/chart" uri="{C3380CC4-5D6E-409C-BE32-E72D297353CC}">
              <c16:uniqueId val="{00000002-CB5B-0F41-AB79-CD284E18053C}"/>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82672466645816"/>
          <c:y val="0.20155089487288552"/>
          <c:w val="0.86518324356947396"/>
          <c:h val="0.57095477895137614"/>
        </c:manualLayout>
      </c:layout>
      <c:barChart>
        <c:barDir val="bar"/>
        <c:grouping val="stacked"/>
        <c:varyColors val="0"/>
        <c:ser>
          <c:idx val="1"/>
          <c:order val="0"/>
          <c:tx>
            <c:strRef>
              <c:f>'Balance Sheet'!$AQ$76</c:f>
              <c:strCache>
                <c:ptCount val="1"/>
                <c:pt idx="0">
                  <c:v>Current Liabilities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Sheet'!$AP$78</c:f>
              <c:numCache>
                <c:formatCode>General</c:formatCode>
                <c:ptCount val="1"/>
                <c:pt idx="0">
                  <c:v>2022</c:v>
                </c:pt>
              </c:numCache>
            </c:numRef>
          </c:cat>
          <c:val>
            <c:numRef>
              <c:f>'Balance Sheet'!$AQ$78</c:f>
              <c:numCache>
                <c:formatCode>#,##0.00</c:formatCode>
                <c:ptCount val="1"/>
                <c:pt idx="0">
                  <c:v>62.39</c:v>
                </c:pt>
              </c:numCache>
            </c:numRef>
          </c:val>
          <c:extLst>
            <c:ext xmlns:c16="http://schemas.microsoft.com/office/drawing/2014/chart" uri="{C3380CC4-5D6E-409C-BE32-E72D297353CC}">
              <c16:uniqueId val="{00000000-AA03-5C42-BADD-130DCCA48183}"/>
            </c:ext>
          </c:extLst>
        </c:ser>
        <c:ser>
          <c:idx val="0"/>
          <c:order val="1"/>
          <c:tx>
            <c:strRef>
              <c:f>'Balance Sheet'!$AP$77</c:f>
              <c:strCache>
                <c:ptCount val="1"/>
                <c:pt idx="0">
                  <c:v>2021</c:v>
                </c:pt>
              </c:strCache>
            </c:strRef>
          </c:tx>
          <c:spPr>
            <a:solidFill>
              <a:schemeClr val="accent1"/>
            </a:solidFill>
            <a:ln>
              <a:noFill/>
            </a:ln>
            <a:effectLst/>
          </c:spPr>
          <c:invertIfNegative val="0"/>
          <c:dPt>
            <c:idx val="0"/>
            <c:invertIfNegative val="0"/>
            <c:bubble3D val="0"/>
            <c:spPr>
              <a:pattFill prst="pct10">
                <a:fgClr>
                  <a:schemeClr val="accent1">
                    <a:lumMod val="75000"/>
                  </a:schemeClr>
                </a:fgClr>
                <a:bgClr>
                  <a:schemeClr val="bg1"/>
                </a:bgClr>
              </a:pattFill>
              <a:ln>
                <a:noFill/>
              </a:ln>
              <a:effectLst/>
            </c:spPr>
            <c:extLst>
              <c:ext xmlns:c16="http://schemas.microsoft.com/office/drawing/2014/chart" uri="{C3380CC4-5D6E-409C-BE32-E72D297353CC}">
                <c16:uniqueId val="{00000002-AA03-5C42-BADD-130DCCA48183}"/>
              </c:ext>
            </c:extLst>
          </c:dPt>
          <c:dLbls>
            <c:dLbl>
              <c:idx val="0"/>
              <c:layout>
                <c:manualLayout>
                  <c:x val="-3.0155539678303925E-2"/>
                  <c:y val="-0.34703799640427613"/>
                </c:manualLayout>
              </c:layout>
              <c:tx>
                <c:rich>
                  <a:bodyPr/>
                  <a:lstStyle/>
                  <a:p>
                    <a:r>
                      <a:rPr lang="en-US"/>
                      <a:t>2021  73,46</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A03-5C42-BADD-130DCCA4818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'Balance Sheet'!$AQ$77</c:f>
              <c:numCache>
                <c:formatCode>#,##0.00</c:formatCode>
                <c:ptCount val="1"/>
                <c:pt idx="0">
                  <c:v>11.069999999999993</c:v>
                </c:pt>
              </c:numCache>
            </c:numRef>
          </c:val>
          <c:extLst>
            <c:ext xmlns:c16="http://schemas.microsoft.com/office/drawing/2014/chart" uri="{C3380CC4-5D6E-409C-BE32-E72D297353CC}">
              <c16:uniqueId val="{00000003-AA03-5C42-BADD-130DCCA48183}"/>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0.00"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6948328316975"/>
          <c:y val="0.60594168330744769"/>
          <c:w val="0.7365517297536136"/>
          <c:h val="0.34214586816846421"/>
        </c:manualLayout>
      </c:layout>
      <c:lineChart>
        <c:grouping val="standard"/>
        <c:varyColors val="0"/>
        <c:ser>
          <c:idx val="1"/>
          <c:order val="0"/>
          <c:tx>
            <c:strRef>
              <c:f>'Balance Sheet'!$AM$53</c:f>
              <c:strCache>
                <c:ptCount val="1"/>
                <c:pt idx="0">
                  <c:v>Current Assets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3-A58B-E340-A582-183EDDBBB25B}"/>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8B-E340-A582-183EDDBBB25B}"/>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Sheet'!$AL$54:$AL$58</c:f>
              <c:numCache>
                <c:formatCode>General</c:formatCode>
                <c:ptCount val="5"/>
                <c:pt idx="0">
                  <c:v>2018</c:v>
                </c:pt>
                <c:pt idx="1">
                  <c:v>2019</c:v>
                </c:pt>
                <c:pt idx="2">
                  <c:v>2020</c:v>
                </c:pt>
                <c:pt idx="3">
                  <c:v>2021</c:v>
                </c:pt>
                <c:pt idx="4">
                  <c:v>2022</c:v>
                </c:pt>
              </c:numCache>
            </c:numRef>
          </c:cat>
          <c:val>
            <c:numRef>
              <c:f>'Balance Sheet'!$AM$54:$AM$58</c:f>
              <c:numCache>
                <c:formatCode>General</c:formatCode>
                <c:ptCount val="5"/>
                <c:pt idx="0">
                  <c:v>25.31</c:v>
                </c:pt>
                <c:pt idx="1">
                  <c:v>30.44</c:v>
                </c:pt>
                <c:pt idx="2">
                  <c:v>56.75</c:v>
                </c:pt>
                <c:pt idx="3">
                  <c:v>94.15</c:v>
                </c:pt>
                <c:pt idx="4">
                  <c:v>80.510000000000005</c:v>
                </c:pt>
              </c:numCache>
            </c:numRef>
          </c:val>
          <c:smooth val="0"/>
          <c:extLst>
            <c:ext xmlns:c16="http://schemas.microsoft.com/office/drawing/2014/chart" uri="{C3380CC4-5D6E-409C-BE32-E72D297353CC}">
              <c16:uniqueId val="{00000002-A58B-E340-A582-183EDDBBB25B}"/>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1.9096438751383733E-2"/>
              <c:y val="0.583390716720514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'Balance Sheet'!$AQ$56</c:f>
              <c:strCache>
                <c:ptCount val="1"/>
                <c:pt idx="0">
                  <c:v>Current Asset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Sheet'!$AP$58</c:f>
              <c:numCache>
                <c:formatCode>General</c:formatCode>
                <c:ptCount val="1"/>
                <c:pt idx="0">
                  <c:v>2022</c:v>
                </c:pt>
              </c:numCache>
            </c:numRef>
          </c:cat>
          <c:val>
            <c:numRef>
              <c:f>'Balance Sheet'!$AQ$58</c:f>
              <c:numCache>
                <c:formatCode>General</c:formatCode>
                <c:ptCount val="1"/>
                <c:pt idx="0">
                  <c:v>80.510000000000005</c:v>
                </c:pt>
              </c:numCache>
            </c:numRef>
          </c:val>
          <c:extLst>
            <c:ext xmlns:c16="http://schemas.microsoft.com/office/drawing/2014/chart" uri="{C3380CC4-5D6E-409C-BE32-E72D297353CC}">
              <c16:uniqueId val="{00000004-4E31-324C-A542-834EE3713ACD}"/>
            </c:ext>
          </c:extLst>
        </c:ser>
        <c:ser>
          <c:idx val="0"/>
          <c:order val="1"/>
          <c:tx>
            <c:v>2021</c:v>
          </c:tx>
          <c:spPr>
            <a:pattFill prst="pct10">
              <a:fgClr>
                <a:schemeClr val="accent1">
                  <a:lumMod val="75000"/>
                </a:schemeClr>
              </a:fgClr>
              <a:bgClr>
                <a:schemeClr val="bg1"/>
              </a:bgClr>
            </a:pattFill>
            <a:ln>
              <a:noFill/>
            </a:ln>
            <a:effectLst/>
          </c:spPr>
          <c:invertIfNegative val="0"/>
          <c:dLbls>
            <c:dLbl>
              <c:idx val="0"/>
              <c:layout>
                <c:manualLayout>
                  <c:x val="-1.7918357192339331E-2"/>
                  <c:y val="-0.33029372084328928"/>
                </c:manualLayout>
              </c:layout>
              <c:tx>
                <c:rich>
                  <a:bodyPr/>
                  <a:lstStyle/>
                  <a:p>
                    <a:r>
                      <a:rPr lang="en-US"/>
                      <a:t>2021  94,15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4E31-324C-A542-834EE3713ACD}"/>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Sheet'!$AP$58</c:f>
              <c:numCache>
                <c:formatCode>General</c:formatCode>
                <c:ptCount val="1"/>
                <c:pt idx="0">
                  <c:v>2022</c:v>
                </c:pt>
              </c:numCache>
            </c:numRef>
          </c:cat>
          <c:val>
            <c:numRef>
              <c:f>'Balance Sheet'!$AQ$57</c:f>
              <c:numCache>
                <c:formatCode>General</c:formatCode>
                <c:ptCount val="1"/>
                <c:pt idx="0">
                  <c:v>13.64</c:v>
                </c:pt>
              </c:numCache>
            </c:numRef>
          </c:val>
          <c:extLst>
            <c:ext xmlns:c16="http://schemas.microsoft.com/office/drawing/2014/chart" uri="{C3380CC4-5D6E-409C-BE32-E72D297353CC}">
              <c16:uniqueId val="{00000005-4E31-324C-A542-834EE3713ACD}"/>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General"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6948328316975"/>
          <c:y val="0.54126768506860146"/>
          <c:w val="0.7365517297536136"/>
          <c:h val="0.34861326655454822"/>
        </c:manualLayout>
      </c:layout>
      <c:lineChart>
        <c:grouping val="standard"/>
        <c:varyColors val="0"/>
        <c:ser>
          <c:idx val="1"/>
          <c:order val="0"/>
          <c:tx>
            <c:strRef>
              <c:f>'Balance Sheet'!$AM$73</c:f>
              <c:strCache>
                <c:ptCount val="1"/>
                <c:pt idx="0">
                  <c:v>Current Liabilities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3-1A32-CD4B-8347-15F4C7149875}"/>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32-CD4B-8347-15F4C714987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Sheet'!$AL$74:$AL$78</c:f>
              <c:numCache>
                <c:formatCode>General</c:formatCode>
                <c:ptCount val="5"/>
                <c:pt idx="0">
                  <c:v>2018</c:v>
                </c:pt>
                <c:pt idx="1">
                  <c:v>2019</c:v>
                </c:pt>
                <c:pt idx="2">
                  <c:v>2020</c:v>
                </c:pt>
                <c:pt idx="3">
                  <c:v>2021</c:v>
                </c:pt>
                <c:pt idx="4">
                  <c:v>2022</c:v>
                </c:pt>
              </c:numCache>
            </c:numRef>
          </c:cat>
          <c:val>
            <c:numRef>
              <c:f>'Balance Sheet'!$AM$74:$AM$78</c:f>
              <c:numCache>
                <c:formatCode>General</c:formatCode>
                <c:ptCount val="5"/>
                <c:pt idx="0">
                  <c:v>22.64</c:v>
                </c:pt>
                <c:pt idx="1">
                  <c:v>26.98</c:v>
                </c:pt>
                <c:pt idx="2">
                  <c:v>51.98</c:v>
                </c:pt>
                <c:pt idx="3">
                  <c:v>73.459999999999994</c:v>
                </c:pt>
                <c:pt idx="4">
                  <c:v>62.39</c:v>
                </c:pt>
              </c:numCache>
            </c:numRef>
          </c:val>
          <c:smooth val="0"/>
          <c:extLst>
            <c:ext xmlns:c16="http://schemas.microsoft.com/office/drawing/2014/chart" uri="{C3380CC4-5D6E-409C-BE32-E72D297353CC}">
              <c16:uniqueId val="{00000002-1A32-CD4B-8347-15F4C7149875}"/>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1.9096495846759435E-2"/>
              <c:y val="0.518716859394076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679703914036611E-2"/>
          <c:y val="0.20155089487288552"/>
          <c:w val="0.877330188517223"/>
          <c:h val="0.57095477895137614"/>
        </c:manualLayout>
      </c:layout>
      <c:barChart>
        <c:barDir val="bar"/>
        <c:grouping val="stacked"/>
        <c:varyColors val="0"/>
        <c:ser>
          <c:idx val="1"/>
          <c:order val="0"/>
          <c:tx>
            <c:strRef>
              <c:f>'Balance Sheet'!$AQ$76</c:f>
              <c:strCache>
                <c:ptCount val="1"/>
                <c:pt idx="0">
                  <c:v>Current Liabilities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Sheet'!$AP$78</c:f>
              <c:numCache>
                <c:formatCode>General</c:formatCode>
                <c:ptCount val="1"/>
                <c:pt idx="0">
                  <c:v>2022</c:v>
                </c:pt>
              </c:numCache>
            </c:numRef>
          </c:cat>
          <c:val>
            <c:numRef>
              <c:f>'Balance Sheet'!$AQ$78</c:f>
              <c:numCache>
                <c:formatCode>#,##0.00</c:formatCode>
                <c:ptCount val="1"/>
                <c:pt idx="0">
                  <c:v>62.39</c:v>
                </c:pt>
              </c:numCache>
            </c:numRef>
          </c:val>
          <c:extLst>
            <c:ext xmlns:c16="http://schemas.microsoft.com/office/drawing/2014/chart" uri="{C3380CC4-5D6E-409C-BE32-E72D297353CC}">
              <c16:uniqueId val="{00000005-A1F3-874A-AA40-5ABDEAA6893F}"/>
            </c:ext>
          </c:extLst>
        </c:ser>
        <c:ser>
          <c:idx val="0"/>
          <c:order val="1"/>
          <c:tx>
            <c:strRef>
              <c:f>'Balance Sheet'!$AP$77</c:f>
              <c:strCache>
                <c:ptCount val="1"/>
                <c:pt idx="0">
                  <c:v>2021</c:v>
                </c:pt>
              </c:strCache>
            </c:strRef>
          </c:tx>
          <c:spPr>
            <a:solidFill>
              <a:schemeClr val="accent1"/>
            </a:solidFill>
            <a:ln>
              <a:noFill/>
            </a:ln>
            <a:effectLst/>
          </c:spPr>
          <c:invertIfNegative val="0"/>
          <c:dPt>
            <c:idx val="0"/>
            <c:invertIfNegative val="0"/>
            <c:bubble3D val="0"/>
            <c:spPr>
              <a:pattFill prst="pct10">
                <a:fgClr>
                  <a:schemeClr val="accent1">
                    <a:lumMod val="75000"/>
                  </a:schemeClr>
                </a:fgClr>
                <a:bgClr>
                  <a:schemeClr val="bg1"/>
                </a:bgClr>
              </a:pattFill>
              <a:ln>
                <a:noFill/>
              </a:ln>
              <a:effectLst/>
            </c:spPr>
            <c:extLst>
              <c:ext xmlns:c16="http://schemas.microsoft.com/office/drawing/2014/chart" uri="{C3380CC4-5D6E-409C-BE32-E72D297353CC}">
                <c16:uniqueId val="{00000007-A1F3-874A-AA40-5ABDEAA6893F}"/>
              </c:ext>
            </c:extLst>
          </c:dPt>
          <c:dLbls>
            <c:dLbl>
              <c:idx val="0"/>
              <c:layout>
                <c:manualLayout>
                  <c:x val="-1.1934871845343236E-2"/>
                  <c:y val="-0.32812050629008205"/>
                </c:manualLayout>
              </c:layout>
              <c:tx>
                <c:rich>
                  <a:bodyPr/>
                  <a:lstStyle/>
                  <a:p>
                    <a:r>
                      <a:rPr lang="en-US"/>
                      <a:t>2021  73,46</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1F3-874A-AA40-5ABDEAA6893F}"/>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'Balance Sheet'!$AQ$77</c:f>
              <c:numCache>
                <c:formatCode>#,##0.00</c:formatCode>
                <c:ptCount val="1"/>
                <c:pt idx="0">
                  <c:v>11.069999999999993</c:v>
                </c:pt>
              </c:numCache>
            </c:numRef>
          </c:val>
          <c:extLst>
            <c:ext xmlns:c16="http://schemas.microsoft.com/office/drawing/2014/chart" uri="{C3380CC4-5D6E-409C-BE32-E72D297353CC}">
              <c16:uniqueId val="{00000006-A1F3-874A-AA40-5ABDEAA6893F}"/>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0.00"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6948328316975"/>
          <c:y val="0.60594168330744769"/>
          <c:w val="0.7365517297536136"/>
          <c:h val="0.34214586816846421"/>
        </c:manualLayout>
      </c:layout>
      <c:lineChart>
        <c:grouping val="standard"/>
        <c:varyColors val="0"/>
        <c:ser>
          <c:idx val="0"/>
          <c:order val="0"/>
          <c:tx>
            <c:strRef>
              <c:f>'Balance Sheet'!$AM$63</c:f>
              <c:strCache>
                <c:ptCount val="1"/>
                <c:pt idx="0">
                  <c:v>Long-term Assets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3-5037-A545-BFF6-BD6C330BA718}"/>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37-A545-BFF6-BD6C330BA71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Sheet'!$AL$64:$AL$68</c:f>
              <c:numCache>
                <c:formatCode>General</c:formatCode>
                <c:ptCount val="5"/>
                <c:pt idx="0">
                  <c:v>2018</c:v>
                </c:pt>
                <c:pt idx="1">
                  <c:v>2019</c:v>
                </c:pt>
                <c:pt idx="2">
                  <c:v>2020</c:v>
                </c:pt>
                <c:pt idx="3">
                  <c:v>2021</c:v>
                </c:pt>
                <c:pt idx="4">
                  <c:v>2022</c:v>
                </c:pt>
              </c:numCache>
            </c:numRef>
          </c:cat>
          <c:val>
            <c:numRef>
              <c:f>'Balance Sheet'!$AM$64:$AM$68</c:f>
              <c:numCache>
                <c:formatCode>General</c:formatCode>
                <c:ptCount val="5"/>
                <c:pt idx="0">
                  <c:v>52.91</c:v>
                </c:pt>
                <c:pt idx="1">
                  <c:v>71.34</c:v>
                </c:pt>
                <c:pt idx="2">
                  <c:v>74.760000000000005</c:v>
                </c:pt>
                <c:pt idx="3">
                  <c:v>84.08</c:v>
                </c:pt>
                <c:pt idx="4">
                  <c:v>89.82</c:v>
                </c:pt>
              </c:numCache>
            </c:numRef>
          </c:val>
          <c:smooth val="0"/>
          <c:extLst>
            <c:ext xmlns:c16="http://schemas.microsoft.com/office/drawing/2014/chart" uri="{C3380CC4-5D6E-409C-BE32-E72D297353CC}">
              <c16:uniqueId val="{00000002-5037-A545-BFF6-BD6C330BA718}"/>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1.9096438751383733E-2"/>
              <c:y val="0.583390716720514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'Balance Sheet'!$AQ$66</c:f>
              <c:strCache>
                <c:ptCount val="1"/>
                <c:pt idx="0">
                  <c:v>Long-term Asset</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2A17-564C-8C4F-E1809971AAF5}"/>
              </c:ext>
            </c:extLst>
          </c:dPt>
          <c:dLbls>
            <c:dLbl>
              <c:idx val="0"/>
              <c:tx>
                <c:rich>
                  <a:bodyPr/>
                  <a:lstStyle/>
                  <a:p>
                    <a:r>
                      <a:rPr lang="en-US"/>
                      <a:t>89,82</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2A17-564C-8C4F-E1809971AAF5}"/>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Sheet'!$AP$68</c:f>
              <c:numCache>
                <c:formatCode>General</c:formatCode>
                <c:ptCount val="1"/>
                <c:pt idx="0">
                  <c:v>2022</c:v>
                </c:pt>
              </c:numCache>
            </c:numRef>
          </c:cat>
          <c:val>
            <c:numRef>
              <c:f>'Balance Sheet'!$AQ$67</c:f>
              <c:numCache>
                <c:formatCode>#,##0.00</c:formatCode>
                <c:ptCount val="1"/>
                <c:pt idx="0">
                  <c:v>84.08</c:v>
                </c:pt>
              </c:numCache>
            </c:numRef>
          </c:val>
          <c:extLst>
            <c:ext xmlns:c16="http://schemas.microsoft.com/office/drawing/2014/chart" uri="{C3380CC4-5D6E-409C-BE32-E72D297353CC}">
              <c16:uniqueId val="{00000002-2A17-564C-8C4F-E1809971AAF5}"/>
            </c:ext>
          </c:extLst>
        </c:ser>
        <c:ser>
          <c:idx val="1"/>
          <c:order val="1"/>
          <c:tx>
            <c:v>2022</c:v>
          </c:tx>
          <c:spPr>
            <a:solidFill>
              <a:schemeClr val="accent1">
                <a:lumMod val="75000"/>
              </a:schemeClr>
            </a:solidFill>
            <a:ln>
              <a:noFill/>
            </a:ln>
            <a:effectLst/>
          </c:spPr>
          <c:invertIfNegative val="0"/>
          <c:dLbls>
            <c:dLbl>
              <c:idx val="0"/>
              <c:layout>
                <c:manualLayout>
                  <c:x val="-9.8862440858257974E-2"/>
                  <c:y val="-0.32437386379002092"/>
                </c:manualLayout>
              </c:layout>
              <c:tx>
                <c:rich>
                  <a:bodyPr/>
                  <a:lstStyle/>
                  <a:p>
                    <a:r>
                      <a:rPr lang="en-US" sz="800" b="1"/>
                      <a:t>2021  84,08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2A17-564C-8C4F-E1809971AA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'Balance Sheet'!$AQ$68</c:f>
              <c:numCache>
                <c:formatCode>General</c:formatCode>
                <c:ptCount val="1"/>
                <c:pt idx="0">
                  <c:v>5.7399999999999949</c:v>
                </c:pt>
              </c:numCache>
            </c:numRef>
          </c:val>
          <c:extLst>
            <c:ext xmlns:c16="http://schemas.microsoft.com/office/drawing/2014/chart" uri="{C3380CC4-5D6E-409C-BE32-E72D297353CC}">
              <c16:uniqueId val="{00000004-2A17-564C-8C4F-E1809971AAF5}"/>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0.00"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6948328316975"/>
          <c:y val="0.54126768506860146"/>
          <c:w val="0.7365517297536136"/>
          <c:h val="0.34861326655454822"/>
        </c:manualLayout>
      </c:layout>
      <c:lineChart>
        <c:grouping val="standard"/>
        <c:varyColors val="0"/>
        <c:ser>
          <c:idx val="0"/>
          <c:order val="0"/>
          <c:tx>
            <c:strRef>
              <c:f>'Balance Sheet'!$AM$83</c:f>
              <c:strCache>
                <c:ptCount val="1"/>
                <c:pt idx="0">
                  <c:v>Long-term Liabilities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3-8305-074A-9D2D-9D8EC5A1C278}"/>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05-074A-9D2D-9D8EC5A1C27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Sheet'!$AL$84:$AL$88</c:f>
              <c:numCache>
                <c:formatCode>General</c:formatCode>
                <c:ptCount val="5"/>
                <c:pt idx="0">
                  <c:v>2018</c:v>
                </c:pt>
                <c:pt idx="1">
                  <c:v>2019</c:v>
                </c:pt>
                <c:pt idx="2">
                  <c:v>2020</c:v>
                </c:pt>
                <c:pt idx="3">
                  <c:v>2021</c:v>
                </c:pt>
                <c:pt idx="4">
                  <c:v>2022</c:v>
                </c:pt>
              </c:numCache>
            </c:numRef>
          </c:cat>
          <c:val>
            <c:numRef>
              <c:f>'Balance Sheet'!$AM$84:$AM$88</c:f>
              <c:numCache>
                <c:formatCode>General</c:formatCode>
                <c:ptCount val="5"/>
                <c:pt idx="0">
                  <c:v>14.96</c:v>
                </c:pt>
                <c:pt idx="1">
                  <c:v>27.01</c:v>
                </c:pt>
                <c:pt idx="2">
                  <c:v>20.32</c:v>
                </c:pt>
                <c:pt idx="3">
                  <c:v>14</c:v>
                </c:pt>
                <c:pt idx="4">
                  <c:v>11.84</c:v>
                </c:pt>
              </c:numCache>
            </c:numRef>
          </c:val>
          <c:smooth val="0"/>
          <c:extLst>
            <c:ext xmlns:c16="http://schemas.microsoft.com/office/drawing/2014/chart" uri="{C3380CC4-5D6E-409C-BE32-E72D297353CC}">
              <c16:uniqueId val="{00000002-8305-074A-9D2D-9D8EC5A1C278}"/>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1.9096495846759435E-2"/>
              <c:y val="0.518716859394076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679703914036611E-2"/>
          <c:y val="0.20155089487288552"/>
          <c:w val="0.877330188517223"/>
          <c:h val="0.57095477895137614"/>
        </c:manualLayout>
      </c:layout>
      <c:barChart>
        <c:barDir val="bar"/>
        <c:grouping val="stacked"/>
        <c:varyColors val="0"/>
        <c:ser>
          <c:idx val="0"/>
          <c:order val="0"/>
          <c:tx>
            <c:strRef>
              <c:f>'Balance Sheet'!$AQ$86</c:f>
              <c:strCache>
                <c:ptCount val="1"/>
                <c:pt idx="0">
                  <c:v>Long-term Liabilities</c:v>
                </c:pt>
              </c:strCache>
            </c:strRef>
          </c:tx>
          <c:spPr>
            <a:solidFill>
              <a:schemeClr val="accent1">
                <a:lumMod val="75000"/>
              </a:schemeClr>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B7-D748-8320-8AC2467FA4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Sheet'!$AP$88</c:f>
              <c:numCache>
                <c:formatCode>General</c:formatCode>
                <c:ptCount val="1"/>
                <c:pt idx="0">
                  <c:v>2022</c:v>
                </c:pt>
              </c:numCache>
            </c:numRef>
          </c:cat>
          <c:val>
            <c:numRef>
              <c:f>'Balance Sheet'!$AQ$88</c:f>
              <c:numCache>
                <c:formatCode>#,##0.00</c:formatCode>
                <c:ptCount val="1"/>
                <c:pt idx="0">
                  <c:v>11.84</c:v>
                </c:pt>
              </c:numCache>
            </c:numRef>
          </c:val>
          <c:extLst>
            <c:ext xmlns:c16="http://schemas.microsoft.com/office/drawing/2014/chart" uri="{C3380CC4-5D6E-409C-BE32-E72D297353CC}">
              <c16:uniqueId val="{00000004-88B7-D748-8320-8AC2467FA4B8}"/>
            </c:ext>
          </c:extLst>
        </c:ser>
        <c:ser>
          <c:idx val="1"/>
          <c:order val="1"/>
          <c:tx>
            <c:strRef>
              <c:f>'Balance Sheet'!$AP$87</c:f>
              <c:strCache>
                <c:ptCount val="1"/>
                <c:pt idx="0">
                  <c:v>2021</c:v>
                </c:pt>
              </c:strCache>
            </c:strRef>
          </c:tx>
          <c:spPr>
            <a:pattFill prst="pct10">
              <a:fgClr>
                <a:schemeClr val="accent1">
                  <a:lumMod val="75000"/>
                </a:schemeClr>
              </a:fgClr>
              <a:bgClr>
                <a:schemeClr val="bg1"/>
              </a:bgClr>
            </a:pattFill>
            <a:ln>
              <a:noFill/>
            </a:ln>
            <a:effectLst/>
          </c:spPr>
          <c:invertIfNegative val="0"/>
          <c:dLbls>
            <c:dLbl>
              <c:idx val="0"/>
              <c:layout>
                <c:manualLayout>
                  <c:x val="-1.1088984708162792E-16"/>
                  <c:y val="-0.31421003609267667"/>
                </c:manualLayout>
              </c:layout>
              <c:tx>
                <c:rich>
                  <a:bodyPr/>
                  <a:lstStyle/>
                  <a:p>
                    <a:r>
                      <a:rPr lang="en-US"/>
                      <a:t>2021  14</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88B7-D748-8320-8AC2467FA4B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7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Sheet'!$AP$88</c:f>
              <c:numCache>
                <c:formatCode>General</c:formatCode>
                <c:ptCount val="1"/>
                <c:pt idx="0">
                  <c:v>2022</c:v>
                </c:pt>
              </c:numCache>
            </c:numRef>
          </c:cat>
          <c:val>
            <c:numRef>
              <c:f>'Balance Sheet'!$AQ$87</c:f>
              <c:numCache>
                <c:formatCode>#,##0.00</c:formatCode>
                <c:ptCount val="1"/>
                <c:pt idx="0">
                  <c:v>2.16</c:v>
                </c:pt>
              </c:numCache>
            </c:numRef>
          </c:val>
          <c:extLst>
            <c:ext xmlns:c16="http://schemas.microsoft.com/office/drawing/2014/chart" uri="{C3380CC4-5D6E-409C-BE32-E72D297353CC}">
              <c16:uniqueId val="{00000005-88B7-D748-8320-8AC2467FA4B8}"/>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0.00"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6948328316975"/>
          <c:y val="0.54126768506860146"/>
          <c:w val="0.7365517297536136"/>
          <c:h val="0.34861326655454822"/>
        </c:manualLayout>
      </c:layout>
      <c:lineChart>
        <c:grouping val="standard"/>
        <c:varyColors val="0"/>
        <c:ser>
          <c:idx val="1"/>
          <c:order val="0"/>
          <c:tx>
            <c:strRef>
              <c:f>'Balance Sheet'!$AM$93</c:f>
              <c:strCache>
                <c:ptCount val="1"/>
                <c:pt idx="0">
                  <c:v>Owner's Equity</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3-6542-404B-9488-EE253D297AB9}"/>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42-404B-9488-EE253D297AB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Sheet'!$AL$94:$AL$98</c:f>
              <c:numCache>
                <c:formatCode>General</c:formatCode>
                <c:ptCount val="5"/>
                <c:pt idx="0">
                  <c:v>2018</c:v>
                </c:pt>
                <c:pt idx="1">
                  <c:v>2019</c:v>
                </c:pt>
                <c:pt idx="2">
                  <c:v>2020</c:v>
                </c:pt>
                <c:pt idx="3">
                  <c:v>2021</c:v>
                </c:pt>
                <c:pt idx="4">
                  <c:v>2022</c:v>
                </c:pt>
              </c:numCache>
            </c:numRef>
          </c:cat>
          <c:val>
            <c:numRef>
              <c:f>'Balance Sheet'!$AM$94:$AM$98</c:f>
              <c:numCache>
                <c:formatCode>General</c:formatCode>
                <c:ptCount val="5"/>
                <c:pt idx="0">
                  <c:v>40.619999999999997</c:v>
                </c:pt>
                <c:pt idx="1">
                  <c:v>47.79</c:v>
                </c:pt>
                <c:pt idx="2">
                  <c:v>59.22</c:v>
                </c:pt>
                <c:pt idx="3">
                  <c:v>90.78</c:v>
                </c:pt>
                <c:pt idx="4">
                  <c:v>96.11</c:v>
                </c:pt>
              </c:numCache>
            </c:numRef>
          </c:val>
          <c:smooth val="0"/>
          <c:extLst>
            <c:ext xmlns:c16="http://schemas.microsoft.com/office/drawing/2014/chart" uri="{C3380CC4-5D6E-409C-BE32-E72D297353CC}">
              <c16:uniqueId val="{00000002-6542-404B-9488-EE253D297AB9}"/>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1.9096495846759435E-2"/>
              <c:y val="0.518716859394076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679703914036611E-2"/>
          <c:y val="0.20155089487288552"/>
          <c:w val="0.90932028732026116"/>
          <c:h val="0.57095477895137614"/>
        </c:manualLayout>
      </c:layout>
      <c:barChart>
        <c:barDir val="bar"/>
        <c:grouping val="stacked"/>
        <c:varyColors val="0"/>
        <c:ser>
          <c:idx val="1"/>
          <c:order val="0"/>
          <c:tx>
            <c:strRef>
              <c:f>'Balance Sheet'!$AQ$96</c:f>
              <c:strCache>
                <c:ptCount val="1"/>
                <c:pt idx="0">
                  <c:v>Long-term Liabilities</c:v>
                </c:pt>
              </c:strCache>
            </c:strRef>
          </c:tx>
          <c:spPr>
            <a:solidFill>
              <a:schemeClr val="accent1">
                <a:lumMod val="75000"/>
              </a:schemeClr>
            </a:solidFill>
            <a:ln>
              <a:noFill/>
            </a:ln>
            <a:effectLst/>
          </c:spPr>
          <c:invertIfNegative val="0"/>
          <c:dLbls>
            <c:dLbl>
              <c:idx val="0"/>
              <c:tx>
                <c:rich>
                  <a:bodyPr/>
                  <a:lstStyle/>
                  <a:p>
                    <a:r>
                      <a:rPr lang="en-US" sz="800" b="1">
                        <a:solidFill>
                          <a:schemeClr val="bg1"/>
                        </a:solidFill>
                      </a:rPr>
                      <a:t>96,11</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487C-3A42-862C-2582D0F5A6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Sheet'!$AP$98</c:f>
              <c:numCache>
                <c:formatCode>General</c:formatCode>
                <c:ptCount val="1"/>
                <c:pt idx="0">
                  <c:v>2022</c:v>
                </c:pt>
              </c:numCache>
            </c:numRef>
          </c:cat>
          <c:val>
            <c:numRef>
              <c:f>'Balance Sheet'!$AQ$97</c:f>
              <c:numCache>
                <c:formatCode>#,##0.00</c:formatCode>
                <c:ptCount val="1"/>
                <c:pt idx="0">
                  <c:v>90.78</c:v>
                </c:pt>
              </c:numCache>
            </c:numRef>
          </c:val>
          <c:extLst>
            <c:ext xmlns:c16="http://schemas.microsoft.com/office/drawing/2014/chart" uri="{C3380CC4-5D6E-409C-BE32-E72D297353CC}">
              <c16:uniqueId val="{00000003-487C-3A42-862C-2582D0F5A63C}"/>
            </c:ext>
          </c:extLst>
        </c:ser>
        <c:ser>
          <c:idx val="0"/>
          <c:order val="1"/>
          <c:tx>
            <c:strRef>
              <c:f>'Balance Sheet'!$AP$97</c:f>
              <c:strCache>
                <c:ptCount val="1"/>
                <c:pt idx="0">
                  <c:v>2021</c:v>
                </c:pt>
              </c:strCache>
            </c:strRef>
          </c:tx>
          <c:spPr>
            <a:pattFill prst="pct10">
              <a:fgClr>
                <a:schemeClr val="accent1">
                  <a:lumMod val="75000"/>
                </a:schemeClr>
              </a:fgClr>
              <a:bgClr>
                <a:schemeClr val="bg1"/>
              </a:bgClr>
            </a:patt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5-487C-3A42-862C-2582D0F5A63C}"/>
              </c:ext>
            </c:extLst>
          </c:dPt>
          <c:dLbls>
            <c:dLbl>
              <c:idx val="0"/>
              <c:layout>
                <c:manualLayout>
                  <c:x val="-8.7366858175714934E-2"/>
                  <c:y val="-0.32274496052607293"/>
                </c:manualLayout>
              </c:layout>
              <c:tx>
                <c:rich>
                  <a:bodyPr/>
                  <a:lstStyle/>
                  <a:p>
                    <a:r>
                      <a:rPr lang="en-US" sz="800" b="1">
                        <a:solidFill>
                          <a:schemeClr val="accent1">
                            <a:lumMod val="75000"/>
                          </a:schemeClr>
                        </a:solidFill>
                      </a:rPr>
                      <a:t>2021  90,78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487C-3A42-862C-2582D0F5A6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'Balance Sheet'!$AP$98</c:f>
              <c:numCache>
                <c:formatCode>General</c:formatCode>
                <c:ptCount val="1"/>
                <c:pt idx="0">
                  <c:v>2022</c:v>
                </c:pt>
              </c:numCache>
            </c:numRef>
          </c:cat>
          <c:val>
            <c:numRef>
              <c:f>'Balance Sheet'!$AQ$98</c:f>
              <c:numCache>
                <c:formatCode>#,##0.00</c:formatCode>
                <c:ptCount val="1"/>
                <c:pt idx="0">
                  <c:v>5.3299999999999983</c:v>
                </c:pt>
              </c:numCache>
            </c:numRef>
          </c:val>
          <c:extLst>
            <c:ext xmlns:c16="http://schemas.microsoft.com/office/drawing/2014/chart" uri="{C3380CC4-5D6E-409C-BE32-E72D297353CC}">
              <c16:uniqueId val="{00000004-487C-3A42-862C-2582D0F5A63C}"/>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0.00"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6948328316975"/>
          <c:y val="0.60594168330744769"/>
          <c:w val="0.7365517297536136"/>
          <c:h val="0.34214586816846421"/>
        </c:manualLayout>
      </c:layout>
      <c:lineChart>
        <c:grouping val="standard"/>
        <c:varyColors val="0"/>
        <c:ser>
          <c:idx val="0"/>
          <c:order val="0"/>
          <c:tx>
            <c:strRef>
              <c:f>'Balance Sheet'!$AM$63</c:f>
              <c:strCache>
                <c:ptCount val="1"/>
                <c:pt idx="0">
                  <c:v>Long-term Assets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0476-4A43-83BF-0820913DE2BD}"/>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476-4A43-83BF-0820913DE2B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Sheet'!$AL$64:$AL$68</c:f>
              <c:numCache>
                <c:formatCode>General</c:formatCode>
                <c:ptCount val="5"/>
                <c:pt idx="0">
                  <c:v>2018</c:v>
                </c:pt>
                <c:pt idx="1">
                  <c:v>2019</c:v>
                </c:pt>
                <c:pt idx="2">
                  <c:v>2020</c:v>
                </c:pt>
                <c:pt idx="3">
                  <c:v>2021</c:v>
                </c:pt>
                <c:pt idx="4">
                  <c:v>2022</c:v>
                </c:pt>
              </c:numCache>
            </c:numRef>
          </c:cat>
          <c:val>
            <c:numRef>
              <c:f>'Balance Sheet'!$AM$64:$AM$68</c:f>
              <c:numCache>
                <c:formatCode>General</c:formatCode>
                <c:ptCount val="5"/>
                <c:pt idx="0">
                  <c:v>52.91</c:v>
                </c:pt>
                <c:pt idx="1">
                  <c:v>71.34</c:v>
                </c:pt>
                <c:pt idx="2">
                  <c:v>74.760000000000005</c:v>
                </c:pt>
                <c:pt idx="3">
                  <c:v>84.08</c:v>
                </c:pt>
                <c:pt idx="4">
                  <c:v>89.82</c:v>
                </c:pt>
              </c:numCache>
            </c:numRef>
          </c:val>
          <c:smooth val="0"/>
          <c:extLst>
            <c:ext xmlns:c16="http://schemas.microsoft.com/office/drawing/2014/chart" uri="{C3380CC4-5D6E-409C-BE32-E72D297353CC}">
              <c16:uniqueId val="{00000001-0476-4A43-83BF-0820913DE2BD}"/>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1.9096438751383733E-2"/>
              <c:y val="0.583390716720514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solidFill>
                  <a:schemeClr val="tx1">
                    <a:lumMod val="65000"/>
                    <a:lumOff val="35000"/>
                  </a:schemeClr>
                </a:solidFill>
              </a:rPr>
              <a:t>Total Assets</a:t>
            </a:r>
          </a:p>
        </c:rich>
      </c:tx>
      <c:layout>
        <c:manualLayout>
          <c:xMode val="edge"/>
          <c:yMode val="edge"/>
          <c:x val="3.2025084328146117E-2"/>
          <c:y val="6.478559658654217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11973994318640017"/>
          <c:y val="0.1546690692476918"/>
          <c:w val="0.7632151200247711"/>
          <c:h val="0.74384270925166562"/>
        </c:manualLayout>
      </c:layout>
      <c:barChart>
        <c:barDir val="col"/>
        <c:grouping val="percentStacked"/>
        <c:varyColors val="0"/>
        <c:ser>
          <c:idx val="2"/>
          <c:order val="0"/>
          <c:tx>
            <c:strRef>
              <c:f>'Balance Sheet'!$AN$7</c:f>
              <c:strCache>
                <c:ptCount val="1"/>
                <c:pt idx="0">
                  <c:v>LONG-TERM ASSETS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Sheet'!$AN$8:$AN$10</c:f>
              <c:numCache>
                <c:formatCode>0%</c:formatCode>
                <c:ptCount val="3"/>
                <c:pt idx="0">
                  <c:v>0.56849943534775371</c:v>
                </c:pt>
                <c:pt idx="1">
                  <c:v>0.47174175512199179</c:v>
                </c:pt>
                <c:pt idx="2">
                  <c:v>0.52731697441641268</c:v>
                </c:pt>
              </c:numCache>
            </c:numRef>
          </c:val>
          <c:extLst>
            <c:ext xmlns:c16="http://schemas.microsoft.com/office/drawing/2014/chart" uri="{C3380CC4-5D6E-409C-BE32-E72D297353CC}">
              <c16:uniqueId val="{00000000-EFA8-7542-8E55-698996F5F864}"/>
            </c:ext>
          </c:extLst>
        </c:ser>
        <c:ser>
          <c:idx val="1"/>
          <c:order val="1"/>
          <c:tx>
            <c:strRef>
              <c:f>'Balance Sheet'!$AM$7</c:f>
              <c:strCache>
                <c:ptCount val="1"/>
                <c:pt idx="0">
                  <c:v>CURRENT ASSETS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Sheet'!$AM$8:$AM$10</c:f>
              <c:numCache>
                <c:formatCode>0%</c:formatCode>
                <c:ptCount val="3"/>
                <c:pt idx="0">
                  <c:v>0.43150056465224623</c:v>
                </c:pt>
                <c:pt idx="1">
                  <c:v>0.52825824487800821</c:v>
                </c:pt>
                <c:pt idx="2">
                  <c:v>0.47268302558358732</c:v>
                </c:pt>
              </c:numCache>
            </c:numRef>
          </c:val>
          <c:extLst>
            <c:ext xmlns:c16="http://schemas.microsoft.com/office/drawing/2014/chart" uri="{C3380CC4-5D6E-409C-BE32-E72D297353CC}">
              <c16:uniqueId val="{00000001-51BE-4B42-84CF-0BAF53D30662}"/>
            </c:ext>
          </c:extLst>
        </c:ser>
        <c:dLbls>
          <c:showLegendKey val="0"/>
          <c:showVal val="0"/>
          <c:showCatName val="0"/>
          <c:showSerName val="0"/>
          <c:showPercent val="0"/>
          <c:showBubbleSize val="0"/>
        </c:dLbls>
        <c:gapWidth val="201"/>
        <c:overlap val="100"/>
        <c:axId val="1863535615"/>
        <c:axId val="1865842031"/>
      </c:barChart>
      <c:catAx>
        <c:axId val="1863535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1865842031"/>
        <c:crosses val="autoZero"/>
        <c:auto val="1"/>
        <c:lblAlgn val="ctr"/>
        <c:lblOffset val="100"/>
        <c:noMultiLvlLbl val="0"/>
      </c:catAx>
      <c:valAx>
        <c:axId val="1865842031"/>
        <c:scaling>
          <c:orientation val="minMax"/>
        </c:scaling>
        <c:delete val="0"/>
        <c:axPos val="l"/>
        <c:title>
          <c:tx>
            <c:rich>
              <a:bodyPr rot="-5400000" spcFirstLastPara="1" vertOverflow="ellipsis" vert="horz" wrap="square" anchor="ctr" anchorCtr="1"/>
              <a:lstStyle/>
              <a:p>
                <a:pPr>
                  <a:defRPr sz="600" b="0" i="0" u="none" strike="noStrike" kern="1200" baseline="0">
                    <a:solidFill>
                      <a:schemeClr val="bg1">
                        <a:lumMod val="75000"/>
                      </a:schemeClr>
                    </a:solidFill>
                    <a:latin typeface="+mn-lt"/>
                    <a:ea typeface="+mn-ea"/>
                    <a:cs typeface="+mn-cs"/>
                  </a:defRPr>
                </a:pPr>
                <a:r>
                  <a:rPr lang="en-US" sz="600">
                    <a:solidFill>
                      <a:schemeClr val="bg1">
                        <a:lumMod val="75000"/>
                      </a:schemeClr>
                    </a:solidFill>
                  </a:rPr>
                  <a:t>PERCENTAGE PER TOTAL ASSETS</a:t>
                </a:r>
              </a:p>
            </c:rich>
          </c:tx>
          <c:layout>
            <c:manualLayout>
              <c:xMode val="edge"/>
              <c:yMode val="edge"/>
              <c:x val="3.436520435786225E-2"/>
              <c:y val="0.14057379533033718"/>
            </c:manualLayout>
          </c:layout>
          <c:overlay val="0"/>
          <c:spPr>
            <a:noFill/>
            <a:ln>
              <a:noFill/>
            </a:ln>
            <a:effectLst/>
          </c:spPr>
          <c:txPr>
            <a:bodyPr rot="-5400000" spcFirstLastPara="1" vertOverflow="ellipsis" vert="horz" wrap="square" anchor="ctr" anchorCtr="1"/>
            <a:lstStyle/>
            <a:p>
              <a:pPr>
                <a:defRPr sz="600" b="0" i="0" u="none" strike="noStrike" kern="1200" baseline="0">
                  <a:solidFill>
                    <a:schemeClr val="bg1">
                      <a:lumMod val="75000"/>
                    </a:schemeClr>
                  </a:solidFill>
                  <a:latin typeface="+mn-lt"/>
                  <a:ea typeface="+mn-ea"/>
                  <a:cs typeface="+mn-cs"/>
                </a:defRPr>
              </a:pPr>
              <a:endParaRPr lang="en-VN"/>
            </a:p>
          </c:txPr>
        </c:title>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1863535615"/>
        <c:crosses val="autoZero"/>
        <c:crossBetween val="between"/>
        <c:majorUnit val="0.2"/>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solidFill>
                  <a:schemeClr val="tx1">
                    <a:lumMod val="65000"/>
                    <a:lumOff val="35000"/>
                  </a:schemeClr>
                </a:solidFill>
              </a:rPr>
              <a:t> Current Assets </a:t>
            </a:r>
          </a:p>
        </c:rich>
      </c:tx>
      <c:layout>
        <c:manualLayout>
          <c:xMode val="edge"/>
          <c:yMode val="edge"/>
          <c:x val="1.9436045540020555E-2"/>
          <c:y val="5.4093447640404843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36652873663689023"/>
          <c:y val="0.16393157270271161"/>
          <c:w val="0.50243607013359592"/>
          <c:h val="0.7320772655433061"/>
        </c:manualLayout>
      </c:layout>
      <c:lineChart>
        <c:grouping val="standard"/>
        <c:varyColors val="0"/>
        <c:ser>
          <c:idx val="5"/>
          <c:order val="0"/>
          <c:tx>
            <c:strRef>
              <c:f>'Balance Sheet'!$AO$18</c:f>
              <c:strCache>
                <c:ptCount val="1"/>
                <c:pt idx="0">
                  <c:v>Accounts receivable</c:v>
                </c:pt>
              </c:strCache>
            </c:strRef>
          </c:tx>
          <c:spPr>
            <a:ln w="28575" cap="rnd">
              <a:solidFill>
                <a:schemeClr val="accent1">
                  <a:lumMod val="20000"/>
                  <a:lumOff val="80000"/>
                </a:schemeClr>
              </a:solidFill>
              <a:round/>
            </a:ln>
            <a:effectLst/>
          </c:spPr>
          <c:marker>
            <c:symbol val="circle"/>
            <c:size val="5"/>
            <c:spPr>
              <a:solidFill>
                <a:schemeClr val="accent1">
                  <a:lumMod val="20000"/>
                  <a:lumOff val="80000"/>
                </a:schemeClr>
              </a:solidFill>
              <a:ln w="9525">
                <a:solidFill>
                  <a:schemeClr val="accent1">
                    <a:lumMod val="20000"/>
                    <a:lumOff val="80000"/>
                  </a:schemeClr>
                </a:solidFill>
              </a:ln>
              <a:effectLst/>
            </c:spPr>
          </c:marker>
          <c:dPt>
            <c:idx val="1"/>
            <c:marker>
              <c:symbol val="none"/>
            </c:marker>
            <c:bubble3D val="0"/>
            <c:extLst>
              <c:ext xmlns:c16="http://schemas.microsoft.com/office/drawing/2014/chart" uri="{C3380CC4-5D6E-409C-BE32-E72D297353CC}">
                <c16:uniqueId val="{00000011-C7DD-1145-8736-CD5ABA39732D}"/>
              </c:ext>
            </c:extLst>
          </c:dPt>
          <c:dLbls>
            <c:dLbl>
              <c:idx val="0"/>
              <c:layout>
                <c:manualLayout>
                  <c:x val="-0.303967867368026"/>
                  <c:y val="1.6350491742162513E-7"/>
                </c:manualLayout>
              </c:layout>
              <c:tx>
                <c:rich>
                  <a:bodyPr/>
                  <a:lstStyle/>
                  <a:p>
                    <a:fld id="{7D5030AE-3A84-4243-AC86-94849C794EF7}" type="SERIESNAME">
                      <a:rPr lang="en-US" b="1">
                        <a:solidFill>
                          <a:schemeClr val="accent1">
                            <a:lumMod val="20000"/>
                            <a:lumOff val="80000"/>
                          </a:schemeClr>
                        </a:solidFill>
                      </a:rPr>
                      <a:pPr/>
                      <a:t>[SERIES NAME]</a:t>
                    </a:fld>
                    <a:r>
                      <a:rPr lang="en-US" b="1" baseline="0">
                        <a:solidFill>
                          <a:schemeClr val="accent1">
                            <a:lumMod val="20000"/>
                            <a:lumOff val="80000"/>
                          </a:schemeClr>
                        </a:solidFill>
                      </a:rPr>
                      <a:t>  </a:t>
                    </a:r>
                    <a:fld id="{34367699-4BF2-9B4D-B0B6-57EB23B119DC}" type="VALUE">
                      <a:rPr lang="en-US" b="1" baseline="0">
                        <a:solidFill>
                          <a:schemeClr val="accent1">
                            <a:lumMod val="20000"/>
                            <a:lumOff val="80000"/>
                          </a:schemeClr>
                        </a:solidFill>
                      </a:rPr>
                      <a:pPr/>
                      <a:t>[VALUE]</a:t>
                    </a:fld>
                    <a:endParaRPr lang="en-US" b="1" baseline="0">
                      <a:solidFill>
                        <a:schemeClr val="accent1">
                          <a:lumMod val="20000"/>
                          <a:lumOff val="80000"/>
                        </a:schemeClr>
                      </a:solidFill>
                    </a:endParaRPr>
                  </a:p>
                </c:rich>
              </c:tx>
              <c:dLblPos val="r"/>
              <c:showLegendKey val="0"/>
              <c:showVal val="1"/>
              <c:showCatName val="0"/>
              <c:showSerName val="1"/>
              <c:showPercent val="0"/>
              <c:showBubbleSize val="0"/>
              <c:extLst>
                <c:ext xmlns:c15="http://schemas.microsoft.com/office/drawing/2012/chart" uri="{CE6537A1-D6FC-4f65-9D91-7224C49458BB}">
                  <c15:layout>
                    <c:manualLayout>
                      <c:w val="0.31113311642969332"/>
                      <c:h val="0.10985915492957744"/>
                    </c:manualLayout>
                  </c15:layout>
                  <c15:dlblFieldTable/>
                  <c15:showDataLabelsRange val="0"/>
                </c:ext>
                <c:ext xmlns:c16="http://schemas.microsoft.com/office/drawing/2014/chart" uri="{C3380CC4-5D6E-409C-BE32-E72D297353CC}">
                  <c16:uniqueId val="{0000000C-C7DD-1145-8736-CD5ABA39732D}"/>
                </c:ext>
              </c:extLst>
            </c:dLbl>
            <c:dLbl>
              <c:idx val="1"/>
              <c:delete val="1"/>
              <c:extLst>
                <c:ext xmlns:c15="http://schemas.microsoft.com/office/drawing/2012/chart" uri="{CE6537A1-D6FC-4f65-9D91-7224C49458BB}"/>
                <c:ext xmlns:c16="http://schemas.microsoft.com/office/drawing/2014/chart" uri="{C3380CC4-5D6E-409C-BE32-E72D297353CC}">
                  <c16:uniqueId val="{00000011-C7DD-1145-8736-CD5ABA39732D}"/>
                </c:ext>
              </c:extLst>
            </c:dLbl>
            <c:dLbl>
              <c:idx val="2"/>
              <c:layout>
                <c:manualLayout>
                  <c:x val="1.6141010302846376E-16"/>
                  <c:y val="-5.124479010208512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DD-1145-8736-CD5ABA39732D}"/>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20000"/>
                        <a:lumOff val="80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'Balance Sheet'!$AL$18:$AL$21</c:f>
              <c:strCache>
                <c:ptCount val="4"/>
                <c:pt idx="0">
                  <c:v>YEAR</c:v>
                </c:pt>
                <c:pt idx="1">
                  <c:v>2020</c:v>
                </c:pt>
                <c:pt idx="2">
                  <c:v>2021</c:v>
                </c:pt>
                <c:pt idx="3">
                  <c:v>2022</c:v>
                </c:pt>
              </c:strCache>
            </c:strRef>
          </c:cat>
          <c:val>
            <c:numRef>
              <c:f>'Balance Sheet'!$AO$19:$AO$21</c:f>
              <c:numCache>
                <c:formatCode>0%</c:formatCode>
                <c:ptCount val="3"/>
                <c:pt idx="0">
                  <c:v>4.6572303684118944E-2</c:v>
                </c:pt>
                <c:pt idx="1">
                  <c:v>4.2991666323077778E-2</c:v>
                </c:pt>
                <c:pt idx="2">
                  <c:v>5.8078710781380535E-2</c:v>
                </c:pt>
              </c:numCache>
            </c:numRef>
          </c:val>
          <c:smooth val="0"/>
          <c:extLst>
            <c:ext xmlns:c16="http://schemas.microsoft.com/office/drawing/2014/chart" uri="{C3380CC4-5D6E-409C-BE32-E72D297353CC}">
              <c16:uniqueId val="{00000005-C7DD-1145-8736-CD5ABA39732D}"/>
            </c:ext>
          </c:extLst>
        </c:ser>
        <c:ser>
          <c:idx val="3"/>
          <c:order val="1"/>
          <c:tx>
            <c:strRef>
              <c:f>'Balance Sheet'!$AM$18</c:f>
              <c:strCache>
                <c:ptCount val="1"/>
                <c:pt idx="0">
                  <c:v>Cash and cash equivalents</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dPt>
            <c:idx val="0"/>
            <c:marker>
              <c:symbol val="circle"/>
              <c:size val="5"/>
              <c:spPr>
                <a:solidFill>
                  <a:srgbClr val="FF0000"/>
                </a:solidFill>
                <a:ln w="9525">
                  <a:solidFill>
                    <a:srgbClr val="FF0000"/>
                  </a:solidFill>
                </a:ln>
                <a:effectLst/>
              </c:spPr>
            </c:marker>
            <c:bubble3D val="0"/>
            <c:extLst>
              <c:ext xmlns:c16="http://schemas.microsoft.com/office/drawing/2014/chart" uri="{C3380CC4-5D6E-409C-BE32-E72D297353CC}">
                <c16:uniqueId val="{0000000A-C7DD-1145-8736-CD5ABA39732D}"/>
              </c:ext>
            </c:extLst>
          </c:dPt>
          <c:dPt>
            <c:idx val="1"/>
            <c:marker>
              <c:symbol val="none"/>
            </c:marker>
            <c:bubble3D val="0"/>
            <c:extLst>
              <c:ext xmlns:c16="http://schemas.microsoft.com/office/drawing/2014/chart" uri="{C3380CC4-5D6E-409C-BE32-E72D297353CC}">
                <c16:uniqueId val="{0000000D-C7DD-1145-8736-CD5ABA39732D}"/>
              </c:ext>
            </c:extLst>
          </c:dPt>
          <c:dPt>
            <c:idx val="2"/>
            <c:marker>
              <c:symbol val="circle"/>
              <c:size val="5"/>
              <c:spPr>
                <a:solidFill>
                  <a:srgbClr val="FF0000"/>
                </a:solidFill>
                <a:ln w="9525">
                  <a:solidFill>
                    <a:srgbClr val="FF0000"/>
                  </a:solidFill>
                </a:ln>
                <a:effectLst/>
              </c:spPr>
            </c:marker>
            <c:bubble3D val="0"/>
            <c:extLst>
              <c:ext xmlns:c16="http://schemas.microsoft.com/office/drawing/2014/chart" uri="{C3380CC4-5D6E-409C-BE32-E72D297353CC}">
                <c16:uniqueId val="{00000000-E72E-A549-A9D1-B7C3314BA80C}"/>
              </c:ext>
            </c:extLst>
          </c:dPt>
          <c:dLbls>
            <c:dLbl>
              <c:idx val="0"/>
              <c:layout>
                <c:manualLayout>
                  <c:x val="-0.35235767935087797"/>
                  <c:y val="1.6350491757390095E-7"/>
                </c:manualLayout>
              </c:layout>
              <c:tx>
                <c:rich>
                  <a:bodyPr/>
                  <a:lstStyle/>
                  <a:p>
                    <a:fld id="{519C4E08-2CE5-3543-B13B-08ED8885E681}" type="SERIESNAME">
                      <a:rPr lang="en-US"/>
                      <a:pPr/>
                      <a:t>[SERIES NAME]</a:t>
                    </a:fld>
                    <a:r>
                      <a:rPr lang="en-US" baseline="0"/>
                      <a:t>  </a:t>
                    </a:r>
                    <a:fld id="{139FA4F5-8DAF-4646-94E2-BA715E8DF095}" type="VALUE">
                      <a:rPr lang="en-US" baseline="0"/>
                      <a:pPr/>
                      <a:t>[VALUE]</a:t>
                    </a:fld>
                    <a:endParaRPr lang="en-US" baseline="0"/>
                  </a:p>
                </c:rich>
              </c:tx>
              <c:dLblPos val="r"/>
              <c:showLegendKey val="0"/>
              <c:showVal val="1"/>
              <c:showCatName val="0"/>
              <c:showSerName val="1"/>
              <c:showPercent val="0"/>
              <c:showBubbleSize val="0"/>
              <c:extLst>
                <c:ext xmlns:c15="http://schemas.microsoft.com/office/drawing/2012/chart" uri="{CE6537A1-D6FC-4f65-9D91-7224C49458BB}">
                  <c15:layout>
                    <c:manualLayout>
                      <c:w val="0.34573567291556384"/>
                      <c:h val="0.10985915492957744"/>
                    </c:manualLayout>
                  </c15:layout>
                  <c15:dlblFieldTable/>
                  <c15:showDataLabelsRange val="0"/>
                </c:ext>
                <c:ext xmlns:c16="http://schemas.microsoft.com/office/drawing/2014/chart" uri="{C3380CC4-5D6E-409C-BE32-E72D297353CC}">
                  <c16:uniqueId val="{0000000A-C7DD-1145-8736-CD5ABA39732D}"/>
                </c:ext>
              </c:extLst>
            </c:dLbl>
            <c:dLbl>
              <c:idx val="1"/>
              <c:delete val="1"/>
              <c:extLst>
                <c:ext xmlns:c15="http://schemas.microsoft.com/office/drawing/2012/chart" uri="{CE6537A1-D6FC-4f65-9D91-7224C49458BB}"/>
                <c:ext xmlns:c16="http://schemas.microsoft.com/office/drawing/2014/chart" uri="{C3380CC4-5D6E-409C-BE32-E72D297353CC}">
                  <c16:uniqueId val="{0000000D-C7DD-1145-8736-CD5ABA39732D}"/>
                </c:ext>
              </c:extLst>
            </c:dLbl>
            <c:dLbl>
              <c:idx val="2"/>
              <c:layout>
                <c:manualLayout>
                  <c:x val="1.6141010302846376E-16"/>
                  <c:y val="1.24811513321581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72E-A549-A9D1-B7C3314BA80C}"/>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0000"/>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'Balance Sheet'!$AL$18:$AL$21</c:f>
              <c:strCache>
                <c:ptCount val="4"/>
                <c:pt idx="0">
                  <c:v>YEAR</c:v>
                </c:pt>
                <c:pt idx="1">
                  <c:v>2020</c:v>
                </c:pt>
                <c:pt idx="2">
                  <c:v>2021</c:v>
                </c:pt>
                <c:pt idx="3">
                  <c:v>2022</c:v>
                </c:pt>
              </c:strCache>
            </c:strRef>
          </c:cat>
          <c:val>
            <c:numRef>
              <c:f>'Balance Sheet'!$AM$19:$AM$21</c:f>
              <c:numCache>
                <c:formatCode>0%</c:formatCode>
                <c:ptCount val="3"/>
                <c:pt idx="0">
                  <c:v>0.10414379070441161</c:v>
                </c:pt>
                <c:pt idx="1">
                  <c:v>0.12607622653558045</c:v>
                </c:pt>
                <c:pt idx="2">
                  <c:v>4.8871714744320109E-2</c:v>
                </c:pt>
              </c:numCache>
            </c:numRef>
          </c:val>
          <c:smooth val="0"/>
          <c:extLst>
            <c:ext xmlns:c16="http://schemas.microsoft.com/office/drawing/2014/chart" uri="{C3380CC4-5D6E-409C-BE32-E72D297353CC}">
              <c16:uniqueId val="{00000003-C7DD-1145-8736-CD5ABA39732D}"/>
            </c:ext>
          </c:extLst>
        </c:ser>
        <c:ser>
          <c:idx val="4"/>
          <c:order val="2"/>
          <c:tx>
            <c:strRef>
              <c:f>'Balance Sheet'!$AN$18</c:f>
              <c:strCache>
                <c:ptCount val="1"/>
                <c:pt idx="0">
                  <c:v>Short-term investments</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Pt>
            <c:idx val="1"/>
            <c:marker>
              <c:symbol val="none"/>
            </c:marker>
            <c:bubble3D val="0"/>
            <c:extLst>
              <c:ext xmlns:c16="http://schemas.microsoft.com/office/drawing/2014/chart" uri="{C3380CC4-5D6E-409C-BE32-E72D297353CC}">
                <c16:uniqueId val="{00000010-C7DD-1145-8736-CD5ABA39732D}"/>
              </c:ext>
            </c:extLst>
          </c:dPt>
          <c:dLbls>
            <c:dLbl>
              <c:idx val="0"/>
              <c:layout>
                <c:manualLayout>
                  <c:x val="-0.3186815269886944"/>
                  <c:y val="-4.1580935588218749E-3"/>
                </c:manualLayout>
              </c:layout>
              <c:tx>
                <c:rich>
                  <a:bodyPr/>
                  <a:lstStyle/>
                  <a:p>
                    <a:fld id="{B56E45E0-CC39-7A48-A3AB-EB74060DDF50}" type="SERIESNAME">
                      <a:rPr lang="en-US"/>
                      <a:pPr/>
                      <a:t>[SERIES NAME]</a:t>
                    </a:fld>
                    <a:r>
                      <a:rPr lang="en-US" baseline="0"/>
                      <a:t>  </a:t>
                    </a:r>
                    <a:fld id="{EFBE9A7D-C6A6-BB49-B24B-9EB40AC2DADD}" type="VALUE">
                      <a:rPr lang="en-US" baseline="0"/>
                      <a:pPr/>
                      <a:t>[VALUE]</a:t>
                    </a:fld>
                    <a:endParaRPr lang="en-US" baseline="0"/>
                  </a:p>
                </c:rich>
              </c:tx>
              <c:dLblPos val="r"/>
              <c:showLegendKey val="0"/>
              <c:showVal val="1"/>
              <c:showCatName val="0"/>
              <c:showSerName val="1"/>
              <c:showPercent val="0"/>
              <c:showBubbleSize val="0"/>
              <c:extLst>
                <c:ext xmlns:c15="http://schemas.microsoft.com/office/drawing/2012/chart" uri="{CE6537A1-D6FC-4f65-9D91-7224C49458BB}">
                  <c15:layout>
                    <c:manualLayout>
                      <c:w val="0.31426922017822234"/>
                      <c:h val="0.10985915492957744"/>
                    </c:manualLayout>
                  </c15:layout>
                  <c15:dlblFieldTable/>
                  <c15:showDataLabelsRange val="0"/>
                </c:ext>
                <c:ext xmlns:c16="http://schemas.microsoft.com/office/drawing/2014/chart" uri="{C3380CC4-5D6E-409C-BE32-E72D297353CC}">
                  <c16:uniqueId val="{0000000B-C7DD-1145-8736-CD5ABA39732D}"/>
                </c:ext>
              </c:extLst>
            </c:dLbl>
            <c:dLbl>
              <c:idx val="1"/>
              <c:delete val="1"/>
              <c:extLst>
                <c:ext xmlns:c15="http://schemas.microsoft.com/office/drawing/2012/chart" uri="{CE6537A1-D6FC-4f65-9D91-7224C49458BB}"/>
                <c:ext xmlns:c16="http://schemas.microsoft.com/office/drawing/2014/chart" uri="{C3380CC4-5D6E-409C-BE32-E72D297353CC}">
                  <c16:uniqueId val="{00000010-C7DD-1145-8736-CD5ABA39732D}"/>
                </c:ext>
              </c:extLst>
            </c:dLbl>
            <c:dLbl>
              <c:idx val="2"/>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75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extLst>
                <c:ext xmlns:c16="http://schemas.microsoft.com/office/drawing/2014/chart" uri="{C3380CC4-5D6E-409C-BE32-E72D297353CC}">
                  <c16:uniqueId val="{0000003D-21C6-524C-80EE-03147022D64D}"/>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75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'Balance Sheet'!$AL$18:$AL$21</c:f>
              <c:strCache>
                <c:ptCount val="4"/>
                <c:pt idx="0">
                  <c:v>YEAR</c:v>
                </c:pt>
                <c:pt idx="1">
                  <c:v>2020</c:v>
                </c:pt>
                <c:pt idx="2">
                  <c:v>2021</c:v>
                </c:pt>
                <c:pt idx="3">
                  <c:v>2022</c:v>
                </c:pt>
              </c:strCache>
            </c:strRef>
          </c:cat>
          <c:val>
            <c:numRef>
              <c:f>'Balance Sheet'!$AN$19:$AN$21</c:f>
              <c:numCache>
                <c:formatCode>0%</c:formatCode>
                <c:ptCount val="3"/>
                <c:pt idx="0">
                  <c:v>6.1796852214014313E-2</c:v>
                </c:pt>
                <c:pt idx="1">
                  <c:v>0.10231440002438991</c:v>
                </c:pt>
                <c:pt idx="2">
                  <c:v>0.15421473308800943</c:v>
                </c:pt>
              </c:numCache>
            </c:numRef>
          </c:val>
          <c:smooth val="0"/>
          <c:extLst>
            <c:ext xmlns:c16="http://schemas.microsoft.com/office/drawing/2014/chart" uri="{C3380CC4-5D6E-409C-BE32-E72D297353CC}">
              <c16:uniqueId val="{00000004-C7DD-1145-8736-CD5ABA39732D}"/>
            </c:ext>
          </c:extLst>
        </c:ser>
        <c:ser>
          <c:idx val="6"/>
          <c:order val="3"/>
          <c:tx>
            <c:strRef>
              <c:f>'Balance Sheet'!$AP$18</c:f>
              <c:strCache>
                <c:ptCount val="1"/>
                <c:pt idx="0">
                  <c:v>Inventories</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dPt>
            <c:idx val="1"/>
            <c:marker>
              <c:symbol val="none"/>
            </c:marker>
            <c:bubble3D val="0"/>
            <c:extLst>
              <c:ext xmlns:c16="http://schemas.microsoft.com/office/drawing/2014/chart" uri="{C3380CC4-5D6E-409C-BE32-E72D297353CC}">
                <c16:uniqueId val="{00000009-C7DD-1145-8736-CD5ABA39732D}"/>
              </c:ext>
            </c:extLst>
          </c:dPt>
          <c:dLbls>
            <c:dLbl>
              <c:idx val="0"/>
              <c:layout>
                <c:manualLayout>
                  <c:x val="-0.18585634121582903"/>
                  <c:y val="-3.8068955199304258E-17"/>
                </c:manualLayout>
              </c:layout>
              <c:tx>
                <c:rich>
                  <a:bodyPr/>
                  <a:lstStyle/>
                  <a:p>
                    <a:fld id="{33851F70-00B6-1048-82DD-91B032316A8A}" type="SERIESNAME">
                      <a:rPr lang="en-US"/>
                      <a:pPr/>
                      <a:t>[SERIES NAME]</a:t>
                    </a:fld>
                    <a:r>
                      <a:rPr lang="en-US" baseline="0"/>
                      <a:t>  </a:t>
                    </a:r>
                    <a:fld id="{EFD3DA65-8D44-6C47-A849-D8E314A5FC0A}" type="VALUE">
                      <a:rPr lang="en-US" baseline="0"/>
                      <a:pPr/>
                      <a:t>[VALUE]</a:t>
                    </a:fld>
                    <a:endParaRPr lang="en-US" baseline="0"/>
                  </a:p>
                </c:rich>
              </c:tx>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C7DD-1145-8736-CD5ABA39732D}"/>
                </c:ext>
              </c:extLst>
            </c:dLbl>
            <c:dLbl>
              <c:idx val="1"/>
              <c:delete val="1"/>
              <c:extLst>
                <c:ext xmlns:c15="http://schemas.microsoft.com/office/drawing/2012/chart" uri="{CE6537A1-D6FC-4f65-9D91-7224C49458BB}"/>
                <c:ext xmlns:c16="http://schemas.microsoft.com/office/drawing/2014/chart" uri="{C3380CC4-5D6E-409C-BE32-E72D297353CC}">
                  <c16:uniqueId val="{00000009-C7DD-1145-8736-CD5ABA39732D}"/>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50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'Balance Sheet'!$AL$18:$AL$21</c:f>
              <c:strCache>
                <c:ptCount val="4"/>
                <c:pt idx="0">
                  <c:v>YEAR</c:v>
                </c:pt>
                <c:pt idx="1">
                  <c:v>2020</c:v>
                </c:pt>
                <c:pt idx="2">
                  <c:v>2021</c:v>
                </c:pt>
                <c:pt idx="3">
                  <c:v>2022</c:v>
                </c:pt>
              </c:strCache>
            </c:strRef>
          </c:cat>
          <c:val>
            <c:numRef>
              <c:f>'Balance Sheet'!$AP$19:$AP$21</c:f>
              <c:numCache>
                <c:formatCode>0%</c:formatCode>
                <c:ptCount val="3"/>
                <c:pt idx="0">
                  <c:v>0.19988240833477888</c:v>
                </c:pt>
                <c:pt idx="1">
                  <c:v>0.2363966543691117</c:v>
                </c:pt>
                <c:pt idx="2">
                  <c:v>0.20248924707965185</c:v>
                </c:pt>
              </c:numCache>
            </c:numRef>
          </c:val>
          <c:smooth val="0"/>
          <c:extLst>
            <c:ext xmlns:c16="http://schemas.microsoft.com/office/drawing/2014/chart" uri="{C3380CC4-5D6E-409C-BE32-E72D297353CC}">
              <c16:uniqueId val="{00000006-C7DD-1145-8736-CD5ABA39732D}"/>
            </c:ext>
          </c:extLst>
        </c:ser>
        <c:ser>
          <c:idx val="7"/>
          <c:order val="4"/>
          <c:tx>
            <c:strRef>
              <c:f>'Balance Sheet'!$AQ$18</c:f>
              <c:strCache>
                <c:ptCount val="1"/>
                <c:pt idx="0">
                  <c:v>Other current assets</c:v>
                </c:pt>
              </c:strCache>
            </c:strRef>
          </c:tx>
          <c:spPr>
            <a:ln w="28575" cap="rnd">
              <a:solidFill>
                <a:schemeClr val="accent1">
                  <a:lumMod val="20000"/>
                  <a:lumOff val="80000"/>
                </a:schemeClr>
              </a:solidFill>
              <a:round/>
            </a:ln>
            <a:effectLst/>
          </c:spPr>
          <c:marker>
            <c:symbol val="circle"/>
            <c:size val="5"/>
            <c:spPr>
              <a:solidFill>
                <a:schemeClr val="accent1">
                  <a:lumMod val="20000"/>
                  <a:lumOff val="80000"/>
                </a:schemeClr>
              </a:solidFill>
              <a:ln w="9525">
                <a:solidFill>
                  <a:schemeClr val="accent1">
                    <a:lumMod val="20000"/>
                    <a:lumOff val="80000"/>
                  </a:schemeClr>
                </a:solidFill>
              </a:ln>
              <a:effectLst/>
            </c:spPr>
          </c:marker>
          <c:dPt>
            <c:idx val="1"/>
            <c:marker>
              <c:symbol val="none"/>
            </c:marker>
            <c:bubble3D val="0"/>
            <c:extLst>
              <c:ext xmlns:c16="http://schemas.microsoft.com/office/drawing/2014/chart" uri="{C3380CC4-5D6E-409C-BE32-E72D297353CC}">
                <c16:uniqueId val="{0000000F-C7DD-1145-8736-CD5ABA39732D}"/>
              </c:ext>
            </c:extLst>
          </c:dPt>
          <c:dLbls>
            <c:dLbl>
              <c:idx val="0"/>
              <c:layout>
                <c:manualLayout>
                  <c:x val="-0.28879039513113269"/>
                  <c:y val="1.6350491757390095E-7"/>
                </c:manualLayout>
              </c:layout>
              <c:tx>
                <c:rich>
                  <a:bodyPr/>
                  <a:lstStyle/>
                  <a:p>
                    <a:fld id="{FB29043A-1031-0240-B243-240F0FC76D90}" type="SERIESNAME">
                      <a:rPr lang="en-US"/>
                      <a:pPr/>
                      <a:t>[SERIES NAME]</a:t>
                    </a:fld>
                    <a:r>
                      <a:rPr lang="en-US" baseline="0"/>
                      <a:t>  </a:t>
                    </a:r>
                    <a:fld id="{998E7C1A-69E6-AD4D-8460-3E8EF81BD28A}" type="VALUE">
                      <a:rPr lang="en-US" baseline="0"/>
                      <a:pPr/>
                      <a:t>[VALUE]</a:t>
                    </a:fld>
                    <a:endParaRPr lang="en-US" baseline="0"/>
                  </a:p>
                </c:rich>
              </c:tx>
              <c:dLblPos val="r"/>
              <c:showLegendKey val="0"/>
              <c:showVal val="1"/>
              <c:showCatName val="0"/>
              <c:showSerName val="1"/>
              <c:showPercent val="0"/>
              <c:showBubbleSize val="0"/>
              <c:extLst>
                <c:ext xmlns:c15="http://schemas.microsoft.com/office/drawing/2012/chart" uri="{CE6537A1-D6FC-4f65-9D91-7224C49458BB}">
                  <c15:layout>
                    <c:manualLayout>
                      <c:w val="0.2777691891554267"/>
                      <c:h val="0.10985915492957744"/>
                    </c:manualLayout>
                  </c15:layout>
                  <c15:dlblFieldTable/>
                  <c15:showDataLabelsRange val="0"/>
                </c:ext>
                <c:ext xmlns:c16="http://schemas.microsoft.com/office/drawing/2014/chart" uri="{C3380CC4-5D6E-409C-BE32-E72D297353CC}">
                  <c16:uniqueId val="{0000000E-C7DD-1145-8736-CD5ABA39732D}"/>
                </c:ext>
              </c:extLst>
            </c:dLbl>
            <c:dLbl>
              <c:idx val="1"/>
              <c:delete val="1"/>
              <c:extLst>
                <c:ext xmlns:c15="http://schemas.microsoft.com/office/drawing/2012/chart" uri="{CE6537A1-D6FC-4f65-9D91-7224C49458BB}"/>
                <c:ext xmlns:c16="http://schemas.microsoft.com/office/drawing/2014/chart" uri="{C3380CC4-5D6E-409C-BE32-E72D297353CC}">
                  <c16:uniqueId val="{0000000F-C7DD-1145-8736-CD5ABA39732D}"/>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20000"/>
                        <a:lumOff val="80000"/>
                      </a:schemeClr>
                    </a:solidFill>
                    <a:latin typeface="Arial" panose="020B0604020202020204" pitchFamily="34" charset="0"/>
                    <a:ea typeface="+mn-ea"/>
                    <a:cs typeface="Arial" panose="020B0604020202020204" pitchFamily="34" charset="0"/>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'Balance Sheet'!$AL$18:$AL$21</c:f>
              <c:strCache>
                <c:ptCount val="4"/>
                <c:pt idx="0">
                  <c:v>YEAR</c:v>
                </c:pt>
                <c:pt idx="1">
                  <c:v>2020</c:v>
                </c:pt>
                <c:pt idx="2">
                  <c:v>2021</c:v>
                </c:pt>
                <c:pt idx="3">
                  <c:v>2022</c:v>
                </c:pt>
              </c:strCache>
            </c:strRef>
          </c:cat>
          <c:val>
            <c:numRef>
              <c:f>'Balance Sheet'!$AQ$19:$AQ$21</c:f>
              <c:numCache>
                <c:formatCode>0%</c:formatCode>
                <c:ptCount val="3"/>
                <c:pt idx="0">
                  <c:v>1.9105209714922487E-2</c:v>
                </c:pt>
                <c:pt idx="1">
                  <c:v>2.0479297625848391E-2</c:v>
                </c:pt>
                <c:pt idx="2">
                  <c:v>9.0286198902254158E-3</c:v>
                </c:pt>
              </c:numCache>
            </c:numRef>
          </c:val>
          <c:smooth val="0"/>
          <c:extLst>
            <c:ext xmlns:c16="http://schemas.microsoft.com/office/drawing/2014/chart" uri="{C3380CC4-5D6E-409C-BE32-E72D297353CC}">
              <c16:uniqueId val="{00000007-C7DD-1145-8736-CD5ABA39732D}"/>
            </c:ext>
          </c:extLst>
        </c:ser>
        <c:dLbls>
          <c:showLegendKey val="0"/>
          <c:showVal val="0"/>
          <c:showCatName val="0"/>
          <c:showSerName val="0"/>
          <c:showPercent val="0"/>
          <c:showBubbleSize val="0"/>
        </c:dLbls>
        <c:marker val="1"/>
        <c:smooth val="0"/>
        <c:axId val="393425504"/>
        <c:axId val="352769584"/>
      </c:lineChart>
      <c:catAx>
        <c:axId val="39342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Arial" panose="020B0604020202020204" pitchFamily="34" charset="0"/>
                <a:ea typeface="+mn-ea"/>
                <a:cs typeface="Arial" panose="020B0604020202020204" pitchFamily="34" charset="0"/>
              </a:defRPr>
            </a:pPr>
            <a:endParaRPr lang="en-VN"/>
          </a:p>
        </c:txPr>
        <c:crossAx val="352769584"/>
        <c:crosses val="autoZero"/>
        <c:auto val="1"/>
        <c:lblAlgn val="ctr"/>
        <c:lblOffset val="100"/>
        <c:noMultiLvlLbl val="0"/>
      </c:catAx>
      <c:valAx>
        <c:axId val="352769584"/>
        <c:scaling>
          <c:orientation val="minMax"/>
        </c:scaling>
        <c:delete val="1"/>
        <c:axPos val="l"/>
        <c:numFmt formatCode="0%" sourceLinked="1"/>
        <c:majorTickMark val="none"/>
        <c:minorTickMark val="none"/>
        <c:tickLblPos val="nextTo"/>
        <c:crossAx val="393425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solidFill>
                  <a:schemeClr val="tx1">
                    <a:lumMod val="65000"/>
                    <a:lumOff val="35000"/>
                  </a:schemeClr>
                </a:solidFill>
              </a:rPr>
              <a:t>Total Liabilities and Owner Equity</a:t>
            </a:r>
          </a:p>
        </c:rich>
      </c:tx>
      <c:layout>
        <c:manualLayout>
          <c:xMode val="edge"/>
          <c:yMode val="edge"/>
          <c:x val="7.17260464176038E-2"/>
          <c:y val="0.1212692897608081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9.1805942863785045E-2"/>
          <c:y val="0.3171456197827946"/>
          <c:w val="0.84976261886809112"/>
          <c:h val="0.63810161929675335"/>
        </c:manualLayout>
      </c:layout>
      <c:barChart>
        <c:barDir val="bar"/>
        <c:grouping val="stacked"/>
        <c:varyColors val="0"/>
        <c:ser>
          <c:idx val="3"/>
          <c:order val="0"/>
          <c:tx>
            <c:strRef>
              <c:f>'Balance Sheet'!$AQ$7</c:f>
              <c:strCache>
                <c:ptCount val="1"/>
                <c:pt idx="0">
                  <c:v>Owner's equity</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Sheet'!$AQ$8:$AQ$10</c:f>
              <c:numCache>
                <c:formatCode>0%</c:formatCode>
                <c:ptCount val="3"/>
                <c:pt idx="0">
                  <c:v>0.45030142497736847</c:v>
                </c:pt>
                <c:pt idx="1">
                  <c:v>0.50932701807138558</c:v>
                </c:pt>
                <c:pt idx="2">
                  <c:v>0.56425659130475403</c:v>
                </c:pt>
              </c:numCache>
            </c:numRef>
          </c:val>
          <c:extLst>
            <c:ext xmlns:c16="http://schemas.microsoft.com/office/drawing/2014/chart" uri="{C3380CC4-5D6E-409C-BE32-E72D297353CC}">
              <c16:uniqueId val="{00000003-E1B2-9241-BA55-39F2010DD3BE}"/>
            </c:ext>
          </c:extLst>
        </c:ser>
        <c:ser>
          <c:idx val="2"/>
          <c:order val="1"/>
          <c:tx>
            <c:strRef>
              <c:f>'Balance Sheet'!$AP$7</c:f>
              <c:strCache>
                <c:ptCount val="1"/>
                <c:pt idx="0">
                  <c:v>Long-term liabilities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Sheet'!$AP$8:$AP$10</c:f>
              <c:numCache>
                <c:formatCode>0%</c:formatCode>
                <c:ptCount val="3"/>
                <c:pt idx="0">
                  <c:v>0.15448413842981024</c:v>
                </c:pt>
                <c:pt idx="1">
                  <c:v>7.852761397014893E-2</c:v>
                </c:pt>
                <c:pt idx="2">
                  <c:v>6.9493369591061005E-2</c:v>
                </c:pt>
              </c:numCache>
            </c:numRef>
          </c:val>
          <c:extLst>
            <c:ext xmlns:c16="http://schemas.microsoft.com/office/drawing/2014/chart" uri="{C3380CC4-5D6E-409C-BE32-E72D297353CC}">
              <c16:uniqueId val="{00000002-E1B2-9241-BA55-39F2010DD3BE}"/>
            </c:ext>
          </c:extLst>
        </c:ser>
        <c:ser>
          <c:idx val="1"/>
          <c:order val="2"/>
          <c:tx>
            <c:strRef>
              <c:f>'Balance Sheet'!$AO$7</c:f>
              <c:strCache>
                <c:ptCount val="1"/>
                <c:pt idx="0">
                  <c:v>Current liabilities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Sheet'!$AO$8:$AO$10</c:f>
              <c:numCache>
                <c:formatCode>0%</c:formatCode>
                <c:ptCount val="3"/>
                <c:pt idx="0">
                  <c:v>0.39521443659282129</c:v>
                </c:pt>
                <c:pt idx="1">
                  <c:v>0.41214536795846551</c:v>
                </c:pt>
                <c:pt idx="2">
                  <c:v>0.36625003910418491</c:v>
                </c:pt>
              </c:numCache>
            </c:numRef>
          </c:val>
          <c:extLst>
            <c:ext xmlns:c16="http://schemas.microsoft.com/office/drawing/2014/chart" uri="{C3380CC4-5D6E-409C-BE32-E72D297353CC}">
              <c16:uniqueId val="{00000001-E1B2-9241-BA55-39F2010DD3BE}"/>
            </c:ext>
          </c:extLst>
        </c:ser>
        <c:dLbls>
          <c:showLegendKey val="0"/>
          <c:showVal val="0"/>
          <c:showCatName val="0"/>
          <c:showSerName val="0"/>
          <c:showPercent val="0"/>
          <c:showBubbleSize val="0"/>
        </c:dLbls>
        <c:gapWidth val="100"/>
        <c:overlap val="100"/>
        <c:axId val="447065984"/>
        <c:axId val="418146992"/>
      </c:barChart>
      <c:catAx>
        <c:axId val="447065984"/>
        <c:scaling>
          <c:orientation val="maxMin"/>
        </c:scaling>
        <c:delete val="0"/>
        <c:axPos val="l"/>
        <c:numFmt formatCode="General" sourceLinked="1"/>
        <c:majorTickMark val="out"/>
        <c:minorTickMark val="none"/>
        <c:tickLblPos val="nextTo"/>
        <c:spPr>
          <a:solidFill>
            <a:schemeClr val="bg1"/>
          </a:solid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418146992"/>
        <c:crosses val="autoZero"/>
        <c:auto val="1"/>
        <c:lblAlgn val="ctr"/>
        <c:lblOffset val="100"/>
        <c:noMultiLvlLbl val="0"/>
      </c:catAx>
      <c:valAx>
        <c:axId val="418146992"/>
        <c:scaling>
          <c:orientation val="minMax"/>
          <c:max val="1"/>
        </c:scaling>
        <c:delete val="0"/>
        <c:axPos val="t"/>
        <c:numFmt formatCode="0%" sourceLinked="1"/>
        <c:majorTickMark val="in"/>
        <c:minorTickMark val="none"/>
        <c:tickLblPos val="nextTo"/>
        <c:spPr>
          <a:noFill/>
          <a:ln>
            <a:solidFill>
              <a:schemeClr val="bg1">
                <a:lumMod val="75000"/>
              </a:schemeClr>
            </a:solidFill>
          </a:ln>
          <a:effectLst/>
        </c:spPr>
        <c:txPr>
          <a:bodyPr rot="0" spcFirstLastPara="1" vertOverflow="ellipsis"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4470659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solidFill>
                  <a:schemeClr val="tx1">
                    <a:lumMod val="65000"/>
                    <a:lumOff val="35000"/>
                  </a:schemeClr>
                </a:solidFill>
              </a:rPr>
              <a:t>Long-term Assets</a:t>
            </a:r>
          </a:p>
        </c:rich>
      </c:tx>
      <c:layout>
        <c:manualLayout>
          <c:xMode val="edge"/>
          <c:yMode val="edge"/>
          <c:x val="6.8659876286047541E-2"/>
          <c:y val="0.1127774774458117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8.6464613999286441E-2"/>
          <c:y val="0.31039855778685582"/>
          <c:w val="0.86082746598041604"/>
          <c:h val="0.65921178496825117"/>
        </c:manualLayout>
      </c:layout>
      <c:barChart>
        <c:barDir val="bar"/>
        <c:grouping val="clustered"/>
        <c:varyColors val="0"/>
        <c:ser>
          <c:idx val="1"/>
          <c:order val="0"/>
          <c:tx>
            <c:strRef>
              <c:f>'Balance Sheet'!$AR$7</c:f>
              <c:strCache>
                <c:ptCount val="1"/>
                <c:pt idx="0">
                  <c:v>Fixed assets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50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Sheet'!$AR$8:$AR$10</c:f>
              <c:numCache>
                <c:formatCode>0%</c:formatCode>
                <c:ptCount val="3"/>
                <c:pt idx="0">
                  <c:v>0.5</c:v>
                </c:pt>
                <c:pt idx="1">
                  <c:v>0.39</c:v>
                </c:pt>
                <c:pt idx="2">
                  <c:v>0.42</c:v>
                </c:pt>
              </c:numCache>
            </c:numRef>
          </c:val>
          <c:extLst>
            <c:ext xmlns:c16="http://schemas.microsoft.com/office/drawing/2014/chart" uri="{C3380CC4-5D6E-409C-BE32-E72D297353CC}">
              <c16:uniqueId val="{00000001-B589-C641-9C92-1FF73FA08E1F}"/>
            </c:ext>
          </c:extLst>
        </c:ser>
        <c:ser>
          <c:idx val="2"/>
          <c:order val="1"/>
          <c:tx>
            <c:strRef>
              <c:f>'Balance Sheet'!$AS$7</c:f>
              <c:strCache>
                <c:ptCount val="1"/>
                <c:pt idx="0">
                  <c:v>Long-term incomplete assets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60000"/>
                        <a:lumOff val="40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Sheet'!$AS$8:$AS$10</c:f>
              <c:numCache>
                <c:formatCode>0%</c:formatCode>
                <c:ptCount val="3"/>
                <c:pt idx="0">
                  <c:v>0.05</c:v>
                </c:pt>
                <c:pt idx="1">
                  <c:v>0.05</c:v>
                </c:pt>
                <c:pt idx="2">
                  <c:v>0.08</c:v>
                </c:pt>
              </c:numCache>
            </c:numRef>
          </c:val>
          <c:extLst>
            <c:ext xmlns:c16="http://schemas.microsoft.com/office/drawing/2014/chart" uri="{C3380CC4-5D6E-409C-BE32-E72D297353CC}">
              <c16:uniqueId val="{00000002-B589-C641-9C92-1FF73FA08E1F}"/>
            </c:ext>
          </c:extLst>
        </c:ser>
        <c:ser>
          <c:idx val="3"/>
          <c:order val="2"/>
          <c:tx>
            <c:strRef>
              <c:f>'Balance Sheet'!$AT$7</c:f>
              <c:strCache>
                <c:ptCount val="1"/>
                <c:pt idx="0">
                  <c:v>Other Long-term Assets</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20000"/>
                        <a:lumOff val="80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Sheet'!$AL$8:$AL$10</c:f>
              <c:numCache>
                <c:formatCode>General</c:formatCode>
                <c:ptCount val="3"/>
                <c:pt idx="0">
                  <c:v>2020</c:v>
                </c:pt>
                <c:pt idx="1">
                  <c:v>2021</c:v>
                </c:pt>
                <c:pt idx="2">
                  <c:v>2022</c:v>
                </c:pt>
              </c:numCache>
            </c:numRef>
          </c:cat>
          <c:val>
            <c:numRef>
              <c:f>'Balance Sheet'!$AT$8:$AT$10</c:f>
              <c:numCache>
                <c:formatCode>0%</c:formatCode>
                <c:ptCount val="3"/>
                <c:pt idx="0">
                  <c:v>0.01</c:v>
                </c:pt>
                <c:pt idx="1">
                  <c:v>0.03</c:v>
                </c:pt>
                <c:pt idx="2">
                  <c:v>0.03</c:v>
                </c:pt>
              </c:numCache>
            </c:numRef>
          </c:val>
          <c:extLst>
            <c:ext xmlns:c16="http://schemas.microsoft.com/office/drawing/2014/chart" uri="{C3380CC4-5D6E-409C-BE32-E72D297353CC}">
              <c16:uniqueId val="{00000003-B589-C641-9C92-1FF73FA08E1F}"/>
            </c:ext>
          </c:extLst>
        </c:ser>
        <c:dLbls>
          <c:showLegendKey val="0"/>
          <c:showVal val="0"/>
          <c:showCatName val="0"/>
          <c:showSerName val="0"/>
          <c:showPercent val="0"/>
          <c:showBubbleSize val="0"/>
        </c:dLbls>
        <c:gapWidth val="130"/>
        <c:axId val="936525071"/>
        <c:axId val="2085906895"/>
      </c:barChart>
      <c:catAx>
        <c:axId val="936525071"/>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2085906895"/>
        <c:crosses val="autoZero"/>
        <c:auto val="1"/>
        <c:lblAlgn val="ctr"/>
        <c:lblOffset val="100"/>
        <c:noMultiLvlLbl val="0"/>
      </c:catAx>
      <c:valAx>
        <c:axId val="2085906895"/>
        <c:scaling>
          <c:orientation val="minMax"/>
        </c:scaling>
        <c:delete val="0"/>
        <c:axPos val="t"/>
        <c:numFmt formatCode="0%"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VN"/>
          </a:p>
        </c:txPr>
        <c:crossAx val="93652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17634892412643"/>
          <c:y val="0.11648314996504797"/>
          <c:w val="0.84910754080268269"/>
          <c:h val="0.78360909748478969"/>
        </c:manualLayout>
      </c:layout>
      <c:barChart>
        <c:barDir val="col"/>
        <c:grouping val="clustered"/>
        <c:varyColors val="0"/>
        <c:ser>
          <c:idx val="0"/>
          <c:order val="0"/>
          <c:tx>
            <c:strRef>
              <c:f>'Waterfal Chart'!$D$1</c:f>
              <c:strCache>
                <c:ptCount val="1"/>
                <c:pt idx="0">
                  <c:v>Ends</c:v>
                </c:pt>
              </c:strCache>
            </c:strRef>
          </c:tx>
          <c:spPr>
            <a:solidFill>
              <a:srgbClr val="2279BE"/>
            </a:solidFill>
            <a:ln w="25400">
              <a:noFill/>
            </a:ln>
          </c:spPr>
          <c:invertIfNegative val="0"/>
          <c:dPt>
            <c:idx val="0"/>
            <c:invertIfNegative val="0"/>
            <c:bubble3D val="0"/>
            <c:spPr>
              <a:solidFill>
                <a:schemeClr val="accent1">
                  <a:lumMod val="20000"/>
                  <a:lumOff val="80000"/>
                </a:schemeClr>
              </a:solidFill>
              <a:ln w="25400">
                <a:noFill/>
              </a:ln>
            </c:spPr>
            <c:extLst>
              <c:ext xmlns:c16="http://schemas.microsoft.com/office/drawing/2014/chart" uri="{C3380CC4-5D6E-409C-BE32-E72D297353CC}">
                <c16:uniqueId val="{00000001-61E2-CC43-9470-6D0A097CD91F}"/>
              </c:ext>
            </c:extLst>
          </c:dPt>
          <c:dPt>
            <c:idx val="4"/>
            <c:invertIfNegative val="0"/>
            <c:bubble3D val="0"/>
            <c:spPr>
              <a:solidFill>
                <a:schemeClr val="accent1">
                  <a:lumMod val="75000"/>
                </a:schemeClr>
              </a:solidFill>
              <a:ln w="25400">
                <a:noFill/>
              </a:ln>
            </c:spPr>
            <c:extLst>
              <c:ext xmlns:c16="http://schemas.microsoft.com/office/drawing/2014/chart" uri="{C3380CC4-5D6E-409C-BE32-E72D297353CC}">
                <c16:uniqueId val="{00000003-61E2-CC43-9470-6D0A097CD91F}"/>
              </c:ext>
            </c:extLst>
          </c:dPt>
          <c:dLbls>
            <c:dLbl>
              <c:idx val="0"/>
              <c:spPr>
                <a:noFill/>
                <a:ln>
                  <a:noFill/>
                </a:ln>
                <a:effectLst/>
              </c:spPr>
              <c:txPr>
                <a:bodyPr wrap="square" lIns="38100" tIns="19050" rIns="38100" bIns="19050" anchor="ctr">
                  <a:spAutoFit/>
                </a:bodyPr>
                <a:lstStyle/>
                <a:p>
                  <a:pPr>
                    <a:defRPr b="1"/>
                  </a:pPr>
                  <a:endParaRPr lang="en-VN"/>
                </a:p>
              </c:txPr>
              <c:dLblPos val="outEnd"/>
              <c:showLegendKey val="0"/>
              <c:showVal val="1"/>
              <c:showCatName val="0"/>
              <c:showSerName val="0"/>
              <c:showPercent val="0"/>
              <c:showBubbleSize val="0"/>
              <c:extLst>
                <c:ext xmlns:c16="http://schemas.microsoft.com/office/drawing/2014/chart" uri="{C3380CC4-5D6E-409C-BE32-E72D297353CC}">
                  <c16:uniqueId val="{00000001-61E2-CC43-9470-6D0A097CD91F}"/>
                </c:ext>
              </c:extLst>
            </c:dLbl>
            <c:dLbl>
              <c:idx val="4"/>
              <c:spPr>
                <a:noFill/>
                <a:ln>
                  <a:noFill/>
                </a:ln>
                <a:effectLst/>
              </c:spPr>
              <c:txPr>
                <a:bodyPr wrap="square" lIns="38100" tIns="19050" rIns="38100" bIns="19050" anchor="ctr">
                  <a:spAutoFit/>
                </a:bodyPr>
                <a:lstStyle/>
                <a:p>
                  <a:pPr>
                    <a:defRPr b="1"/>
                  </a:pPr>
                  <a:endParaRPr lang="en-VN"/>
                </a:p>
              </c:txPr>
              <c:dLblPos val="outEnd"/>
              <c:showLegendKey val="0"/>
              <c:showVal val="1"/>
              <c:showCatName val="0"/>
              <c:showSerName val="0"/>
              <c:showPercent val="0"/>
              <c:showBubbleSize val="0"/>
              <c:extLst>
                <c:ext xmlns:c16="http://schemas.microsoft.com/office/drawing/2014/chart" uri="{C3380CC4-5D6E-409C-BE32-E72D297353CC}">
                  <c16:uniqueId val="{00000003-61E2-CC43-9470-6D0A097CD91F}"/>
                </c:ext>
              </c:extLst>
            </c:dLbl>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'Waterfal Chart'!$A$2:$A$6</c:f>
              <c:strCache>
                <c:ptCount val="5"/>
                <c:pt idx="0">
                  <c:v>The beginning of period</c:v>
                </c:pt>
                <c:pt idx="1">
                  <c:v>CFO</c:v>
                </c:pt>
                <c:pt idx="2">
                  <c:v>CFI</c:v>
                </c:pt>
                <c:pt idx="3">
                  <c:v>CFO</c:v>
                </c:pt>
                <c:pt idx="4">
                  <c:v>Ending Inventory</c:v>
                </c:pt>
              </c:strCache>
            </c:strRef>
          </c:cat>
          <c:val>
            <c:numRef>
              <c:f>'Waterfal Chart'!$D$2:$D$6</c:f>
              <c:numCache>
                <c:formatCode>General;\-General;;</c:formatCode>
                <c:ptCount val="5"/>
                <c:pt idx="0">
                  <c:v>22.5</c:v>
                </c:pt>
                <c:pt idx="1">
                  <c:v>0</c:v>
                </c:pt>
                <c:pt idx="2">
                  <c:v>0</c:v>
                </c:pt>
                <c:pt idx="3">
                  <c:v>0</c:v>
                </c:pt>
                <c:pt idx="4">
                  <c:v>8.3000000000000007</c:v>
                </c:pt>
              </c:numCache>
            </c:numRef>
          </c:val>
          <c:extLst>
            <c:ext xmlns:c16="http://schemas.microsoft.com/office/drawing/2014/chart" uri="{C3380CC4-5D6E-409C-BE32-E72D297353CC}">
              <c16:uniqueId val="{00000004-61E2-CC43-9470-6D0A097CD91F}"/>
            </c:ext>
          </c:extLst>
        </c:ser>
        <c:dLbls>
          <c:showLegendKey val="0"/>
          <c:showVal val="0"/>
          <c:showCatName val="0"/>
          <c:showSerName val="0"/>
          <c:showPercent val="0"/>
          <c:showBubbleSize val="0"/>
        </c:dLbls>
        <c:gapWidth val="50"/>
        <c:axId val="542286208"/>
        <c:axId val="542288128"/>
      </c:barChart>
      <c:lineChart>
        <c:grouping val="standard"/>
        <c:varyColors val="0"/>
        <c:ser>
          <c:idx val="1"/>
          <c:order val="1"/>
          <c:tx>
            <c:strRef>
              <c:f>'Waterfal Chart'!$E$1</c:f>
              <c:strCache>
                <c:ptCount val="1"/>
                <c:pt idx="0">
                  <c:v>Before</c:v>
                </c:pt>
              </c:strCache>
            </c:strRef>
          </c:tx>
          <c:spPr>
            <a:ln w="19050">
              <a:noFill/>
            </a:ln>
          </c:spPr>
          <c:marker>
            <c:symbol val="none"/>
          </c:marker>
          <c:cat>
            <c:strRef>
              <c:f>'Waterfal Chart'!$A$2:$A$6</c:f>
              <c:strCache>
                <c:ptCount val="5"/>
                <c:pt idx="0">
                  <c:v>The beginning of period</c:v>
                </c:pt>
                <c:pt idx="1">
                  <c:v>CFO</c:v>
                </c:pt>
                <c:pt idx="2">
                  <c:v>CFI</c:v>
                </c:pt>
                <c:pt idx="3">
                  <c:v>CFO</c:v>
                </c:pt>
                <c:pt idx="4">
                  <c:v>Ending Inventory</c:v>
                </c:pt>
              </c:strCache>
            </c:strRef>
          </c:cat>
          <c:val>
            <c:numRef>
              <c:f>'Waterfal Chart'!$E$2:$E$6</c:f>
              <c:numCache>
                <c:formatCode>General</c:formatCode>
                <c:ptCount val="5"/>
                <c:pt idx="1">
                  <c:v>22.5</c:v>
                </c:pt>
                <c:pt idx="2">
                  <c:v>34.799999999999997</c:v>
                </c:pt>
                <c:pt idx="3">
                  <c:v>10.199999999999996</c:v>
                </c:pt>
              </c:numCache>
            </c:numRef>
          </c:val>
          <c:smooth val="0"/>
          <c:extLst>
            <c:ext xmlns:c16="http://schemas.microsoft.com/office/drawing/2014/chart" uri="{C3380CC4-5D6E-409C-BE32-E72D297353CC}">
              <c16:uniqueId val="{00000005-61E2-CC43-9470-6D0A097CD91F}"/>
            </c:ext>
          </c:extLst>
        </c:ser>
        <c:ser>
          <c:idx val="2"/>
          <c:order val="2"/>
          <c:tx>
            <c:strRef>
              <c:f>'Waterfal Chart'!$F$1</c:f>
              <c:strCache>
                <c:ptCount val="1"/>
                <c:pt idx="0">
                  <c:v>After</c:v>
                </c:pt>
              </c:strCache>
            </c:strRef>
          </c:tx>
          <c:spPr>
            <a:ln w="19050">
              <a:noFill/>
            </a:ln>
          </c:spPr>
          <c:marker>
            <c:symbol val="none"/>
          </c:marker>
          <c:cat>
            <c:strRef>
              <c:f>'Waterfal Chart'!$A$2:$A$6</c:f>
              <c:strCache>
                <c:ptCount val="5"/>
                <c:pt idx="0">
                  <c:v>The beginning of period</c:v>
                </c:pt>
                <c:pt idx="1">
                  <c:v>CFO</c:v>
                </c:pt>
                <c:pt idx="2">
                  <c:v>CFI</c:v>
                </c:pt>
                <c:pt idx="3">
                  <c:v>CFO</c:v>
                </c:pt>
                <c:pt idx="4">
                  <c:v>Ending Inventory</c:v>
                </c:pt>
              </c:strCache>
            </c:strRef>
          </c:cat>
          <c:val>
            <c:numRef>
              <c:f>'Waterfal Chart'!$F$2:$F$6</c:f>
              <c:numCache>
                <c:formatCode>General</c:formatCode>
                <c:ptCount val="5"/>
                <c:pt idx="1">
                  <c:v>34.799999999999997</c:v>
                </c:pt>
                <c:pt idx="2">
                  <c:v>10.199999999999996</c:v>
                </c:pt>
                <c:pt idx="3">
                  <c:v>8.399999999999995</c:v>
                </c:pt>
              </c:numCache>
            </c:numRef>
          </c:val>
          <c:smooth val="0"/>
          <c:extLst>
            <c:ext xmlns:c16="http://schemas.microsoft.com/office/drawing/2014/chart" uri="{C3380CC4-5D6E-409C-BE32-E72D297353CC}">
              <c16:uniqueId val="{00000006-61E2-CC43-9470-6D0A097CD91F}"/>
            </c:ext>
          </c:extLst>
        </c:ser>
        <c:dLbls>
          <c:showLegendKey val="0"/>
          <c:showVal val="0"/>
          <c:showCatName val="0"/>
          <c:showSerName val="0"/>
          <c:showPercent val="0"/>
          <c:showBubbleSize val="0"/>
        </c:dLbls>
        <c:upDownBars>
          <c:gapWidth val="50"/>
          <c:upBars>
            <c:spPr>
              <a:solidFill>
                <a:srgbClr val="2CA02C"/>
              </a:solidFill>
              <a:ln w="6350">
                <a:noFill/>
              </a:ln>
            </c:spPr>
          </c:upBars>
          <c:downBars>
            <c:spPr>
              <a:solidFill>
                <a:srgbClr val="E41A1C"/>
              </a:solidFill>
              <a:ln w="6350">
                <a:noFill/>
              </a:ln>
            </c:spPr>
          </c:downBars>
        </c:upDownBars>
        <c:marker val="1"/>
        <c:smooth val="0"/>
        <c:axId val="542286208"/>
        <c:axId val="542288128"/>
      </c:lineChart>
      <c:lineChart>
        <c:grouping val="standard"/>
        <c:varyColors val="0"/>
        <c:ser>
          <c:idx val="4"/>
          <c:order val="4"/>
          <c:tx>
            <c:strRef>
              <c:f>'Waterfal Chart'!$H$1</c:f>
              <c:strCache>
                <c:ptCount val="1"/>
                <c:pt idx="0">
                  <c:v>Center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7-61E2-CC43-9470-6D0A097CD91F}"/>
                </c:ext>
              </c:extLst>
            </c:dLbl>
            <c:spPr>
              <a:noFill/>
              <a:ln>
                <a:noFill/>
              </a:ln>
              <a:effectLst/>
            </c:sp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'Waterfal Chart'!$K$2:$K$6</c:f>
              <c:numCache>
                <c:formatCode>General</c:formatCode>
                <c:ptCount val="5"/>
                <c:pt idx="1">
                  <c:v>12.3</c:v>
                </c:pt>
                <c:pt idx="2">
                  <c:v>-24.6</c:v>
                </c:pt>
                <c:pt idx="3">
                  <c:v>-1.8</c:v>
                </c:pt>
              </c:numCache>
            </c:numRef>
          </c:cat>
          <c:val>
            <c:numRef>
              <c:f>'Waterfal Chart'!$H$2:$H$6</c:f>
              <c:numCache>
                <c:formatCode>General</c:formatCode>
                <c:ptCount val="5"/>
                <c:pt idx="0">
                  <c:v>0</c:v>
                </c:pt>
                <c:pt idx="1">
                  <c:v>#N/A</c:v>
                </c:pt>
                <c:pt idx="2">
                  <c:v>#N/A</c:v>
                </c:pt>
                <c:pt idx="3">
                  <c:v>#N/A</c:v>
                </c:pt>
              </c:numCache>
            </c:numRef>
          </c:val>
          <c:smooth val="0"/>
          <c:extLst>
            <c:ext xmlns:c16="http://schemas.microsoft.com/office/drawing/2014/chart" uri="{C3380CC4-5D6E-409C-BE32-E72D297353CC}">
              <c16:uniqueId val="{00000008-61E2-CC43-9470-6D0A097CD91F}"/>
            </c:ext>
          </c:extLst>
        </c:ser>
        <c:ser>
          <c:idx val="5"/>
          <c:order val="5"/>
          <c:tx>
            <c:strRef>
              <c:f>'Waterfal Chart'!$I$1</c:f>
              <c:strCache>
                <c:ptCount val="1"/>
                <c:pt idx="0">
                  <c:v>Above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9-61E2-CC43-9470-6D0A097CD91F}"/>
                </c:ext>
              </c:extLst>
            </c:dLbl>
            <c:spPr>
              <a:noFill/>
              <a:ln>
                <a:noFill/>
              </a:ln>
              <a:effectLst/>
            </c:spPr>
            <c:dLblPos val="t"/>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'Waterfal Chart'!$K$2:$K$6</c:f>
              <c:numCache>
                <c:formatCode>General</c:formatCode>
                <c:ptCount val="5"/>
                <c:pt idx="1">
                  <c:v>12.3</c:v>
                </c:pt>
                <c:pt idx="2">
                  <c:v>-24.6</c:v>
                </c:pt>
                <c:pt idx="3">
                  <c:v>-1.8</c:v>
                </c:pt>
              </c:numCache>
            </c:numRef>
          </c:cat>
          <c:val>
            <c:numRef>
              <c:f>'Waterfal Chart'!$I$2:$I$6</c:f>
              <c:numCache>
                <c:formatCode>General</c:formatCode>
                <c:ptCount val="5"/>
                <c:pt idx="0">
                  <c:v>0</c:v>
                </c:pt>
                <c:pt idx="1">
                  <c:v>#N/A</c:v>
                </c:pt>
                <c:pt idx="2">
                  <c:v>#N/A</c:v>
                </c:pt>
                <c:pt idx="3">
                  <c:v>#N/A</c:v>
                </c:pt>
              </c:numCache>
            </c:numRef>
          </c:val>
          <c:smooth val="0"/>
          <c:extLst>
            <c:ext xmlns:c16="http://schemas.microsoft.com/office/drawing/2014/chart" uri="{C3380CC4-5D6E-409C-BE32-E72D297353CC}">
              <c16:uniqueId val="{0000000A-61E2-CC43-9470-6D0A097CD91F}"/>
            </c:ext>
          </c:extLst>
        </c:ser>
        <c:dLbls>
          <c:showLegendKey val="0"/>
          <c:showVal val="0"/>
          <c:showCatName val="0"/>
          <c:showSerName val="0"/>
          <c:showPercent val="0"/>
          <c:showBubbleSize val="0"/>
        </c:dLbls>
        <c:marker val="1"/>
        <c:smooth val="0"/>
        <c:axId val="544425472"/>
        <c:axId val="544423936"/>
      </c:lineChart>
      <c:scatterChart>
        <c:scatterStyle val="lineMarker"/>
        <c:varyColors val="0"/>
        <c:ser>
          <c:idx val="3"/>
          <c:order val="3"/>
          <c:tx>
            <c:strRef>
              <c:f>'Waterfal Chart'!$G$1</c:f>
              <c:strCache>
                <c:ptCount val="1"/>
                <c:pt idx="0">
                  <c:v>Line Y</c:v>
                </c:pt>
              </c:strCache>
            </c:strRef>
          </c:tx>
          <c:spPr>
            <a:ln w="19050">
              <a:noFill/>
            </a:ln>
          </c:spPr>
          <c:marker>
            <c:symbol val="none"/>
          </c:marker>
          <c:errBars>
            <c:errDir val="x"/>
            <c:errBarType val="both"/>
            <c:errValType val="fixedVal"/>
            <c:noEndCap val="1"/>
            <c:val val="0.83333333333333337"/>
          </c:errBars>
          <c:xVal>
            <c:numRef>
              <c:f>'Waterfal Chart'!$C$2:$C$6</c:f>
              <c:numCache>
                <c:formatCode>General</c:formatCode>
                <c:ptCount val="5"/>
                <c:pt idx="0">
                  <c:v>1.5</c:v>
                </c:pt>
                <c:pt idx="1">
                  <c:v>2.5</c:v>
                </c:pt>
                <c:pt idx="2">
                  <c:v>3.5</c:v>
                </c:pt>
                <c:pt idx="3">
                  <c:v>4.5</c:v>
                </c:pt>
              </c:numCache>
            </c:numRef>
          </c:xVal>
          <c:yVal>
            <c:numRef>
              <c:f>'Waterfal Chart'!$G$2:$G$6</c:f>
              <c:numCache>
                <c:formatCode>General</c:formatCode>
                <c:ptCount val="5"/>
                <c:pt idx="0">
                  <c:v>22.5</c:v>
                </c:pt>
                <c:pt idx="1">
                  <c:v>34.799999999999997</c:v>
                </c:pt>
                <c:pt idx="2">
                  <c:v>10.199999999999996</c:v>
                </c:pt>
                <c:pt idx="3">
                  <c:v>8.399999999999995</c:v>
                </c:pt>
              </c:numCache>
            </c:numRef>
          </c:yVal>
          <c:smooth val="0"/>
          <c:extLst>
            <c:ext xmlns:c16="http://schemas.microsoft.com/office/drawing/2014/chart" uri="{C3380CC4-5D6E-409C-BE32-E72D297353CC}">
              <c16:uniqueId val="{0000000B-61E2-CC43-9470-6D0A097CD91F}"/>
            </c:ext>
          </c:extLst>
        </c:ser>
        <c:ser>
          <c:idx val="6"/>
          <c:order val="6"/>
          <c:tx>
            <c:strRef>
              <c:f>'Waterfal Chart'!$J$1</c:f>
              <c:strCache>
                <c:ptCount val="1"/>
                <c:pt idx="0">
                  <c:v>Below X</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61E2-CC43-9470-6D0A097CD91F}"/>
                </c:ext>
              </c:extLst>
            </c:dLbl>
            <c:spPr>
              <a:noFill/>
              <a:ln>
                <a:noFill/>
              </a:ln>
              <a:effectLst/>
            </c:spPr>
            <c:txPr>
              <a:bodyPr wrap="square" lIns="38100" tIns="19050" rIns="38100" bIns="19050" anchor="ctr">
                <a:spAutoFit/>
              </a:bodyPr>
              <a:lstStyle/>
              <a:p>
                <a:pPr>
                  <a:defRPr sz="1000" b="1">
                    <a:latin typeface="+mn-lt"/>
                  </a:defRPr>
                </a:pPr>
                <a:endParaRPr lang="en-VN"/>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strRef>
              <c:f>'Waterfal Chart'!$A$2:$A$6</c:f>
              <c:strCache>
                <c:ptCount val="5"/>
                <c:pt idx="0">
                  <c:v>The beginning of period</c:v>
                </c:pt>
                <c:pt idx="1">
                  <c:v>CFO</c:v>
                </c:pt>
                <c:pt idx="2">
                  <c:v>CFI</c:v>
                </c:pt>
                <c:pt idx="3">
                  <c:v>CFO</c:v>
                </c:pt>
                <c:pt idx="4">
                  <c:v>Ending Inventory</c:v>
                </c:pt>
              </c:strCache>
            </c:strRef>
          </c:xVal>
          <c:yVal>
            <c:numRef>
              <c:f>'Waterfal Chart'!$J$2:$J$6</c:f>
              <c:numCache>
                <c:formatCode>General</c:formatCode>
                <c:ptCount val="5"/>
                <c:pt idx="0">
                  <c:v>1</c:v>
                </c:pt>
                <c:pt idx="1">
                  <c:v>22.5</c:v>
                </c:pt>
                <c:pt idx="2">
                  <c:v>10.199999999999996</c:v>
                </c:pt>
                <c:pt idx="3">
                  <c:v>8.399999999999995</c:v>
                </c:pt>
              </c:numCache>
            </c:numRef>
          </c:yVal>
          <c:smooth val="0"/>
          <c:extLst>
            <c:ext xmlns:c16="http://schemas.microsoft.com/office/drawing/2014/chart" uri="{C3380CC4-5D6E-409C-BE32-E72D297353CC}">
              <c16:uniqueId val="{0000000D-61E2-CC43-9470-6D0A097CD91F}"/>
            </c:ext>
          </c:extLst>
        </c:ser>
        <c:dLbls>
          <c:showLegendKey val="0"/>
          <c:showVal val="0"/>
          <c:showCatName val="0"/>
          <c:showSerName val="0"/>
          <c:showPercent val="0"/>
          <c:showBubbleSize val="0"/>
        </c:dLbls>
        <c:axId val="542286208"/>
        <c:axId val="542288128"/>
      </c:scatterChart>
      <c:catAx>
        <c:axId val="542286208"/>
        <c:scaling>
          <c:orientation val="minMax"/>
        </c:scaling>
        <c:delete val="0"/>
        <c:axPos val="b"/>
        <c:numFmt formatCode="General" sourceLinked="1"/>
        <c:majorTickMark val="out"/>
        <c:minorTickMark val="none"/>
        <c:tickLblPos val="none"/>
        <c:spPr>
          <a:ln>
            <a:solidFill>
              <a:schemeClr val="bg1">
                <a:lumMod val="75000"/>
              </a:schemeClr>
            </a:solidFill>
          </a:ln>
        </c:spPr>
        <c:txPr>
          <a:bodyPr rot="0" vert="horz"/>
          <a:lstStyle/>
          <a:p>
            <a:pPr>
              <a:defRPr>
                <a:solidFill>
                  <a:schemeClr val="bg1">
                    <a:lumMod val="75000"/>
                  </a:schemeClr>
                </a:solidFill>
              </a:defRPr>
            </a:pPr>
            <a:endParaRPr lang="en-VN"/>
          </a:p>
        </c:txPr>
        <c:crossAx val="542288128"/>
        <c:crosses val="autoZero"/>
        <c:auto val="0"/>
        <c:lblAlgn val="ctr"/>
        <c:lblOffset val="100"/>
        <c:tickLblSkip val="1"/>
        <c:noMultiLvlLbl val="0"/>
      </c:catAx>
      <c:valAx>
        <c:axId val="542288128"/>
        <c:scaling>
          <c:orientation val="minMax"/>
        </c:scaling>
        <c:delete val="0"/>
        <c:axPos val="l"/>
        <c:title>
          <c:tx>
            <c:rich>
              <a:bodyPr/>
              <a:lstStyle/>
              <a:p>
                <a:pPr>
                  <a:defRPr/>
                </a:pPr>
                <a:r>
                  <a:rPr lang="en-US" b="0">
                    <a:solidFill>
                      <a:schemeClr val="bg1">
                        <a:lumMod val="75000"/>
                      </a:schemeClr>
                    </a:solidFill>
                  </a:rPr>
                  <a:t>TRILLION VNĐ</a:t>
                </a:r>
              </a:p>
            </c:rich>
          </c:tx>
          <c:layout>
            <c:manualLayout>
              <c:xMode val="edge"/>
              <c:yMode val="edge"/>
              <c:x val="1.5593067890339103E-2"/>
              <c:y val="6.8088251544507275E-2"/>
            </c:manualLayout>
          </c:layout>
          <c:overlay val="0"/>
        </c:title>
        <c:numFmt formatCode="General;\-General;;" sourceLinked="1"/>
        <c:majorTickMark val="in"/>
        <c:minorTickMark val="none"/>
        <c:tickLblPos val="nextTo"/>
        <c:spPr>
          <a:noFill/>
          <a:ln>
            <a:solidFill>
              <a:schemeClr val="bg1">
                <a:lumMod val="75000"/>
              </a:schemeClr>
            </a:solidFill>
          </a:ln>
        </c:spPr>
        <c:txPr>
          <a:bodyPr/>
          <a:lstStyle/>
          <a:p>
            <a:pPr>
              <a:defRPr sz="1000">
                <a:solidFill>
                  <a:schemeClr val="bg1">
                    <a:lumMod val="75000"/>
                  </a:schemeClr>
                </a:solidFill>
              </a:defRPr>
            </a:pPr>
            <a:endParaRPr lang="en-VN"/>
          </a:p>
        </c:txPr>
        <c:crossAx val="542286208"/>
        <c:crosses val="autoZero"/>
        <c:crossBetween val="between"/>
        <c:majorUnit val="10"/>
      </c:valAx>
      <c:valAx>
        <c:axId val="544423936"/>
        <c:scaling>
          <c:orientation val="minMax"/>
        </c:scaling>
        <c:delete val="1"/>
        <c:axPos val="r"/>
        <c:numFmt formatCode="General" sourceLinked="1"/>
        <c:majorTickMark val="out"/>
        <c:minorTickMark val="none"/>
        <c:tickLblPos val="nextTo"/>
        <c:crossAx val="544425472"/>
        <c:crosses val="max"/>
        <c:crossBetween val="between"/>
      </c:valAx>
      <c:catAx>
        <c:axId val="544425472"/>
        <c:scaling>
          <c:orientation val="minMax"/>
        </c:scaling>
        <c:delete val="1"/>
        <c:axPos val="b"/>
        <c:numFmt formatCode="General" sourceLinked="1"/>
        <c:majorTickMark val="out"/>
        <c:minorTickMark val="none"/>
        <c:tickLblPos val="nextTo"/>
        <c:crossAx val="544423936"/>
        <c:crosses val="autoZero"/>
        <c:auto val="1"/>
        <c:lblAlgn val="ctr"/>
        <c:lblOffset val="100"/>
        <c:noMultiLvlLbl val="0"/>
      </c:catAx>
      <c:spPr>
        <a:noFill/>
        <a:ln>
          <a:noFill/>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Cash flow</a:t>
            </a:r>
            <a:r>
              <a:rPr lang="en-US" sz="1400" b="0" baseline="0"/>
              <a:t> at the beginning and the end of each year </a:t>
            </a:r>
            <a:endParaRPr lang="en-US" sz="1400" b="0"/>
          </a:p>
        </c:rich>
      </c:tx>
      <c:layout>
        <c:manualLayout>
          <c:xMode val="edge"/>
          <c:yMode val="edge"/>
          <c:x val="3.5360772522790802E-2"/>
          <c:y val="5.26661823534936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11589235211894258"/>
          <c:y val="0.16832391841003724"/>
          <c:w val="0.83681098701086076"/>
          <c:h val="0.62678857223441065"/>
        </c:manualLayout>
      </c:layout>
      <c:barChart>
        <c:barDir val="col"/>
        <c:grouping val="clustered"/>
        <c:varyColors val="0"/>
        <c:ser>
          <c:idx val="2"/>
          <c:order val="0"/>
          <c:tx>
            <c:strRef>
              <c:f>'Cash Flow Statement'!$U$20</c:f>
              <c:strCache>
                <c:ptCount val="1"/>
                <c:pt idx="0">
                  <c:v>The beginning of period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Statement'!$T$30:$T$32</c:f>
              <c:numCache>
                <c:formatCode>General</c:formatCode>
                <c:ptCount val="3"/>
                <c:pt idx="0">
                  <c:v>2020</c:v>
                </c:pt>
                <c:pt idx="1">
                  <c:v>2021</c:v>
                </c:pt>
                <c:pt idx="2">
                  <c:v>2022</c:v>
                </c:pt>
              </c:numCache>
            </c:numRef>
          </c:cat>
          <c:val>
            <c:numRef>
              <c:f>'Cash Flow Statement'!$U$21:$U$23</c:f>
              <c:numCache>
                <c:formatCode>General</c:formatCode>
                <c:ptCount val="3"/>
                <c:pt idx="0">
                  <c:v>4.5</c:v>
                </c:pt>
                <c:pt idx="1">
                  <c:v>13.7</c:v>
                </c:pt>
                <c:pt idx="2">
                  <c:v>22.5</c:v>
                </c:pt>
              </c:numCache>
            </c:numRef>
          </c:val>
          <c:extLst>
            <c:ext xmlns:c16="http://schemas.microsoft.com/office/drawing/2014/chart" uri="{C3380CC4-5D6E-409C-BE32-E72D297353CC}">
              <c16:uniqueId val="{00000005-B481-674B-9456-84CF3F37EF3B}"/>
            </c:ext>
          </c:extLst>
        </c:ser>
        <c:ser>
          <c:idx val="3"/>
          <c:order val="1"/>
          <c:tx>
            <c:strRef>
              <c:f>'Cash Flow Statement'!$V$20</c:f>
              <c:strCache>
                <c:ptCount val="1"/>
                <c:pt idx="0">
                  <c:v>The end of period</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Statement'!$T$30:$T$32</c:f>
              <c:numCache>
                <c:formatCode>General</c:formatCode>
                <c:ptCount val="3"/>
                <c:pt idx="0">
                  <c:v>2020</c:v>
                </c:pt>
                <c:pt idx="1">
                  <c:v>2021</c:v>
                </c:pt>
                <c:pt idx="2">
                  <c:v>2022</c:v>
                </c:pt>
              </c:numCache>
            </c:numRef>
          </c:cat>
          <c:val>
            <c:numRef>
              <c:f>'Cash Flow Statement'!$V$21:$V$23</c:f>
              <c:numCache>
                <c:formatCode>General</c:formatCode>
                <c:ptCount val="3"/>
                <c:pt idx="0">
                  <c:v>13.7</c:v>
                </c:pt>
                <c:pt idx="1">
                  <c:v>22.5</c:v>
                </c:pt>
                <c:pt idx="2">
                  <c:v>8.3000000000000007</c:v>
                </c:pt>
              </c:numCache>
            </c:numRef>
          </c:val>
          <c:extLst>
            <c:ext xmlns:c16="http://schemas.microsoft.com/office/drawing/2014/chart" uri="{C3380CC4-5D6E-409C-BE32-E72D297353CC}">
              <c16:uniqueId val="{00000006-B481-674B-9456-84CF3F37EF3B}"/>
            </c:ext>
          </c:extLst>
        </c:ser>
        <c:dLbls>
          <c:showLegendKey val="0"/>
          <c:showVal val="0"/>
          <c:showCatName val="0"/>
          <c:showSerName val="0"/>
          <c:showPercent val="0"/>
          <c:showBubbleSize val="0"/>
        </c:dLbls>
        <c:gapWidth val="75"/>
        <c:overlap val="-3"/>
        <c:axId val="1968229935"/>
        <c:axId val="258119872"/>
      </c:barChart>
      <c:barChart>
        <c:barDir val="col"/>
        <c:grouping val="clustered"/>
        <c:varyColors val="0"/>
        <c:ser>
          <c:idx val="0"/>
          <c:order val="2"/>
          <c:tx>
            <c:strRef>
              <c:f>'Cash Flow Statement'!$U$29</c:f>
              <c:strCache>
                <c:ptCount val="1"/>
                <c:pt idx="0">
                  <c:v>Starting Color</c:v>
                </c:pt>
              </c:strCache>
            </c:strRef>
          </c:tx>
          <c:spPr>
            <a:solidFill>
              <a:schemeClr val="accent1">
                <a:lumMod val="20000"/>
                <a:lumOff val="80000"/>
              </a:schemeClr>
            </a:solidFill>
            <a:ln>
              <a:noFill/>
            </a:ln>
            <a:effectLst/>
          </c:spPr>
          <c:invertIfNegative val="0"/>
          <c:cat>
            <c:numRef>
              <c:f>'Cash Flow Statement'!$T$30:$T$32</c:f>
              <c:numCache>
                <c:formatCode>General</c:formatCode>
                <c:ptCount val="3"/>
                <c:pt idx="0">
                  <c:v>2020</c:v>
                </c:pt>
                <c:pt idx="1">
                  <c:v>2021</c:v>
                </c:pt>
                <c:pt idx="2">
                  <c:v>2022</c:v>
                </c:pt>
              </c:numCache>
            </c:numRef>
          </c:cat>
          <c:val>
            <c:numRef>
              <c:f>'Cash Flow Statement'!$U$30:$U$32</c:f>
              <c:numCache>
                <c:formatCode>_(* #,##0.0_);_(* \(#,##0.0\);_(* "-"??_);_(@_)</c:formatCode>
                <c:ptCount val="3"/>
                <c:pt idx="0">
                  <c:v>0</c:v>
                </c:pt>
                <c:pt idx="1">
                  <c:v>0</c:v>
                </c:pt>
                <c:pt idx="2">
                  <c:v>22.5</c:v>
                </c:pt>
              </c:numCache>
            </c:numRef>
          </c:val>
          <c:extLst>
            <c:ext xmlns:c16="http://schemas.microsoft.com/office/drawing/2014/chart" uri="{C3380CC4-5D6E-409C-BE32-E72D297353CC}">
              <c16:uniqueId val="{00000003-B481-674B-9456-84CF3F37EF3B}"/>
            </c:ext>
          </c:extLst>
        </c:ser>
        <c:ser>
          <c:idx val="1"/>
          <c:order val="3"/>
          <c:tx>
            <c:strRef>
              <c:f>'Cash Flow Statement'!$V$29</c:f>
              <c:strCache>
                <c:ptCount val="1"/>
                <c:pt idx="0">
                  <c:v>Ending Color</c:v>
                </c:pt>
              </c:strCache>
            </c:strRef>
          </c:tx>
          <c:spPr>
            <a:solidFill>
              <a:schemeClr val="accent1">
                <a:lumMod val="75000"/>
              </a:schemeClr>
            </a:solidFill>
            <a:ln>
              <a:noFill/>
            </a:ln>
            <a:effectLst/>
          </c:spPr>
          <c:invertIfNegative val="0"/>
          <c:cat>
            <c:numRef>
              <c:f>'Cash Flow Statement'!$T$30:$T$32</c:f>
              <c:numCache>
                <c:formatCode>General</c:formatCode>
                <c:ptCount val="3"/>
                <c:pt idx="0">
                  <c:v>2020</c:v>
                </c:pt>
                <c:pt idx="1">
                  <c:v>2021</c:v>
                </c:pt>
                <c:pt idx="2">
                  <c:v>2022</c:v>
                </c:pt>
              </c:numCache>
            </c:numRef>
          </c:cat>
          <c:val>
            <c:numRef>
              <c:f>'Cash Flow Statement'!$V$30:$V$32</c:f>
              <c:numCache>
                <c:formatCode>_(* #,##0.0_);_(* \(#,##0.0\);_(* "-"??_);_(@_)</c:formatCode>
                <c:ptCount val="3"/>
                <c:pt idx="0">
                  <c:v>0</c:v>
                </c:pt>
                <c:pt idx="1">
                  <c:v>0</c:v>
                </c:pt>
                <c:pt idx="2">
                  <c:v>8.3000000000000007</c:v>
                </c:pt>
              </c:numCache>
            </c:numRef>
          </c:val>
          <c:extLst>
            <c:ext xmlns:c16="http://schemas.microsoft.com/office/drawing/2014/chart" uri="{C3380CC4-5D6E-409C-BE32-E72D297353CC}">
              <c16:uniqueId val="{00000004-B481-674B-9456-84CF3F37EF3B}"/>
            </c:ext>
          </c:extLst>
        </c:ser>
        <c:dLbls>
          <c:showLegendKey val="0"/>
          <c:showVal val="0"/>
          <c:showCatName val="0"/>
          <c:showSerName val="0"/>
          <c:showPercent val="0"/>
          <c:showBubbleSize val="0"/>
        </c:dLbls>
        <c:gapWidth val="75"/>
        <c:overlap val="-3"/>
        <c:axId val="257755728"/>
        <c:axId val="257752752"/>
      </c:barChart>
      <c:catAx>
        <c:axId val="1968229935"/>
        <c:scaling>
          <c:orientation val="minMax"/>
        </c:scaling>
        <c:delete val="1"/>
        <c:axPos val="b"/>
        <c:numFmt formatCode="General" sourceLinked="1"/>
        <c:majorTickMark val="none"/>
        <c:minorTickMark val="none"/>
        <c:tickLblPos val="nextTo"/>
        <c:crossAx val="258119872"/>
        <c:crosses val="autoZero"/>
        <c:auto val="1"/>
        <c:lblAlgn val="ctr"/>
        <c:lblOffset val="100"/>
        <c:tickMarkSkip val="1"/>
        <c:noMultiLvlLbl val="0"/>
      </c:catAx>
      <c:valAx>
        <c:axId val="258119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r>
                  <a:rPr lang="en-US">
                    <a:solidFill>
                      <a:schemeClr val="bg1">
                        <a:lumMod val="75000"/>
                      </a:schemeClr>
                    </a:solidFill>
                  </a:rPr>
                  <a:t>TRILLION VNĐ</a:t>
                </a:r>
              </a:p>
            </c:rich>
          </c:tx>
          <c:layout>
            <c:manualLayout>
              <c:xMode val="edge"/>
              <c:yMode val="edge"/>
              <c:x val="3.3870911252258509E-2"/>
              <c:y val="0.1469891928397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VN"/>
            </a:p>
          </c:txPr>
        </c:title>
        <c:numFmt formatCode="General"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VN"/>
          </a:p>
        </c:txPr>
        <c:crossAx val="1968229935"/>
        <c:crosses val="autoZero"/>
        <c:crossBetween val="between"/>
        <c:majorUnit val="10"/>
      </c:valAx>
      <c:valAx>
        <c:axId val="257752752"/>
        <c:scaling>
          <c:orientation val="minMax"/>
          <c:max val="30"/>
        </c:scaling>
        <c:delete val="1"/>
        <c:axPos val="r"/>
        <c:numFmt formatCode="_(* #,##0.0_);_(* \(#,##0.0\);_(* &quot;-&quot;??_);_(@_)" sourceLinked="1"/>
        <c:majorTickMark val="out"/>
        <c:minorTickMark val="none"/>
        <c:tickLblPos val="nextTo"/>
        <c:crossAx val="257755728"/>
        <c:crosses val="max"/>
        <c:crossBetween val="between"/>
      </c:valAx>
      <c:catAx>
        <c:axId val="257755728"/>
        <c:scaling>
          <c:orientation val="minMax"/>
        </c:scaling>
        <c:delete val="1"/>
        <c:axPos val="b"/>
        <c:numFmt formatCode="General" sourceLinked="1"/>
        <c:majorTickMark val="out"/>
        <c:minorTickMark val="none"/>
        <c:tickLblPos val="nextTo"/>
        <c:crossAx val="2577527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102008873578628E-3"/>
          <c:y val="4.6304978907857576E-3"/>
          <c:w val="0.9948320413436692"/>
          <c:h val="0.99537037037037035"/>
        </c:manualLayout>
      </c:layout>
      <c:scatterChart>
        <c:scatterStyle val="lineMarker"/>
        <c:varyColors val="0"/>
        <c:ser>
          <c:idx val="0"/>
          <c:order val="0"/>
          <c:spPr>
            <a:ln w="19050" cap="rnd">
              <a:solidFill>
                <a:schemeClr val="accent1">
                  <a:lumMod val="75000"/>
                </a:schemeClr>
              </a:solidFill>
              <a:round/>
            </a:ln>
            <a:effectLst/>
          </c:spPr>
          <c:marker>
            <c:symbol val="none"/>
          </c:marker>
          <c:xVal>
            <c:numRef>
              <c:f>'Cash Flow Statement'!$T$36:$T$36</c:f>
              <c:numCache>
                <c:formatCode>General</c:formatCode>
                <c:ptCount val="1"/>
                <c:pt idx="0">
                  <c:v>2.5</c:v>
                </c:pt>
              </c:numCache>
            </c:numRef>
          </c:xVal>
          <c:yVal>
            <c:numRef>
              <c:f>'Cash Flow Statement'!$U$36:$U$36</c:f>
              <c:numCache>
                <c:formatCode>General</c:formatCode>
                <c:ptCount val="1"/>
                <c:pt idx="0">
                  <c:v>1</c:v>
                </c:pt>
              </c:numCache>
            </c:numRef>
          </c:yVal>
          <c:smooth val="0"/>
          <c:extLst>
            <c:ext xmlns:c16="http://schemas.microsoft.com/office/drawing/2014/chart" uri="{C3380CC4-5D6E-409C-BE32-E72D297353CC}">
              <c16:uniqueId val="{00000000-B1C3-BE44-8869-83A12D6CD0F6}"/>
            </c:ext>
          </c:extLst>
        </c:ser>
        <c:dLbls>
          <c:showLegendKey val="0"/>
          <c:showVal val="0"/>
          <c:showCatName val="0"/>
          <c:showSerName val="0"/>
          <c:showPercent val="0"/>
          <c:showBubbleSize val="0"/>
        </c:dLbls>
        <c:axId val="480138752"/>
        <c:axId val="480140288"/>
      </c:scatterChart>
      <c:valAx>
        <c:axId val="480138752"/>
        <c:scaling>
          <c:orientation val="minMax"/>
          <c:max val="4"/>
          <c:min val="0"/>
        </c:scaling>
        <c:delete val="1"/>
        <c:axPos val="b"/>
        <c:numFmt formatCode="General" sourceLinked="1"/>
        <c:majorTickMark val="out"/>
        <c:minorTickMark val="none"/>
        <c:tickLblPos val="nextTo"/>
        <c:crossAx val="480140288"/>
        <c:crosses val="autoZero"/>
        <c:crossBetween val="midCat"/>
      </c:valAx>
      <c:valAx>
        <c:axId val="480140288"/>
        <c:scaling>
          <c:orientation val="minMax"/>
          <c:max val="1"/>
          <c:min val="0"/>
        </c:scaling>
        <c:delete val="1"/>
        <c:axPos val="l"/>
        <c:numFmt formatCode="General" sourceLinked="1"/>
        <c:majorTickMark val="out"/>
        <c:minorTickMark val="none"/>
        <c:tickLblPos val="nextTo"/>
        <c:crossAx val="480138752"/>
        <c:crosses val="autoZero"/>
        <c:crossBetween val="midCat"/>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65000"/>
                    <a:lumOff val="35000"/>
                  </a:schemeClr>
                </a:solidFill>
              </a:rPr>
              <a:t>Free Cash Flow</a:t>
            </a:r>
          </a:p>
        </c:rich>
      </c:tx>
      <c:layout>
        <c:manualLayout>
          <c:xMode val="edge"/>
          <c:yMode val="edge"/>
          <c:x val="2.1310464825074957E-2"/>
          <c:y val="0.108527131782945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10513094798028647"/>
          <c:y val="0.22914789721052312"/>
          <c:w val="0.88794481840152328"/>
          <c:h val="0.72524415552707078"/>
        </c:manualLayout>
      </c:layout>
      <c:barChart>
        <c:barDir val="col"/>
        <c:grouping val="clustered"/>
        <c:varyColors val="0"/>
        <c:ser>
          <c:idx val="1"/>
          <c:order val="0"/>
          <c:tx>
            <c:strRef>
              <c:f>'Cash Flow Statement'!$W$39</c:f>
              <c:strCache>
                <c:ptCount val="1"/>
                <c:pt idx="0">
                  <c:v>FCF</c:v>
                </c:pt>
              </c:strCache>
            </c:strRef>
          </c:tx>
          <c:spPr>
            <a:solidFill>
              <a:schemeClr val="accent2"/>
            </a:solidFill>
            <a:ln>
              <a:noFill/>
            </a:ln>
            <a:effectLst/>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09-0925-DD42-AAAB-812B1ED732F5}"/>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7-0925-DD42-AAAB-812B1ED732F5}"/>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6-0925-DD42-AAAB-812B1ED732F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Statement'!$V$40:$V$42</c:f>
              <c:numCache>
                <c:formatCode>General</c:formatCode>
                <c:ptCount val="3"/>
                <c:pt idx="0">
                  <c:v>2020</c:v>
                </c:pt>
                <c:pt idx="1">
                  <c:v>2021</c:v>
                </c:pt>
                <c:pt idx="2">
                  <c:v>2022</c:v>
                </c:pt>
              </c:numCache>
            </c:numRef>
          </c:cat>
          <c:val>
            <c:numRef>
              <c:f>'Cash Flow Statement'!$W$40:$W$42</c:f>
              <c:numCache>
                <c:formatCode>0.0</c:formatCode>
                <c:ptCount val="3"/>
                <c:pt idx="0">
                  <c:v>-33.6</c:v>
                </c:pt>
                <c:pt idx="1">
                  <c:v>18.600000000000001</c:v>
                </c:pt>
                <c:pt idx="2">
                  <c:v>17.600000000000001</c:v>
                </c:pt>
              </c:numCache>
            </c:numRef>
          </c:val>
          <c:extLst>
            <c:ext xmlns:c16="http://schemas.microsoft.com/office/drawing/2014/chart" uri="{C3380CC4-5D6E-409C-BE32-E72D297353CC}">
              <c16:uniqueId val="{00000001-0925-DD42-AAAB-812B1ED732F5}"/>
            </c:ext>
          </c:extLst>
        </c:ser>
        <c:dLbls>
          <c:showLegendKey val="0"/>
          <c:showVal val="0"/>
          <c:showCatName val="0"/>
          <c:showSerName val="0"/>
          <c:showPercent val="0"/>
          <c:showBubbleSize val="0"/>
        </c:dLbls>
        <c:gapWidth val="150"/>
        <c:overlap val="-27"/>
        <c:axId val="388706000"/>
        <c:axId val="388316672"/>
      </c:barChart>
      <c:barChart>
        <c:barDir val="col"/>
        <c:grouping val="clustered"/>
        <c:varyColors val="0"/>
        <c:ser>
          <c:idx val="0"/>
          <c:order val="1"/>
          <c:tx>
            <c:strRef>
              <c:f>'Cash Flow Statement'!$W$44</c:f>
              <c:strCache>
                <c:ptCount val="1"/>
                <c:pt idx="0">
                  <c:v>FCF</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8-0925-DD42-AAAB-812B1ED732F5}"/>
              </c:ext>
            </c:extLst>
          </c:dPt>
          <c:val>
            <c:numRef>
              <c:f>'Cash Flow Statement'!$W$45:$W$47</c:f>
              <c:numCache>
                <c:formatCode>_(* #,##0.0_);_(* \(#,##0.0\);_(* "-"??_);_(@_)</c:formatCode>
                <c:ptCount val="3"/>
                <c:pt idx="0">
                  <c:v>0</c:v>
                </c:pt>
                <c:pt idx="1">
                  <c:v>0</c:v>
                </c:pt>
                <c:pt idx="2">
                  <c:v>17.600000000000001</c:v>
                </c:pt>
              </c:numCache>
            </c:numRef>
          </c:val>
          <c:extLst>
            <c:ext xmlns:c16="http://schemas.microsoft.com/office/drawing/2014/chart" uri="{C3380CC4-5D6E-409C-BE32-E72D297353CC}">
              <c16:uniqueId val="{00000005-0925-DD42-AAAB-812B1ED732F5}"/>
            </c:ext>
          </c:extLst>
        </c:ser>
        <c:dLbls>
          <c:showLegendKey val="0"/>
          <c:showVal val="0"/>
          <c:showCatName val="0"/>
          <c:showSerName val="0"/>
          <c:showPercent val="0"/>
          <c:showBubbleSize val="0"/>
        </c:dLbls>
        <c:gapWidth val="150"/>
        <c:overlap val="-27"/>
        <c:axId val="542763152"/>
        <c:axId val="543005184"/>
      </c:barChart>
      <c:catAx>
        <c:axId val="388706000"/>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88316672"/>
        <c:crosses val="autoZero"/>
        <c:auto val="1"/>
        <c:lblAlgn val="ctr"/>
        <c:lblOffset val="100"/>
        <c:noMultiLvlLbl val="0"/>
      </c:catAx>
      <c:valAx>
        <c:axId val="388316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r>
                  <a:rPr lang="en-US">
                    <a:solidFill>
                      <a:schemeClr val="bg1">
                        <a:lumMod val="75000"/>
                      </a:schemeClr>
                    </a:solidFill>
                  </a:rPr>
                  <a:t>TRILLION VNĐ</a:t>
                </a:r>
              </a:p>
            </c:rich>
          </c:tx>
          <c:layout>
            <c:manualLayout>
              <c:xMode val="edge"/>
              <c:yMode val="edge"/>
              <c:x val="1.9641742696932654E-2"/>
              <c:y val="0.206304706097784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VN"/>
            </a:p>
          </c:txPr>
        </c:title>
        <c:numFmt formatCode="0" sourceLinked="0"/>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000" b="0" i="0" u="none" strike="noStrike" kern="1200" baseline="0">
                <a:solidFill>
                  <a:schemeClr val="bg2">
                    <a:lumMod val="90000"/>
                  </a:schemeClr>
                </a:solidFill>
                <a:latin typeface="+mn-lt"/>
                <a:ea typeface="+mn-ea"/>
                <a:cs typeface="+mn-cs"/>
              </a:defRPr>
            </a:pPr>
            <a:endParaRPr lang="en-VN"/>
          </a:p>
        </c:txPr>
        <c:crossAx val="388706000"/>
        <c:crosses val="autoZero"/>
        <c:crossBetween val="between"/>
        <c:majorUnit val="20"/>
      </c:valAx>
      <c:valAx>
        <c:axId val="543005184"/>
        <c:scaling>
          <c:orientation val="minMax"/>
          <c:max val="60"/>
          <c:min val="-40"/>
        </c:scaling>
        <c:delete val="1"/>
        <c:axPos val="r"/>
        <c:numFmt formatCode="_(* #,##0.0_);_(* \(#,##0.0\);_(* &quot;-&quot;??_);_(@_)" sourceLinked="1"/>
        <c:majorTickMark val="out"/>
        <c:minorTickMark val="none"/>
        <c:tickLblPos val="nextTo"/>
        <c:crossAx val="542763152"/>
        <c:crosses val="max"/>
        <c:crossBetween val="between"/>
        <c:majorUnit val="20"/>
      </c:valAx>
      <c:catAx>
        <c:axId val="542763152"/>
        <c:scaling>
          <c:orientation val="minMax"/>
        </c:scaling>
        <c:delete val="1"/>
        <c:axPos val="b"/>
        <c:majorTickMark val="out"/>
        <c:minorTickMark val="none"/>
        <c:tickLblPos val="nextTo"/>
        <c:crossAx val="5430051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4">
                    <a:lumMod val="75000"/>
                  </a:schemeClr>
                </a:solidFill>
              </a:rPr>
              <a:t>MV</a:t>
            </a:r>
            <a:r>
              <a:rPr lang="en-US" sz="1400" b="1" baseline="0">
                <a:solidFill>
                  <a:schemeClr val="accent4">
                    <a:lumMod val="75000"/>
                  </a:schemeClr>
                </a:solidFill>
              </a:rPr>
              <a:t>A</a:t>
            </a:r>
            <a:r>
              <a:rPr lang="en-US" sz="1400" b="1" baseline="0"/>
              <a:t> and </a:t>
            </a:r>
            <a:r>
              <a:rPr lang="en-US" sz="1400" b="1" baseline="0">
                <a:solidFill>
                  <a:schemeClr val="accent4">
                    <a:lumMod val="60000"/>
                    <a:lumOff val="40000"/>
                  </a:schemeClr>
                </a:solidFill>
              </a:rPr>
              <a:t>EVA</a:t>
            </a:r>
            <a:endParaRPr lang="en-US" sz="1400" b="1">
              <a:solidFill>
                <a:schemeClr val="accent4">
                  <a:lumMod val="60000"/>
                  <a:lumOff val="40000"/>
                </a:schemeClr>
              </a:solidFill>
            </a:endParaRPr>
          </a:p>
        </c:rich>
      </c:tx>
      <c:layout>
        <c:manualLayout>
          <c:xMode val="edge"/>
          <c:yMode val="edge"/>
          <c:x val="3.5360772522790802E-2"/>
          <c:y val="5.26661823534936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11773901962751655"/>
          <c:y val="0.16832391841003724"/>
          <c:w val="0.8391110151635397"/>
          <c:h val="0.62678857223441065"/>
        </c:manualLayout>
      </c:layout>
      <c:barChart>
        <c:barDir val="col"/>
        <c:grouping val="clustered"/>
        <c:varyColors val="0"/>
        <c:ser>
          <c:idx val="2"/>
          <c:order val="2"/>
          <c:tx>
            <c:strRef>
              <c:f>'Cash Flow Statement'!$U$53</c:f>
              <c:strCache>
                <c:ptCount val="1"/>
                <c:pt idx="0">
                  <c:v>MVA</c:v>
                </c:pt>
              </c:strCache>
            </c:strRef>
          </c:tx>
          <c:spPr>
            <a:solidFill>
              <a:schemeClr val="bg2">
                <a:lumMod val="90000"/>
              </a:schemeClr>
            </a:solidFill>
            <a:ln>
              <a:noFill/>
            </a:ln>
            <a:effectLst/>
          </c:spPr>
          <c:invertIfNegative val="0"/>
          <c:cat>
            <c:numRef>
              <c:f>'Cash Flow Statement'!$T$61:$T$63</c:f>
              <c:numCache>
                <c:formatCode>General</c:formatCode>
                <c:ptCount val="3"/>
                <c:pt idx="0">
                  <c:v>2020</c:v>
                </c:pt>
                <c:pt idx="1">
                  <c:v>2021</c:v>
                </c:pt>
                <c:pt idx="2">
                  <c:v>2022</c:v>
                </c:pt>
              </c:numCache>
            </c:numRef>
          </c:cat>
          <c:val>
            <c:numRef>
              <c:f>'Cash Flow Statement'!$U$54:$U$56</c:f>
              <c:numCache>
                <c:formatCode>General</c:formatCode>
                <c:ptCount val="3"/>
                <c:pt idx="0">
                  <c:v>75.5</c:v>
                </c:pt>
                <c:pt idx="1">
                  <c:v>66.400000000000006</c:v>
                </c:pt>
                <c:pt idx="2">
                  <c:v>8.6999999999999993</c:v>
                </c:pt>
              </c:numCache>
            </c:numRef>
          </c:val>
          <c:extLst>
            <c:ext xmlns:c16="http://schemas.microsoft.com/office/drawing/2014/chart" uri="{C3380CC4-5D6E-409C-BE32-E72D297353CC}">
              <c16:uniqueId val="{00000000-A44A-D745-8165-4DA8FEF9EB29}"/>
            </c:ext>
          </c:extLst>
        </c:ser>
        <c:ser>
          <c:idx val="3"/>
          <c:order val="3"/>
          <c:tx>
            <c:strRef>
              <c:f>'Cash Flow Statement'!$V$53</c:f>
              <c:strCache>
                <c:ptCount val="1"/>
                <c:pt idx="0">
                  <c:v>EVA</c:v>
                </c:pt>
              </c:strCache>
            </c:strRef>
          </c:tx>
          <c:spPr>
            <a:solidFill>
              <a:schemeClr val="accent3"/>
            </a:solidFill>
            <a:ln>
              <a:noFill/>
            </a:ln>
            <a:effectLst/>
          </c:spPr>
          <c:invertIfNegative val="0"/>
          <c:cat>
            <c:numRef>
              <c:f>'Cash Flow Statement'!$T$61:$T$63</c:f>
              <c:numCache>
                <c:formatCode>General</c:formatCode>
                <c:ptCount val="3"/>
                <c:pt idx="0">
                  <c:v>2020</c:v>
                </c:pt>
                <c:pt idx="1">
                  <c:v>2021</c:v>
                </c:pt>
                <c:pt idx="2">
                  <c:v>2022</c:v>
                </c:pt>
              </c:numCache>
            </c:numRef>
          </c:cat>
          <c:val>
            <c:numRef>
              <c:f>'Cash Flow Statement'!$V$54:$V$56</c:f>
              <c:numCache>
                <c:formatCode>General</c:formatCode>
                <c:ptCount val="3"/>
                <c:pt idx="0">
                  <c:v>3.9</c:v>
                </c:pt>
                <c:pt idx="1">
                  <c:v>23.8</c:v>
                </c:pt>
                <c:pt idx="2">
                  <c:v>0.3</c:v>
                </c:pt>
              </c:numCache>
            </c:numRef>
          </c:val>
          <c:extLst>
            <c:ext xmlns:c16="http://schemas.microsoft.com/office/drawing/2014/chart" uri="{C3380CC4-5D6E-409C-BE32-E72D297353CC}">
              <c16:uniqueId val="{00000001-A44A-D745-8165-4DA8FEF9EB29}"/>
            </c:ext>
          </c:extLst>
        </c:ser>
        <c:dLbls>
          <c:showLegendKey val="0"/>
          <c:showVal val="0"/>
          <c:showCatName val="0"/>
          <c:showSerName val="0"/>
          <c:showPercent val="0"/>
          <c:showBubbleSize val="0"/>
        </c:dLbls>
        <c:gapWidth val="75"/>
        <c:overlap val="-3"/>
        <c:axId val="1968229935"/>
        <c:axId val="258119872"/>
      </c:barChart>
      <c:barChart>
        <c:barDir val="col"/>
        <c:grouping val="clustered"/>
        <c:varyColors val="0"/>
        <c:ser>
          <c:idx val="0"/>
          <c:order val="0"/>
          <c:tx>
            <c:strRef>
              <c:f>'Cash Flow Statement'!$U$53</c:f>
              <c:strCache>
                <c:ptCount val="1"/>
                <c:pt idx="0">
                  <c:v>MVA</c:v>
                </c:pt>
              </c:strCache>
            </c:strRef>
          </c:tx>
          <c:spPr>
            <a:solidFill>
              <a:schemeClr val="accent4">
                <a:lumMod val="75000"/>
              </a:schemeClr>
            </a:solidFill>
            <a:ln>
              <a:noFill/>
            </a:ln>
            <a:effectLst/>
          </c:spPr>
          <c:invertIfNegative val="0"/>
          <c:cat>
            <c:numRef>
              <c:f>'Cash Flow Statement'!$T$61:$T$63</c:f>
              <c:numCache>
                <c:formatCode>General</c:formatCode>
                <c:ptCount val="3"/>
                <c:pt idx="0">
                  <c:v>2020</c:v>
                </c:pt>
                <c:pt idx="1">
                  <c:v>2021</c:v>
                </c:pt>
                <c:pt idx="2">
                  <c:v>2022</c:v>
                </c:pt>
              </c:numCache>
            </c:numRef>
          </c:cat>
          <c:val>
            <c:numRef>
              <c:f>'Cash Flow Statement'!$U$61:$U$63</c:f>
              <c:numCache>
                <c:formatCode>_(* #,##0.0_);_(* \(#,##0.0\);_(* "-"??_);_(@_)</c:formatCode>
                <c:ptCount val="3"/>
                <c:pt idx="0">
                  <c:v>0</c:v>
                </c:pt>
                <c:pt idx="1">
                  <c:v>0</c:v>
                </c:pt>
                <c:pt idx="2">
                  <c:v>8.6999999999999993</c:v>
                </c:pt>
              </c:numCache>
            </c:numRef>
          </c:val>
          <c:extLst>
            <c:ext xmlns:c16="http://schemas.microsoft.com/office/drawing/2014/chart" uri="{C3380CC4-5D6E-409C-BE32-E72D297353CC}">
              <c16:uniqueId val="{00000002-A44A-D745-8165-4DA8FEF9EB29}"/>
            </c:ext>
          </c:extLst>
        </c:ser>
        <c:ser>
          <c:idx val="1"/>
          <c:order val="1"/>
          <c:tx>
            <c:strRef>
              <c:f>'Cash Flow Statement'!$V$53</c:f>
              <c:strCache>
                <c:ptCount val="1"/>
                <c:pt idx="0">
                  <c:v>EVA</c:v>
                </c:pt>
              </c:strCache>
            </c:strRef>
          </c:tx>
          <c:spPr>
            <a:solidFill>
              <a:schemeClr val="accent4">
                <a:lumMod val="60000"/>
                <a:lumOff val="40000"/>
              </a:schemeClr>
            </a:solidFill>
            <a:ln>
              <a:noFill/>
            </a:ln>
            <a:effectLst/>
          </c:spPr>
          <c:invertIfNegative val="0"/>
          <c:cat>
            <c:numRef>
              <c:f>'Cash Flow Statement'!$T$61:$T$63</c:f>
              <c:numCache>
                <c:formatCode>General</c:formatCode>
                <c:ptCount val="3"/>
                <c:pt idx="0">
                  <c:v>2020</c:v>
                </c:pt>
                <c:pt idx="1">
                  <c:v>2021</c:v>
                </c:pt>
                <c:pt idx="2">
                  <c:v>2022</c:v>
                </c:pt>
              </c:numCache>
            </c:numRef>
          </c:cat>
          <c:val>
            <c:numRef>
              <c:f>'Cash Flow Statement'!$V$61:$V$63</c:f>
              <c:numCache>
                <c:formatCode>_(* #,##0.0_);_(* \(#,##0.0\);_(* "-"??_);_(@_)</c:formatCode>
                <c:ptCount val="3"/>
                <c:pt idx="0">
                  <c:v>0</c:v>
                </c:pt>
                <c:pt idx="1">
                  <c:v>0</c:v>
                </c:pt>
                <c:pt idx="2">
                  <c:v>0.3</c:v>
                </c:pt>
              </c:numCache>
            </c:numRef>
          </c:val>
          <c:extLst>
            <c:ext xmlns:c16="http://schemas.microsoft.com/office/drawing/2014/chart" uri="{C3380CC4-5D6E-409C-BE32-E72D297353CC}">
              <c16:uniqueId val="{00000003-A44A-D745-8165-4DA8FEF9EB29}"/>
            </c:ext>
          </c:extLst>
        </c:ser>
        <c:dLbls>
          <c:showLegendKey val="0"/>
          <c:showVal val="0"/>
          <c:showCatName val="0"/>
          <c:showSerName val="0"/>
          <c:showPercent val="0"/>
          <c:showBubbleSize val="0"/>
        </c:dLbls>
        <c:gapWidth val="75"/>
        <c:overlap val="-3"/>
        <c:axId val="349690080"/>
        <c:axId val="349711456"/>
      </c:barChart>
      <c:catAx>
        <c:axId val="1968229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258119872"/>
        <c:crosses val="autoZero"/>
        <c:auto val="1"/>
        <c:lblAlgn val="ctr"/>
        <c:lblOffset val="100"/>
        <c:tickMarkSkip val="1"/>
        <c:noMultiLvlLbl val="0"/>
      </c:catAx>
      <c:valAx>
        <c:axId val="258119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r>
                  <a:rPr lang="en-US">
                    <a:solidFill>
                      <a:schemeClr val="bg1">
                        <a:lumMod val="75000"/>
                      </a:schemeClr>
                    </a:solidFill>
                  </a:rPr>
                  <a:t>TRILLION VNĐ</a:t>
                </a:r>
              </a:p>
            </c:rich>
          </c:tx>
          <c:layout>
            <c:manualLayout>
              <c:xMode val="edge"/>
              <c:yMode val="edge"/>
              <c:x val="3.3870911252258509E-2"/>
              <c:y val="0.1469891928397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VN"/>
            </a:p>
          </c:txPr>
        </c:title>
        <c:numFmt formatCode="General"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VN"/>
          </a:p>
        </c:txPr>
        <c:crossAx val="1968229935"/>
        <c:crosses val="autoZero"/>
        <c:crossBetween val="between"/>
        <c:majorUnit val="20"/>
      </c:valAx>
      <c:valAx>
        <c:axId val="349711456"/>
        <c:scaling>
          <c:orientation val="minMax"/>
        </c:scaling>
        <c:delete val="1"/>
        <c:axPos val="r"/>
        <c:numFmt formatCode="_(* #,##0.0_);_(* \(#,##0.0\);_(* &quot;-&quot;??_);_(@_)" sourceLinked="1"/>
        <c:majorTickMark val="out"/>
        <c:minorTickMark val="none"/>
        <c:tickLblPos val="nextTo"/>
        <c:crossAx val="349690080"/>
        <c:crosses val="max"/>
        <c:crossBetween val="between"/>
        <c:majorUnit val="20"/>
      </c:valAx>
      <c:catAx>
        <c:axId val="349690080"/>
        <c:scaling>
          <c:orientation val="minMax"/>
        </c:scaling>
        <c:delete val="1"/>
        <c:axPos val="b"/>
        <c:numFmt formatCode="General" sourceLinked="1"/>
        <c:majorTickMark val="out"/>
        <c:minorTickMark val="none"/>
        <c:tickLblPos val="nextTo"/>
        <c:crossAx val="3497114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solidFill>
              </a:rPr>
              <a:t>ROE</a:t>
            </a:r>
            <a:r>
              <a:rPr lang="en-US" b="1" baseline="0">
                <a:solidFill>
                  <a:schemeClr val="accent3"/>
                </a:solidFill>
              </a:rPr>
              <a:t> of </a:t>
            </a:r>
            <a:r>
              <a:rPr lang="en-US" b="1" baseline="0">
                <a:solidFill>
                  <a:schemeClr val="accent1">
                    <a:lumMod val="50000"/>
                  </a:schemeClr>
                </a:solidFill>
              </a:rPr>
              <a:t>HPG </a:t>
            </a:r>
            <a:r>
              <a:rPr lang="en-US" b="1" baseline="0">
                <a:solidFill>
                  <a:schemeClr val="accent3"/>
                </a:solidFill>
              </a:rPr>
              <a:t>and </a:t>
            </a:r>
            <a:r>
              <a:rPr lang="en-US" b="1" baseline="0">
                <a:solidFill>
                  <a:schemeClr val="accent1">
                    <a:lumMod val="40000"/>
                    <a:lumOff val="60000"/>
                  </a:schemeClr>
                </a:solidFill>
              </a:rPr>
              <a:t>Market</a:t>
            </a:r>
            <a:endParaRPr lang="en-US" b="1">
              <a:solidFill>
                <a:schemeClr val="accent1">
                  <a:lumMod val="40000"/>
                  <a:lumOff val="60000"/>
                </a:schemeClr>
              </a:solidFill>
            </a:endParaRPr>
          </a:p>
        </c:rich>
      </c:tx>
      <c:layout>
        <c:manualLayout>
          <c:xMode val="edge"/>
          <c:yMode val="edge"/>
          <c:x val="4.2410501193317414E-2"/>
          <c:y val="9.1487669053301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10528836938342134"/>
          <c:y val="0.23110580747812251"/>
          <c:w val="0.82788585496025402"/>
          <c:h val="0.67457544835535177"/>
        </c:manualLayout>
      </c:layout>
      <c:barChart>
        <c:barDir val="col"/>
        <c:grouping val="clustered"/>
        <c:varyColors val="0"/>
        <c:ser>
          <c:idx val="2"/>
          <c:order val="2"/>
          <c:tx>
            <c:strRef>
              <c:f>FR!$B$77</c:f>
              <c:strCache>
                <c:ptCount val="1"/>
                <c:pt idx="0">
                  <c:v>Sum of HPG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FR!$A$83:$A$85</c:f>
              <c:numCache>
                <c:formatCode>General</c:formatCode>
                <c:ptCount val="3"/>
                <c:pt idx="0">
                  <c:v>2020</c:v>
                </c:pt>
                <c:pt idx="1">
                  <c:v>2021</c:v>
                </c:pt>
                <c:pt idx="2">
                  <c:v>2022</c:v>
                </c:pt>
              </c:numCache>
            </c:numRef>
          </c:cat>
          <c:val>
            <c:numRef>
              <c:f>FR!$B$78:$B$80</c:f>
              <c:numCache>
                <c:formatCode>0%</c:formatCode>
                <c:ptCount val="3"/>
                <c:pt idx="0">
                  <c:v>0.22806843623333498</c:v>
                </c:pt>
                <c:pt idx="1">
                  <c:v>0.38026786813611585</c:v>
                </c:pt>
                <c:pt idx="2">
                  <c:v>8.7859440032456507E-2</c:v>
                </c:pt>
              </c:numCache>
            </c:numRef>
          </c:val>
          <c:extLst>
            <c:ext xmlns:c16="http://schemas.microsoft.com/office/drawing/2014/chart" uri="{C3380CC4-5D6E-409C-BE32-E72D297353CC}">
              <c16:uniqueId val="{00000002-54C7-A540-B4E2-C016C74809DC}"/>
            </c:ext>
          </c:extLst>
        </c:ser>
        <c:ser>
          <c:idx val="3"/>
          <c:order val="3"/>
          <c:tx>
            <c:strRef>
              <c:f>FR!$C$77</c:f>
              <c:strCache>
                <c:ptCount val="1"/>
                <c:pt idx="0">
                  <c:v>Sum of Market</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FR!$A$83:$A$85</c:f>
              <c:numCache>
                <c:formatCode>General</c:formatCode>
                <c:ptCount val="3"/>
                <c:pt idx="0">
                  <c:v>2020</c:v>
                </c:pt>
                <c:pt idx="1">
                  <c:v>2021</c:v>
                </c:pt>
                <c:pt idx="2">
                  <c:v>2022</c:v>
                </c:pt>
              </c:numCache>
            </c:numRef>
          </c:cat>
          <c:val>
            <c:numRef>
              <c:f>FR!$C$78:$C$80</c:f>
              <c:numCache>
                <c:formatCode>0%</c:formatCode>
                <c:ptCount val="3"/>
                <c:pt idx="0">
                  <c:v>0.21906932109999999</c:v>
                </c:pt>
                <c:pt idx="1">
                  <c:v>0.41649280840000003</c:v>
                </c:pt>
                <c:pt idx="2">
                  <c:v>6.2999128599999996E-2</c:v>
                </c:pt>
              </c:numCache>
            </c:numRef>
          </c:val>
          <c:extLst>
            <c:ext xmlns:c16="http://schemas.microsoft.com/office/drawing/2014/chart" uri="{C3380CC4-5D6E-409C-BE32-E72D297353CC}">
              <c16:uniqueId val="{00000003-54C7-A540-B4E2-C016C74809DC}"/>
            </c:ext>
          </c:extLst>
        </c:ser>
        <c:dLbls>
          <c:showLegendKey val="0"/>
          <c:showVal val="0"/>
          <c:showCatName val="0"/>
          <c:showSerName val="0"/>
          <c:showPercent val="0"/>
          <c:showBubbleSize val="0"/>
        </c:dLbls>
        <c:gapWidth val="219"/>
        <c:overlap val="-27"/>
        <c:axId val="902113984"/>
        <c:axId val="902116256"/>
      </c:barChart>
      <c:barChart>
        <c:barDir val="col"/>
        <c:grouping val="clustered"/>
        <c:varyColors val="0"/>
        <c:ser>
          <c:idx val="0"/>
          <c:order val="0"/>
          <c:tx>
            <c:strRef>
              <c:f>FR!$B$77</c:f>
              <c:strCache>
                <c:ptCount val="1"/>
                <c:pt idx="0">
                  <c:v>Sum of HPG</c:v>
                </c:pt>
              </c:strCache>
            </c:strRef>
          </c:tx>
          <c:spPr>
            <a:solidFill>
              <a:schemeClr val="accent1">
                <a:lumMod val="50000"/>
              </a:schemeClr>
            </a:solidFill>
            <a:ln>
              <a:noFill/>
            </a:ln>
            <a:effectLst/>
          </c:spPr>
          <c:invertIfNegative val="0"/>
          <c:cat>
            <c:numRef>
              <c:f>FR!$A$83:$A$85</c:f>
              <c:numCache>
                <c:formatCode>General</c:formatCode>
                <c:ptCount val="3"/>
                <c:pt idx="0">
                  <c:v>2020</c:v>
                </c:pt>
                <c:pt idx="1">
                  <c:v>2021</c:v>
                </c:pt>
                <c:pt idx="2">
                  <c:v>2022</c:v>
                </c:pt>
              </c:numCache>
            </c:numRef>
          </c:cat>
          <c:val>
            <c:numRef>
              <c:f>FR!$B$83:$B$85</c:f>
              <c:numCache>
                <c:formatCode>_(* #,##0%_);_(* \(#,##0%\);_(* "-"??_);_(@_)</c:formatCode>
                <c:ptCount val="3"/>
                <c:pt idx="0">
                  <c:v>0.22806843623333498</c:v>
                </c:pt>
                <c:pt idx="1">
                  <c:v>0</c:v>
                </c:pt>
                <c:pt idx="2">
                  <c:v>0</c:v>
                </c:pt>
              </c:numCache>
            </c:numRef>
          </c:val>
          <c:extLst>
            <c:ext xmlns:c16="http://schemas.microsoft.com/office/drawing/2014/chart" uri="{C3380CC4-5D6E-409C-BE32-E72D297353CC}">
              <c16:uniqueId val="{00000000-54C7-A540-B4E2-C016C74809DC}"/>
            </c:ext>
          </c:extLst>
        </c:ser>
        <c:ser>
          <c:idx val="1"/>
          <c:order val="1"/>
          <c:tx>
            <c:strRef>
              <c:f>FR!$C$77</c:f>
              <c:strCache>
                <c:ptCount val="1"/>
                <c:pt idx="0">
                  <c:v>Sum of Market</c:v>
                </c:pt>
              </c:strCache>
            </c:strRef>
          </c:tx>
          <c:spPr>
            <a:solidFill>
              <a:schemeClr val="accent1">
                <a:lumMod val="40000"/>
                <a:lumOff val="60000"/>
              </a:schemeClr>
            </a:solidFill>
            <a:ln>
              <a:noFill/>
            </a:ln>
            <a:effectLst/>
          </c:spPr>
          <c:invertIfNegative val="0"/>
          <c:cat>
            <c:numRef>
              <c:f>FR!$A$83:$A$85</c:f>
              <c:numCache>
                <c:formatCode>General</c:formatCode>
                <c:ptCount val="3"/>
                <c:pt idx="0">
                  <c:v>2020</c:v>
                </c:pt>
                <c:pt idx="1">
                  <c:v>2021</c:v>
                </c:pt>
                <c:pt idx="2">
                  <c:v>2022</c:v>
                </c:pt>
              </c:numCache>
            </c:numRef>
          </c:cat>
          <c:val>
            <c:numRef>
              <c:f>FR!$C$83:$C$85</c:f>
              <c:numCache>
                <c:formatCode>_(* #,##0%_);_(* \(#,##0%\);_(* "-"??_);_(@_)</c:formatCode>
                <c:ptCount val="3"/>
                <c:pt idx="0">
                  <c:v>0.21906932109999999</c:v>
                </c:pt>
                <c:pt idx="1">
                  <c:v>0</c:v>
                </c:pt>
                <c:pt idx="2">
                  <c:v>0</c:v>
                </c:pt>
              </c:numCache>
            </c:numRef>
          </c:val>
          <c:extLst>
            <c:ext xmlns:c16="http://schemas.microsoft.com/office/drawing/2014/chart" uri="{C3380CC4-5D6E-409C-BE32-E72D297353CC}">
              <c16:uniqueId val="{00000001-54C7-A540-B4E2-C016C74809DC}"/>
            </c:ext>
          </c:extLst>
        </c:ser>
        <c:dLbls>
          <c:showLegendKey val="0"/>
          <c:showVal val="0"/>
          <c:showCatName val="0"/>
          <c:showSerName val="0"/>
          <c:showPercent val="0"/>
          <c:showBubbleSize val="0"/>
        </c:dLbls>
        <c:gapWidth val="219"/>
        <c:overlap val="-27"/>
        <c:axId val="902147808"/>
        <c:axId val="902158464"/>
      </c:barChart>
      <c:catAx>
        <c:axId val="90211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902116256"/>
        <c:crosses val="autoZero"/>
        <c:auto val="1"/>
        <c:lblAlgn val="ctr"/>
        <c:lblOffset val="100"/>
        <c:noMultiLvlLbl val="0"/>
      </c:catAx>
      <c:valAx>
        <c:axId val="902116256"/>
        <c:scaling>
          <c:orientation val="minMax"/>
        </c:scaling>
        <c:delete val="0"/>
        <c:axPos val="l"/>
        <c:numFmt formatCode="0%" sourceLinked="1"/>
        <c:majorTickMark val="none"/>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902113984"/>
        <c:crosses val="autoZero"/>
        <c:crossBetween val="between"/>
        <c:majorUnit val="0.15"/>
      </c:valAx>
      <c:valAx>
        <c:axId val="902158464"/>
        <c:scaling>
          <c:orientation val="minMax"/>
          <c:max val="0.45"/>
        </c:scaling>
        <c:delete val="1"/>
        <c:axPos val="r"/>
        <c:numFmt formatCode="_(* #,##0%_);_(* \(#,##0%\);_(* &quot;-&quot;??_);_(@_)" sourceLinked="1"/>
        <c:majorTickMark val="out"/>
        <c:minorTickMark val="none"/>
        <c:tickLblPos val="nextTo"/>
        <c:crossAx val="902147808"/>
        <c:crosses val="max"/>
        <c:crossBetween val="between"/>
        <c:majorUnit val="0.15"/>
        <c:minorUnit val="0.01"/>
      </c:valAx>
      <c:catAx>
        <c:axId val="902147808"/>
        <c:scaling>
          <c:orientation val="minMax"/>
        </c:scaling>
        <c:delete val="1"/>
        <c:axPos val="b"/>
        <c:numFmt formatCode="General" sourceLinked="1"/>
        <c:majorTickMark val="out"/>
        <c:minorTickMark val="none"/>
        <c:tickLblPos val="nextTo"/>
        <c:crossAx val="9021584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'Balance Sheet'!$AQ$66</c:f>
              <c:strCache>
                <c:ptCount val="1"/>
                <c:pt idx="0">
                  <c:v>Long-term Asset</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63D1-694E-8744-4389E7E40531}"/>
              </c:ext>
            </c:extLst>
          </c:dPt>
          <c:dLbls>
            <c:dLbl>
              <c:idx val="0"/>
              <c:tx>
                <c:rich>
                  <a:bodyPr/>
                  <a:lstStyle/>
                  <a:p>
                    <a:r>
                      <a:rPr lang="en-US"/>
                      <a:t>89,82</a:t>
                    </a:r>
                  </a:p>
                </c:rich>
              </c:tx>
              <c:dLblPos val="inBase"/>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63D1-694E-8744-4389E7E4053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V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Sheet'!$AP$68</c:f>
              <c:numCache>
                <c:formatCode>General</c:formatCode>
                <c:ptCount val="1"/>
                <c:pt idx="0">
                  <c:v>2022</c:v>
                </c:pt>
              </c:numCache>
            </c:numRef>
          </c:cat>
          <c:val>
            <c:numRef>
              <c:f>'Balance Sheet'!$AQ$67</c:f>
              <c:numCache>
                <c:formatCode>#,##0.00</c:formatCode>
                <c:ptCount val="1"/>
                <c:pt idx="0">
                  <c:v>84.08</c:v>
                </c:pt>
              </c:numCache>
            </c:numRef>
          </c:val>
          <c:extLst>
            <c:ext xmlns:c16="http://schemas.microsoft.com/office/drawing/2014/chart" uri="{C3380CC4-5D6E-409C-BE32-E72D297353CC}">
              <c16:uniqueId val="{00000002-63D1-694E-8744-4389E7E40531}"/>
            </c:ext>
          </c:extLst>
        </c:ser>
        <c:ser>
          <c:idx val="1"/>
          <c:order val="1"/>
          <c:tx>
            <c:v>2022</c:v>
          </c:tx>
          <c:spPr>
            <a:solidFill>
              <a:schemeClr val="accent1">
                <a:lumMod val="75000"/>
              </a:schemeClr>
            </a:solidFill>
            <a:ln>
              <a:noFill/>
            </a:ln>
            <a:effectLst/>
          </c:spPr>
          <c:invertIfNegative val="0"/>
          <c:dLbls>
            <c:dLbl>
              <c:idx val="0"/>
              <c:layout>
                <c:manualLayout>
                  <c:x val="-0.11954993982256733"/>
                  <c:y val="-0.34339623206727038"/>
                </c:manualLayout>
              </c:layout>
              <c:tx>
                <c:rich>
                  <a:bodyPr/>
                  <a:lstStyle/>
                  <a:p>
                    <a:r>
                      <a:rPr lang="en-US" sz="1000" b="1"/>
                      <a:t>2021  84,08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63D1-694E-8744-4389E7E405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'Balance Sheet'!$AQ$68</c:f>
              <c:numCache>
                <c:formatCode>General</c:formatCode>
                <c:ptCount val="1"/>
                <c:pt idx="0">
                  <c:v>5.7399999999999949</c:v>
                </c:pt>
              </c:numCache>
            </c:numRef>
          </c:val>
          <c:extLst>
            <c:ext xmlns:c16="http://schemas.microsoft.com/office/drawing/2014/chart" uri="{C3380CC4-5D6E-409C-BE32-E72D297353CC}">
              <c16:uniqueId val="{00000004-63D1-694E-8744-4389E7E40531}"/>
            </c:ext>
          </c:extLst>
        </c:ser>
        <c:dLbls>
          <c:showLegendKey val="0"/>
          <c:showVal val="0"/>
          <c:showCatName val="0"/>
          <c:showSerName val="0"/>
          <c:showPercent val="0"/>
          <c:showBubbleSize val="0"/>
        </c:dLbls>
        <c:gapWidth val="25"/>
        <c:overlap val="100"/>
        <c:axId val="2020089119"/>
        <c:axId val="2020093103"/>
      </c:barChart>
      <c:catAx>
        <c:axId val="20200891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VN"/>
          </a:p>
        </c:txPr>
        <c:crossAx val="2020093103"/>
        <c:crosses val="autoZero"/>
        <c:auto val="1"/>
        <c:lblAlgn val="ctr"/>
        <c:lblOffset val="100"/>
        <c:noMultiLvlLbl val="0"/>
      </c:catAx>
      <c:valAx>
        <c:axId val="2020093103"/>
        <c:scaling>
          <c:orientation val="minMax"/>
          <c:min val="0"/>
        </c:scaling>
        <c:delete val="1"/>
        <c:axPos val="b"/>
        <c:numFmt formatCode="#,##0.00" sourceLinked="1"/>
        <c:majorTickMark val="out"/>
        <c:minorTickMark val="none"/>
        <c:tickLblPos val="nextTo"/>
        <c:crossAx val="20200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Ratio</a:t>
            </a:r>
            <a:r>
              <a:rPr lang="en-US" b="1" baseline="0">
                <a:solidFill>
                  <a:schemeClr val="tx1">
                    <a:lumMod val="65000"/>
                    <a:lumOff val="35000"/>
                  </a:schemeClr>
                </a:solidFill>
              </a:rPr>
              <a:t> analysis</a:t>
            </a:r>
            <a:endParaRPr lang="en-US" b="1">
              <a:solidFill>
                <a:schemeClr val="tx1">
                  <a:lumMod val="65000"/>
                  <a:lumOff val="35000"/>
                </a:schemeClr>
              </a:solidFill>
            </a:endParaRPr>
          </a:p>
        </c:rich>
      </c:tx>
      <c:layout>
        <c:manualLayout>
          <c:xMode val="edge"/>
          <c:yMode val="edge"/>
          <c:x val="1.5867430737412713E-2"/>
          <c:y val="6.2329771141311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6.0440684135962687E-2"/>
          <c:y val="0.21735002567126288"/>
          <c:w val="0.91420844585012428"/>
          <c:h val="0.69965890153451593"/>
        </c:manualLayout>
      </c:layout>
      <c:barChart>
        <c:barDir val="col"/>
        <c:grouping val="clustered"/>
        <c:varyColors val="0"/>
        <c:ser>
          <c:idx val="0"/>
          <c:order val="0"/>
          <c:tx>
            <c:strRef>
              <c:f>FR!$J$4</c:f>
              <c:strCache>
                <c:ptCount val="1"/>
                <c:pt idx="0">
                  <c:v>HPG</c:v>
                </c:pt>
              </c:strCache>
            </c:strRef>
          </c:tx>
          <c:spPr>
            <a:solidFill>
              <a:schemeClr val="accent1"/>
            </a:solidFill>
            <a:ln>
              <a:noFill/>
            </a:ln>
            <a:effectLst/>
          </c:spPr>
          <c:invertIfNegative val="0"/>
          <c:cat>
            <c:numRef>
              <c:f>FR!$G$5:$G$61</c:f>
              <c:numCache>
                <c:formatCode>General</c:formatCode>
                <c:ptCount val="3"/>
                <c:pt idx="0">
                  <c:v>2020</c:v>
                </c:pt>
                <c:pt idx="1">
                  <c:v>2021</c:v>
                </c:pt>
                <c:pt idx="2">
                  <c:v>2022</c:v>
                </c:pt>
              </c:numCache>
            </c:numRef>
          </c:cat>
          <c:val>
            <c:numRef>
              <c:f>FR!$J$5:$J$61</c:f>
              <c:numCache>
                <c:formatCode>0.00</c:formatCode>
                <c:ptCount val="3"/>
                <c:pt idx="0">
                  <c:v>0.77</c:v>
                </c:pt>
                <c:pt idx="1">
                  <c:v>0.97</c:v>
                </c:pt>
                <c:pt idx="2">
                  <c:v>0.81</c:v>
                </c:pt>
              </c:numCache>
            </c:numRef>
          </c:val>
          <c:extLst>
            <c:ext xmlns:c16="http://schemas.microsoft.com/office/drawing/2014/chart" uri="{C3380CC4-5D6E-409C-BE32-E72D297353CC}">
              <c16:uniqueId val="{00000000-7A6B-4D46-939A-E30ED7F2AC3C}"/>
            </c:ext>
          </c:extLst>
        </c:ser>
        <c:ser>
          <c:idx val="1"/>
          <c:order val="1"/>
          <c:tx>
            <c:strRef>
              <c:f>FR!$K$4</c:f>
              <c:strCache>
                <c:ptCount val="1"/>
                <c:pt idx="0">
                  <c:v>Market Average</c:v>
                </c:pt>
              </c:strCache>
            </c:strRef>
          </c:tx>
          <c:spPr>
            <a:solidFill>
              <a:schemeClr val="accent3"/>
            </a:solidFill>
            <a:ln>
              <a:noFill/>
            </a:ln>
            <a:effectLst/>
          </c:spPr>
          <c:invertIfNegative val="0"/>
          <c:cat>
            <c:numRef>
              <c:f>FR!$G$5:$G$61</c:f>
              <c:numCache>
                <c:formatCode>General</c:formatCode>
                <c:ptCount val="3"/>
                <c:pt idx="0">
                  <c:v>2020</c:v>
                </c:pt>
                <c:pt idx="1">
                  <c:v>2021</c:v>
                </c:pt>
                <c:pt idx="2">
                  <c:v>2022</c:v>
                </c:pt>
              </c:numCache>
            </c:numRef>
          </c:cat>
          <c:val>
            <c:numRef>
              <c:f>FR!$K$5:$K$61</c:f>
              <c:numCache>
                <c:formatCode>0.00</c:formatCode>
                <c:ptCount val="3"/>
                <c:pt idx="0">
                  <c:v>0.97102695709999998</c:v>
                </c:pt>
                <c:pt idx="1">
                  <c:v>1.2623968669000001</c:v>
                </c:pt>
                <c:pt idx="2">
                  <c:v>1.0189066523000001</c:v>
                </c:pt>
              </c:numCache>
            </c:numRef>
          </c:val>
          <c:extLst>
            <c:ext xmlns:c16="http://schemas.microsoft.com/office/drawing/2014/chart" uri="{C3380CC4-5D6E-409C-BE32-E72D297353CC}">
              <c16:uniqueId val="{00000001-7A6B-4D46-939A-E30ED7F2AC3C}"/>
            </c:ext>
          </c:extLst>
        </c:ser>
        <c:dLbls>
          <c:showLegendKey val="0"/>
          <c:showVal val="0"/>
          <c:showCatName val="0"/>
          <c:showSerName val="0"/>
          <c:showPercent val="0"/>
          <c:showBubbleSize val="0"/>
        </c:dLbls>
        <c:gapWidth val="219"/>
        <c:overlap val="-27"/>
        <c:axId val="899874304"/>
        <c:axId val="899876576"/>
      </c:barChart>
      <c:catAx>
        <c:axId val="89987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899876576"/>
        <c:crosses val="autoZero"/>
        <c:auto val="1"/>
        <c:lblAlgn val="ctr"/>
        <c:lblOffset val="100"/>
        <c:noMultiLvlLbl val="0"/>
      </c:catAx>
      <c:valAx>
        <c:axId val="899876576"/>
        <c:scaling>
          <c:orientation val="minMax"/>
        </c:scaling>
        <c:delete val="0"/>
        <c:axPos val="l"/>
        <c:numFmt formatCode="0" sourceLinked="0"/>
        <c:majorTickMark val="none"/>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VN"/>
          </a:p>
        </c:txPr>
        <c:crossAx val="899874304"/>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VN"/>
          </a:p>
        </c:txPr>
      </c:legendEntry>
      <c:legendEntry>
        <c:idx val="1"/>
        <c:txPr>
          <a:bodyPr rot="0" spcFirstLastPara="1" vertOverflow="ellipsis" vert="horz" wrap="square" anchor="ctr" anchorCtr="1"/>
          <a:lstStyle/>
          <a:p>
            <a:pPr>
              <a:defRPr sz="1000" b="1" i="0" u="none" strike="noStrike" kern="1200" baseline="0">
                <a:solidFill>
                  <a:schemeClr val="bg1">
                    <a:lumMod val="65000"/>
                  </a:schemeClr>
                </a:solidFill>
                <a:latin typeface="+mn-lt"/>
                <a:ea typeface="+mn-ea"/>
                <a:cs typeface="+mn-cs"/>
              </a:defRPr>
            </a:pPr>
            <a:endParaRPr lang="en-VN"/>
          </a:p>
        </c:txPr>
      </c:legendEntry>
      <c:layout>
        <c:manualLayout>
          <c:xMode val="edge"/>
          <c:yMode val="edge"/>
          <c:x val="4.4411376835138551E-2"/>
          <c:y val="0.13685014205150425"/>
          <c:w val="0.27317229084968225"/>
          <c:h val="6.20254418142433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chemeClr val="tx1">
                    <a:lumMod val="65000"/>
                    <a:lumOff val="35000"/>
                  </a:schemeClr>
                </a:solidFill>
              </a:rPr>
              <a:t> Current Assets </a:t>
            </a:r>
          </a:p>
        </c:rich>
      </c:tx>
      <c:layout>
        <c:manualLayout>
          <c:xMode val="edge"/>
          <c:yMode val="edge"/>
          <c:x val="1.7196811321350192E-2"/>
          <c:y val="4.084896035207069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manualLayout>
          <c:layoutTarget val="inner"/>
          <c:xMode val="edge"/>
          <c:yMode val="edge"/>
          <c:x val="0.36652873663689023"/>
          <c:y val="0.16393157270271161"/>
          <c:w val="0.53838308805799928"/>
          <c:h val="0.7320772655433061"/>
        </c:manualLayout>
      </c:layout>
      <c:lineChart>
        <c:grouping val="standard"/>
        <c:varyColors val="0"/>
        <c:ser>
          <c:idx val="5"/>
          <c:order val="0"/>
          <c:tx>
            <c:strRef>
              <c:f>FR!$K$99</c:f>
              <c:strCache>
                <c:ptCount val="1"/>
                <c:pt idx="0">
                  <c:v>Equity Multiplier</c:v>
                </c:pt>
              </c:strCache>
            </c:strRef>
          </c:tx>
          <c:spPr>
            <a:ln w="28575" cap="rnd">
              <a:solidFill>
                <a:srgbClr val="EC0202"/>
              </a:solidFill>
              <a:round/>
            </a:ln>
            <a:effectLst/>
          </c:spPr>
          <c:marker>
            <c:symbol val="circle"/>
            <c:size val="5"/>
            <c:spPr>
              <a:solidFill>
                <a:srgbClr val="EC0202"/>
              </a:solidFill>
              <a:ln w="9525">
                <a:solidFill>
                  <a:srgbClr val="EC0202"/>
                </a:solidFill>
              </a:ln>
              <a:effectLst/>
            </c:spPr>
          </c:marker>
          <c:dPt>
            <c:idx val="1"/>
            <c:marker>
              <c:symbol val="none"/>
            </c:marker>
            <c:bubble3D val="0"/>
            <c:extLst>
              <c:ext xmlns:c16="http://schemas.microsoft.com/office/drawing/2014/chart" uri="{C3380CC4-5D6E-409C-BE32-E72D297353CC}">
                <c16:uniqueId val="{00000000-1858-6E44-98C8-47FF0DC2F082}"/>
              </c:ext>
            </c:extLst>
          </c:dPt>
          <c:dLbls>
            <c:dLbl>
              <c:idx val="0"/>
              <c:layout>
                <c:manualLayout>
                  <c:x val="-0.25187375568306608"/>
                  <c:y val="-8.8651368372263152E-3"/>
                </c:manualLayout>
              </c:layout>
              <c:tx>
                <c:rich>
                  <a:bodyPr/>
                  <a:lstStyle/>
                  <a:p>
                    <a:fld id="{E43702F3-C03B-A94F-8441-A40279267709}" type="SERIESNAME">
                      <a:rPr lang="en-US" sz="800" b="1"/>
                      <a:pPr/>
                      <a:t>[SERIES NAME]</a:t>
                    </a:fld>
                    <a:r>
                      <a:rPr lang="en-US" sz="1000" b="1" baseline="0"/>
                      <a:t> </a:t>
                    </a:r>
                    <a:fld id="{46CDE51F-9C76-0644-ACE0-CE75662B313D}" type="VALUE">
                      <a:rPr lang="en-US" sz="800" b="1" baseline="0"/>
                      <a:pPr/>
                      <a:t>[VALUE]</a:t>
                    </a:fld>
                    <a:endParaRPr lang="en-US" sz="1000" b="1" baseline="0"/>
                  </a:p>
                </c:rich>
              </c:tx>
              <c:dLblPos val="r"/>
              <c:showLegendKey val="0"/>
              <c:showVal val="1"/>
              <c:showCatName val="0"/>
              <c:showSerName val="1"/>
              <c:showPercent val="0"/>
              <c:showBubbleSize val="0"/>
              <c:separator> </c:separator>
              <c:extLst>
                <c:ext xmlns:c15="http://schemas.microsoft.com/office/drawing/2012/chart" uri="{CE6537A1-D6FC-4f65-9D91-7224C49458BB}">
                  <c15:layout>
                    <c:manualLayout>
                      <c:w val="0.25187402244149759"/>
                      <c:h val="0.1050075458369457"/>
                    </c:manualLayout>
                  </c15:layout>
                  <c15:dlblFieldTable/>
                  <c15:showDataLabelsRange val="0"/>
                </c:ext>
                <c:ext xmlns:c16="http://schemas.microsoft.com/office/drawing/2014/chart" uri="{C3380CC4-5D6E-409C-BE32-E72D297353CC}">
                  <c16:uniqueId val="{00000001-1858-6E44-98C8-47FF0DC2F082}"/>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C0202"/>
                      </a:solidFill>
                      <a:latin typeface="+mn-lt"/>
                      <a:ea typeface="+mn-ea"/>
                      <a:cs typeface="+mn-cs"/>
                    </a:defRPr>
                  </a:pPr>
                  <a:endParaRPr lang="en-VN"/>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58-6E44-98C8-47FF0DC2F0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C0202"/>
                    </a:solidFill>
                    <a:latin typeface="+mn-lt"/>
                    <a:ea typeface="+mn-ea"/>
                    <a:cs typeface="+mn-cs"/>
                  </a:defRPr>
                </a:pPr>
                <a:endParaRPr lang="en-VN"/>
              </a:p>
            </c:txPr>
            <c:dLblPos val="l"/>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noFill/>
                      <a:round/>
                    </a:ln>
                    <a:effectLst/>
                  </c:spPr>
                </c15:leaderLines>
              </c:ext>
            </c:extLst>
          </c:dLbls>
          <c:cat>
            <c:numRef>
              <c:f>FR!$J$100:$J$102</c:f>
              <c:numCache>
                <c:formatCode>General</c:formatCode>
                <c:ptCount val="3"/>
                <c:pt idx="0">
                  <c:v>2020</c:v>
                </c:pt>
                <c:pt idx="1">
                  <c:v>2021</c:v>
                </c:pt>
                <c:pt idx="2">
                  <c:v>2022</c:v>
                </c:pt>
              </c:numCache>
            </c:numRef>
          </c:cat>
          <c:val>
            <c:numRef>
              <c:f>FR!$K$100:$K$102</c:f>
              <c:numCache>
                <c:formatCode>0.00</c:formatCode>
                <c:ptCount val="3"/>
                <c:pt idx="0">
                  <c:v>2.2207347002072191</c:v>
                </c:pt>
                <c:pt idx="1">
                  <c:v>1.9633751293748241</c:v>
                </c:pt>
                <c:pt idx="2">
                  <c:v>1.7722433648274418</c:v>
                </c:pt>
              </c:numCache>
            </c:numRef>
          </c:val>
          <c:smooth val="0"/>
          <c:extLst>
            <c:ext xmlns:c16="http://schemas.microsoft.com/office/drawing/2014/chart" uri="{C3380CC4-5D6E-409C-BE32-E72D297353CC}">
              <c16:uniqueId val="{00000003-1858-6E44-98C8-47FF0DC2F082}"/>
            </c:ext>
          </c:extLst>
        </c:ser>
        <c:ser>
          <c:idx val="0"/>
          <c:order val="1"/>
          <c:tx>
            <c:strRef>
              <c:f>FR!$L$99</c:f>
              <c:strCache>
                <c:ptCount val="1"/>
                <c:pt idx="0">
                  <c:v>Net Profit Margin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none"/>
            </c:marker>
            <c:bubble3D val="0"/>
            <c:extLst>
              <c:ext xmlns:c16="http://schemas.microsoft.com/office/drawing/2014/chart" uri="{C3380CC4-5D6E-409C-BE32-E72D297353CC}">
                <c16:uniqueId val="{00000015-1858-6E44-98C8-47FF0DC2F082}"/>
              </c:ext>
            </c:extLst>
          </c:dPt>
          <c:dLbls>
            <c:dLbl>
              <c:idx val="0"/>
              <c:layout>
                <c:manualLayout>
                  <c:x val="-0.22868986931504437"/>
                  <c:y val="-4.4325684186131576E-3"/>
                </c:manualLayout>
              </c:layout>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1858-6E44-98C8-47FF0DC2F082}"/>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858-6E44-98C8-47FF0DC2F082}"/>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noFill/>
                      <a:round/>
                    </a:ln>
                    <a:effectLst/>
                  </c:spPr>
                </c15:leaderLines>
              </c:ext>
            </c:extLst>
          </c:dLbls>
          <c:cat>
            <c:numRef>
              <c:f>FR!$J$100:$J$102</c:f>
              <c:numCache>
                <c:formatCode>General</c:formatCode>
                <c:ptCount val="3"/>
                <c:pt idx="0">
                  <c:v>2020</c:v>
                </c:pt>
                <c:pt idx="1">
                  <c:v>2021</c:v>
                </c:pt>
                <c:pt idx="2">
                  <c:v>2022</c:v>
                </c:pt>
              </c:numCache>
            </c:numRef>
          </c:cat>
          <c:val>
            <c:numRef>
              <c:f>FR!$L$100:$L$102</c:f>
              <c:numCache>
                <c:formatCode>0.00</c:formatCode>
                <c:ptCount val="3"/>
                <c:pt idx="0">
                  <c:v>0.14987115346284027</c:v>
                </c:pt>
                <c:pt idx="1">
                  <c:v>0.23063203747187047</c:v>
                </c:pt>
                <c:pt idx="2">
                  <c:v>5.9716232098106892E-2</c:v>
                </c:pt>
              </c:numCache>
            </c:numRef>
          </c:val>
          <c:smooth val="0"/>
          <c:extLst>
            <c:ext xmlns:c16="http://schemas.microsoft.com/office/drawing/2014/chart" uri="{C3380CC4-5D6E-409C-BE32-E72D297353CC}">
              <c16:uniqueId val="{00000012-1858-6E44-98C8-47FF0DC2F082}"/>
            </c:ext>
          </c:extLst>
        </c:ser>
        <c:ser>
          <c:idx val="1"/>
          <c:order val="2"/>
          <c:tx>
            <c:strRef>
              <c:f>FR!$M$99</c:f>
              <c:strCache>
                <c:ptCount val="1"/>
                <c:pt idx="0">
                  <c:v>Total Asset Turnover</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1"/>
            <c:marker>
              <c:symbol val="none"/>
            </c:marker>
            <c:bubble3D val="0"/>
            <c:extLst>
              <c:ext xmlns:c16="http://schemas.microsoft.com/office/drawing/2014/chart" uri="{C3380CC4-5D6E-409C-BE32-E72D297353CC}">
                <c16:uniqueId val="{00000014-1858-6E44-98C8-47FF0DC2F082}"/>
              </c:ext>
            </c:extLst>
          </c:dPt>
          <c:dLbls>
            <c:dLbl>
              <c:idx val="0"/>
              <c:layout>
                <c:manualLayout>
                  <c:x val="-0.30942190780295087"/>
                  <c:y val="-8.1262815586261148E-17"/>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solidFill>
                      <a:latin typeface="+mn-lt"/>
                      <a:ea typeface="+mn-ea"/>
                      <a:cs typeface="+mn-cs"/>
                    </a:defRPr>
                  </a:pPr>
                  <a:endParaRPr lang="en-VN"/>
                </a:p>
              </c:txPr>
              <c:showLegendKey val="0"/>
              <c:showVal val="1"/>
              <c:showCatName val="0"/>
              <c:showSerName val="1"/>
              <c:showPercent val="0"/>
              <c:showBubbleSize val="0"/>
              <c:separator> </c:separator>
              <c:extLst>
                <c:ext xmlns:c15="http://schemas.microsoft.com/office/drawing/2012/chart" uri="{CE6537A1-D6FC-4f65-9D91-7224C49458BB}">
                  <c15:layout>
                    <c:manualLayout>
                      <c:w val="0.32753560558165334"/>
                      <c:h val="9.4812638474135458E-2"/>
                    </c:manualLayout>
                  </c15:layout>
                </c:ext>
                <c:ext xmlns:c16="http://schemas.microsoft.com/office/drawing/2014/chart" uri="{C3380CC4-5D6E-409C-BE32-E72D297353CC}">
                  <c16:uniqueId val="{00000016-1858-6E44-98C8-47FF0DC2F082}"/>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858-6E44-98C8-47FF0DC2F0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FR!$J$100:$J$102</c:f>
              <c:numCache>
                <c:formatCode>General</c:formatCode>
                <c:ptCount val="3"/>
                <c:pt idx="0">
                  <c:v>2020</c:v>
                </c:pt>
                <c:pt idx="1">
                  <c:v>2021</c:v>
                </c:pt>
                <c:pt idx="2">
                  <c:v>2022</c:v>
                </c:pt>
              </c:numCache>
            </c:numRef>
          </c:cat>
          <c:val>
            <c:numRef>
              <c:f>FR!$M$100:$M$102</c:f>
              <c:numCache>
                <c:formatCode>0.00</c:formatCode>
                <c:ptCount val="3"/>
                <c:pt idx="0">
                  <c:v>0.68525222803262553</c:v>
                </c:pt>
                <c:pt idx="1">
                  <c:v>0.8397822846695937</c:v>
                </c:pt>
                <c:pt idx="2">
                  <c:v>0.83018078008022844</c:v>
                </c:pt>
              </c:numCache>
            </c:numRef>
          </c:val>
          <c:smooth val="0"/>
          <c:extLst>
            <c:ext xmlns:c16="http://schemas.microsoft.com/office/drawing/2014/chart" uri="{C3380CC4-5D6E-409C-BE32-E72D297353CC}">
              <c16:uniqueId val="{00000013-1858-6E44-98C8-47FF0DC2F082}"/>
            </c:ext>
          </c:extLst>
        </c:ser>
        <c:dLbls>
          <c:showLegendKey val="0"/>
          <c:showVal val="0"/>
          <c:showCatName val="0"/>
          <c:showSerName val="0"/>
          <c:showPercent val="0"/>
          <c:showBubbleSize val="0"/>
        </c:dLbls>
        <c:marker val="1"/>
        <c:smooth val="0"/>
        <c:axId val="393425504"/>
        <c:axId val="352769584"/>
      </c:lineChart>
      <c:catAx>
        <c:axId val="39342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Arial" panose="020B0604020202020204" pitchFamily="34" charset="0"/>
                <a:ea typeface="+mn-ea"/>
                <a:cs typeface="Arial" panose="020B0604020202020204" pitchFamily="34" charset="0"/>
              </a:defRPr>
            </a:pPr>
            <a:endParaRPr lang="en-VN"/>
          </a:p>
        </c:txPr>
        <c:crossAx val="352769584"/>
        <c:crosses val="autoZero"/>
        <c:auto val="1"/>
        <c:lblAlgn val="ctr"/>
        <c:lblOffset val="100"/>
        <c:noMultiLvlLbl val="0"/>
      </c:catAx>
      <c:valAx>
        <c:axId val="352769584"/>
        <c:scaling>
          <c:orientation val="minMax"/>
        </c:scaling>
        <c:delete val="1"/>
        <c:axPos val="l"/>
        <c:numFmt formatCode="0.00" sourceLinked="1"/>
        <c:majorTickMark val="none"/>
        <c:minorTickMark val="none"/>
        <c:tickLblPos val="nextTo"/>
        <c:crossAx val="393425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43179242816044E-2"/>
          <c:y val="0.21163242525718767"/>
          <c:w val="0.84910754080268269"/>
          <c:h val="0.68079711067649529"/>
        </c:manualLayout>
      </c:layout>
      <c:barChart>
        <c:barDir val="col"/>
        <c:grouping val="clustered"/>
        <c:varyColors val="0"/>
        <c:ser>
          <c:idx val="0"/>
          <c:order val="0"/>
          <c:tx>
            <c:strRef>
              <c:f>'Waterfal Chart'!$D$1</c:f>
              <c:strCache>
                <c:ptCount val="1"/>
                <c:pt idx="0">
                  <c:v>Ends</c:v>
                </c:pt>
              </c:strCache>
            </c:strRef>
          </c:tx>
          <c:spPr>
            <a:solidFill>
              <a:srgbClr val="2279BE"/>
            </a:solidFill>
            <a:ln w="25400">
              <a:noFill/>
            </a:ln>
          </c:spPr>
          <c:invertIfNegative val="0"/>
          <c:dPt>
            <c:idx val="0"/>
            <c:invertIfNegative val="0"/>
            <c:bubble3D val="0"/>
            <c:spPr>
              <a:solidFill>
                <a:schemeClr val="accent1">
                  <a:lumMod val="20000"/>
                  <a:lumOff val="80000"/>
                </a:schemeClr>
              </a:solidFill>
              <a:ln w="25400">
                <a:noFill/>
              </a:ln>
            </c:spPr>
            <c:extLst>
              <c:ext xmlns:c16="http://schemas.microsoft.com/office/drawing/2014/chart" uri="{C3380CC4-5D6E-409C-BE32-E72D297353CC}">
                <c16:uniqueId val="{0000000A-B484-7541-B797-E980458DB05C}"/>
              </c:ext>
            </c:extLst>
          </c:dPt>
          <c:dPt>
            <c:idx val="4"/>
            <c:invertIfNegative val="0"/>
            <c:bubble3D val="0"/>
            <c:spPr>
              <a:solidFill>
                <a:schemeClr val="accent1">
                  <a:lumMod val="75000"/>
                </a:schemeClr>
              </a:solidFill>
              <a:ln w="25400">
                <a:noFill/>
              </a:ln>
            </c:spPr>
            <c:extLst>
              <c:ext xmlns:c16="http://schemas.microsoft.com/office/drawing/2014/chart" uri="{C3380CC4-5D6E-409C-BE32-E72D297353CC}">
                <c16:uniqueId val="{0000000B-B484-7541-B797-E980458DB05C}"/>
              </c:ext>
            </c:extLst>
          </c:dPt>
          <c:dLbls>
            <c:dLbl>
              <c:idx val="0"/>
              <c:spPr>
                <a:noFill/>
                <a:ln>
                  <a:noFill/>
                </a:ln>
                <a:effectLst/>
              </c:spPr>
              <c:txPr>
                <a:bodyPr wrap="square" lIns="38100" tIns="19050" rIns="38100" bIns="19050" anchor="ctr">
                  <a:spAutoFit/>
                </a:bodyPr>
                <a:lstStyle/>
                <a:p>
                  <a:pPr>
                    <a:defRPr b="1"/>
                  </a:pPr>
                  <a:endParaRPr lang="en-VN"/>
                </a:p>
              </c:txPr>
              <c:dLblPos val="outEnd"/>
              <c:showLegendKey val="0"/>
              <c:showVal val="1"/>
              <c:showCatName val="0"/>
              <c:showSerName val="0"/>
              <c:showPercent val="0"/>
              <c:showBubbleSize val="0"/>
              <c:extLst>
                <c:ext xmlns:c16="http://schemas.microsoft.com/office/drawing/2014/chart" uri="{C3380CC4-5D6E-409C-BE32-E72D297353CC}">
                  <c16:uniqueId val="{0000000A-B484-7541-B797-E980458DB05C}"/>
                </c:ext>
              </c:extLst>
            </c:dLbl>
            <c:dLbl>
              <c:idx val="4"/>
              <c:spPr>
                <a:noFill/>
                <a:ln>
                  <a:noFill/>
                </a:ln>
                <a:effectLst/>
              </c:spPr>
              <c:txPr>
                <a:bodyPr wrap="square" lIns="38100" tIns="19050" rIns="38100" bIns="19050" anchor="ctr">
                  <a:spAutoFit/>
                </a:bodyPr>
                <a:lstStyle/>
                <a:p>
                  <a:pPr>
                    <a:defRPr b="1"/>
                  </a:pPr>
                  <a:endParaRPr lang="en-VN"/>
                </a:p>
              </c:txPr>
              <c:dLblPos val="outEnd"/>
              <c:showLegendKey val="0"/>
              <c:showVal val="1"/>
              <c:showCatName val="0"/>
              <c:showSerName val="0"/>
              <c:showPercent val="0"/>
              <c:showBubbleSize val="0"/>
              <c:extLst>
                <c:ext xmlns:c16="http://schemas.microsoft.com/office/drawing/2014/chart" uri="{C3380CC4-5D6E-409C-BE32-E72D297353CC}">
                  <c16:uniqueId val="{0000000B-B484-7541-B797-E980458DB05C}"/>
                </c:ext>
              </c:extLst>
            </c:dLbl>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'Waterfal Chart'!$A$2:$A$6</c:f>
              <c:strCache>
                <c:ptCount val="5"/>
                <c:pt idx="0">
                  <c:v>The beginning of period</c:v>
                </c:pt>
                <c:pt idx="1">
                  <c:v>CFO</c:v>
                </c:pt>
                <c:pt idx="2">
                  <c:v>CFI</c:v>
                </c:pt>
                <c:pt idx="3">
                  <c:v>CFO</c:v>
                </c:pt>
                <c:pt idx="4">
                  <c:v>Ending Inventory</c:v>
                </c:pt>
              </c:strCache>
            </c:strRef>
          </c:cat>
          <c:val>
            <c:numRef>
              <c:f>'Waterfal Chart'!$D$2:$D$6</c:f>
              <c:numCache>
                <c:formatCode>General;\-General;;</c:formatCode>
                <c:ptCount val="5"/>
                <c:pt idx="0">
                  <c:v>22.5</c:v>
                </c:pt>
                <c:pt idx="1">
                  <c:v>0</c:v>
                </c:pt>
                <c:pt idx="2">
                  <c:v>0</c:v>
                </c:pt>
                <c:pt idx="3">
                  <c:v>0</c:v>
                </c:pt>
                <c:pt idx="4">
                  <c:v>8.3000000000000007</c:v>
                </c:pt>
              </c:numCache>
            </c:numRef>
          </c:val>
          <c:extLst>
            <c:ext xmlns:c16="http://schemas.microsoft.com/office/drawing/2014/chart" uri="{C3380CC4-5D6E-409C-BE32-E72D297353CC}">
              <c16:uniqueId val="{00000000-B484-7541-B797-E980458DB05C}"/>
            </c:ext>
          </c:extLst>
        </c:ser>
        <c:dLbls>
          <c:showLegendKey val="0"/>
          <c:showVal val="0"/>
          <c:showCatName val="0"/>
          <c:showSerName val="0"/>
          <c:showPercent val="0"/>
          <c:showBubbleSize val="0"/>
        </c:dLbls>
        <c:gapWidth val="50"/>
        <c:axId val="542286208"/>
        <c:axId val="542288128"/>
      </c:barChart>
      <c:lineChart>
        <c:grouping val="standard"/>
        <c:varyColors val="0"/>
        <c:ser>
          <c:idx val="1"/>
          <c:order val="1"/>
          <c:tx>
            <c:strRef>
              <c:f>'Waterfal Chart'!$E$1</c:f>
              <c:strCache>
                <c:ptCount val="1"/>
                <c:pt idx="0">
                  <c:v>Before</c:v>
                </c:pt>
              </c:strCache>
            </c:strRef>
          </c:tx>
          <c:spPr>
            <a:ln w="19050">
              <a:noFill/>
            </a:ln>
          </c:spPr>
          <c:marker>
            <c:symbol val="none"/>
          </c:marker>
          <c:cat>
            <c:strRef>
              <c:f>'Waterfal Chart'!$A$2:$A$6</c:f>
              <c:strCache>
                <c:ptCount val="5"/>
                <c:pt idx="0">
                  <c:v>The beginning of period</c:v>
                </c:pt>
                <c:pt idx="1">
                  <c:v>CFO</c:v>
                </c:pt>
                <c:pt idx="2">
                  <c:v>CFI</c:v>
                </c:pt>
                <c:pt idx="3">
                  <c:v>CFO</c:v>
                </c:pt>
                <c:pt idx="4">
                  <c:v>Ending Inventory</c:v>
                </c:pt>
              </c:strCache>
            </c:strRef>
          </c:cat>
          <c:val>
            <c:numRef>
              <c:f>'Waterfal Chart'!$E$2:$E$6</c:f>
              <c:numCache>
                <c:formatCode>General</c:formatCode>
                <c:ptCount val="5"/>
                <c:pt idx="1">
                  <c:v>22.5</c:v>
                </c:pt>
                <c:pt idx="2">
                  <c:v>34.799999999999997</c:v>
                </c:pt>
                <c:pt idx="3">
                  <c:v>10.199999999999996</c:v>
                </c:pt>
              </c:numCache>
            </c:numRef>
          </c:val>
          <c:smooth val="0"/>
          <c:extLst>
            <c:ext xmlns:c16="http://schemas.microsoft.com/office/drawing/2014/chart" uri="{C3380CC4-5D6E-409C-BE32-E72D297353CC}">
              <c16:uniqueId val="{00000001-B484-7541-B797-E980458DB05C}"/>
            </c:ext>
          </c:extLst>
        </c:ser>
        <c:ser>
          <c:idx val="2"/>
          <c:order val="2"/>
          <c:tx>
            <c:strRef>
              <c:f>'Waterfal Chart'!$F$1</c:f>
              <c:strCache>
                <c:ptCount val="1"/>
                <c:pt idx="0">
                  <c:v>After</c:v>
                </c:pt>
              </c:strCache>
            </c:strRef>
          </c:tx>
          <c:spPr>
            <a:ln w="19050">
              <a:noFill/>
            </a:ln>
          </c:spPr>
          <c:marker>
            <c:symbol val="none"/>
          </c:marker>
          <c:cat>
            <c:strRef>
              <c:f>'Waterfal Chart'!$A$2:$A$6</c:f>
              <c:strCache>
                <c:ptCount val="5"/>
                <c:pt idx="0">
                  <c:v>The beginning of period</c:v>
                </c:pt>
                <c:pt idx="1">
                  <c:v>CFO</c:v>
                </c:pt>
                <c:pt idx="2">
                  <c:v>CFI</c:v>
                </c:pt>
                <c:pt idx="3">
                  <c:v>CFO</c:v>
                </c:pt>
                <c:pt idx="4">
                  <c:v>Ending Inventory</c:v>
                </c:pt>
              </c:strCache>
            </c:strRef>
          </c:cat>
          <c:val>
            <c:numRef>
              <c:f>'Waterfal Chart'!$F$2:$F$6</c:f>
              <c:numCache>
                <c:formatCode>General</c:formatCode>
                <c:ptCount val="5"/>
                <c:pt idx="1">
                  <c:v>34.799999999999997</c:v>
                </c:pt>
                <c:pt idx="2">
                  <c:v>10.199999999999996</c:v>
                </c:pt>
                <c:pt idx="3">
                  <c:v>8.399999999999995</c:v>
                </c:pt>
              </c:numCache>
            </c:numRef>
          </c:val>
          <c:smooth val="0"/>
          <c:extLst>
            <c:ext xmlns:c16="http://schemas.microsoft.com/office/drawing/2014/chart" uri="{C3380CC4-5D6E-409C-BE32-E72D297353CC}">
              <c16:uniqueId val="{00000002-B484-7541-B797-E980458DB05C}"/>
            </c:ext>
          </c:extLst>
        </c:ser>
        <c:dLbls>
          <c:showLegendKey val="0"/>
          <c:showVal val="0"/>
          <c:showCatName val="0"/>
          <c:showSerName val="0"/>
          <c:showPercent val="0"/>
          <c:showBubbleSize val="0"/>
        </c:dLbls>
        <c:upDownBars>
          <c:gapWidth val="50"/>
          <c:upBars>
            <c:spPr>
              <a:solidFill>
                <a:srgbClr val="2CA02C"/>
              </a:solidFill>
              <a:ln w="6350">
                <a:noFill/>
              </a:ln>
            </c:spPr>
          </c:upBars>
          <c:downBars>
            <c:spPr>
              <a:solidFill>
                <a:srgbClr val="E41A1C"/>
              </a:solidFill>
              <a:ln w="6350">
                <a:noFill/>
              </a:ln>
            </c:spPr>
          </c:downBars>
        </c:upDownBars>
        <c:marker val="1"/>
        <c:smooth val="0"/>
        <c:axId val="542286208"/>
        <c:axId val="542288128"/>
      </c:lineChart>
      <c:lineChart>
        <c:grouping val="standard"/>
        <c:varyColors val="0"/>
        <c:ser>
          <c:idx val="4"/>
          <c:order val="4"/>
          <c:tx>
            <c:strRef>
              <c:f>'Waterfal Chart'!$H$1</c:f>
              <c:strCache>
                <c:ptCount val="1"/>
                <c:pt idx="0">
                  <c:v>Center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484-7541-B797-E980458DB05C}"/>
                </c:ext>
              </c:extLst>
            </c:dLbl>
            <c:spPr>
              <a:noFill/>
              <a:ln>
                <a:noFill/>
              </a:ln>
              <a:effectLst/>
            </c:sp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'Waterfal Chart'!$K$2:$K$6</c:f>
              <c:numCache>
                <c:formatCode>General</c:formatCode>
                <c:ptCount val="5"/>
                <c:pt idx="1">
                  <c:v>12.3</c:v>
                </c:pt>
                <c:pt idx="2">
                  <c:v>-24.6</c:v>
                </c:pt>
                <c:pt idx="3">
                  <c:v>-1.8</c:v>
                </c:pt>
              </c:numCache>
            </c:numRef>
          </c:cat>
          <c:val>
            <c:numRef>
              <c:f>'Waterfal Chart'!$H$2:$H$6</c:f>
              <c:numCache>
                <c:formatCode>General</c:formatCode>
                <c:ptCount val="5"/>
                <c:pt idx="0">
                  <c:v>0</c:v>
                </c:pt>
                <c:pt idx="1">
                  <c:v>#N/A</c:v>
                </c:pt>
                <c:pt idx="2">
                  <c:v>#N/A</c:v>
                </c:pt>
                <c:pt idx="3">
                  <c:v>#N/A</c:v>
                </c:pt>
              </c:numCache>
            </c:numRef>
          </c:val>
          <c:smooth val="0"/>
          <c:extLst>
            <c:ext xmlns:c16="http://schemas.microsoft.com/office/drawing/2014/chart" uri="{C3380CC4-5D6E-409C-BE32-E72D297353CC}">
              <c16:uniqueId val="{00000004-B484-7541-B797-E980458DB05C}"/>
            </c:ext>
          </c:extLst>
        </c:ser>
        <c:ser>
          <c:idx val="5"/>
          <c:order val="5"/>
          <c:tx>
            <c:strRef>
              <c:f>'Waterfal Chart'!$I$1</c:f>
              <c:strCache>
                <c:ptCount val="1"/>
                <c:pt idx="0">
                  <c:v>Above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B484-7541-B797-E980458DB05C}"/>
                </c:ext>
              </c:extLst>
            </c:dLbl>
            <c:spPr>
              <a:noFill/>
              <a:ln>
                <a:noFill/>
              </a:ln>
              <a:effectLst/>
            </c:spPr>
            <c:dLblPos val="t"/>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'Waterfal Chart'!$K$2:$K$6</c:f>
              <c:numCache>
                <c:formatCode>General</c:formatCode>
                <c:ptCount val="5"/>
                <c:pt idx="1">
                  <c:v>12.3</c:v>
                </c:pt>
                <c:pt idx="2">
                  <c:v>-24.6</c:v>
                </c:pt>
                <c:pt idx="3">
                  <c:v>-1.8</c:v>
                </c:pt>
              </c:numCache>
            </c:numRef>
          </c:cat>
          <c:val>
            <c:numRef>
              <c:f>'Waterfal Chart'!$I$2:$I$6</c:f>
              <c:numCache>
                <c:formatCode>General</c:formatCode>
                <c:ptCount val="5"/>
                <c:pt idx="0">
                  <c:v>0</c:v>
                </c:pt>
                <c:pt idx="1">
                  <c:v>#N/A</c:v>
                </c:pt>
                <c:pt idx="2">
                  <c:v>#N/A</c:v>
                </c:pt>
                <c:pt idx="3">
                  <c:v>#N/A</c:v>
                </c:pt>
              </c:numCache>
            </c:numRef>
          </c:val>
          <c:smooth val="0"/>
          <c:extLst>
            <c:ext xmlns:c16="http://schemas.microsoft.com/office/drawing/2014/chart" uri="{C3380CC4-5D6E-409C-BE32-E72D297353CC}">
              <c16:uniqueId val="{00000006-B484-7541-B797-E980458DB05C}"/>
            </c:ext>
          </c:extLst>
        </c:ser>
        <c:dLbls>
          <c:showLegendKey val="0"/>
          <c:showVal val="0"/>
          <c:showCatName val="0"/>
          <c:showSerName val="0"/>
          <c:showPercent val="0"/>
          <c:showBubbleSize val="0"/>
        </c:dLbls>
        <c:marker val="1"/>
        <c:smooth val="0"/>
        <c:axId val="544425472"/>
        <c:axId val="544423936"/>
      </c:lineChart>
      <c:scatterChart>
        <c:scatterStyle val="lineMarker"/>
        <c:varyColors val="0"/>
        <c:ser>
          <c:idx val="3"/>
          <c:order val="3"/>
          <c:tx>
            <c:strRef>
              <c:f>'Waterfal Chart'!$G$1</c:f>
              <c:strCache>
                <c:ptCount val="1"/>
                <c:pt idx="0">
                  <c:v>Line Y</c:v>
                </c:pt>
              </c:strCache>
            </c:strRef>
          </c:tx>
          <c:spPr>
            <a:ln w="19050">
              <a:noFill/>
            </a:ln>
          </c:spPr>
          <c:marker>
            <c:symbol val="none"/>
          </c:marker>
          <c:errBars>
            <c:errDir val="x"/>
            <c:errBarType val="both"/>
            <c:errValType val="fixedVal"/>
            <c:noEndCap val="1"/>
            <c:val val="0.83333333333333337"/>
          </c:errBars>
          <c:xVal>
            <c:numRef>
              <c:f>'Waterfal Chart'!$C$2:$C$6</c:f>
              <c:numCache>
                <c:formatCode>General</c:formatCode>
                <c:ptCount val="5"/>
                <c:pt idx="0">
                  <c:v>1.5</c:v>
                </c:pt>
                <c:pt idx="1">
                  <c:v>2.5</c:v>
                </c:pt>
                <c:pt idx="2">
                  <c:v>3.5</c:v>
                </c:pt>
                <c:pt idx="3">
                  <c:v>4.5</c:v>
                </c:pt>
              </c:numCache>
            </c:numRef>
          </c:xVal>
          <c:yVal>
            <c:numRef>
              <c:f>'Waterfal Chart'!$G$2:$G$6</c:f>
              <c:numCache>
                <c:formatCode>General</c:formatCode>
                <c:ptCount val="5"/>
                <c:pt idx="0">
                  <c:v>22.5</c:v>
                </c:pt>
                <c:pt idx="1">
                  <c:v>34.799999999999997</c:v>
                </c:pt>
                <c:pt idx="2">
                  <c:v>10.199999999999996</c:v>
                </c:pt>
                <c:pt idx="3">
                  <c:v>8.399999999999995</c:v>
                </c:pt>
              </c:numCache>
            </c:numRef>
          </c:yVal>
          <c:smooth val="0"/>
          <c:extLst>
            <c:ext xmlns:c16="http://schemas.microsoft.com/office/drawing/2014/chart" uri="{C3380CC4-5D6E-409C-BE32-E72D297353CC}">
              <c16:uniqueId val="{00000007-B484-7541-B797-E980458DB05C}"/>
            </c:ext>
          </c:extLst>
        </c:ser>
        <c:ser>
          <c:idx val="6"/>
          <c:order val="6"/>
          <c:tx>
            <c:strRef>
              <c:f>'Waterfal Chart'!$J$1</c:f>
              <c:strCache>
                <c:ptCount val="1"/>
                <c:pt idx="0">
                  <c:v>Below X</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B484-7541-B797-E980458DB05C}"/>
                </c:ext>
              </c:extLst>
            </c:dLbl>
            <c:spPr>
              <a:noFill/>
              <a:ln>
                <a:noFill/>
              </a:ln>
              <a:effectLst/>
            </c:spPr>
            <c:txPr>
              <a:bodyPr wrap="square" lIns="38100" tIns="19050" rIns="38100" bIns="19050" anchor="ctr">
                <a:spAutoFit/>
              </a:bodyPr>
              <a:lstStyle/>
              <a:p>
                <a:pPr>
                  <a:defRPr sz="1000" b="0">
                    <a:latin typeface="+mn-lt"/>
                  </a:defRPr>
                </a:pPr>
                <a:endParaRPr lang="en-VN"/>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strRef>
              <c:f>'Waterfal Chart'!$A$2:$A$6</c:f>
              <c:strCache>
                <c:ptCount val="5"/>
                <c:pt idx="0">
                  <c:v>The beginning of period</c:v>
                </c:pt>
                <c:pt idx="1">
                  <c:v>CFO</c:v>
                </c:pt>
                <c:pt idx="2">
                  <c:v>CFI</c:v>
                </c:pt>
                <c:pt idx="3">
                  <c:v>CFO</c:v>
                </c:pt>
                <c:pt idx="4">
                  <c:v>Ending Inventory</c:v>
                </c:pt>
              </c:strCache>
            </c:strRef>
          </c:xVal>
          <c:yVal>
            <c:numRef>
              <c:f>'Waterfal Chart'!$J$2:$J$6</c:f>
              <c:numCache>
                <c:formatCode>General</c:formatCode>
                <c:ptCount val="5"/>
                <c:pt idx="0">
                  <c:v>1</c:v>
                </c:pt>
                <c:pt idx="1">
                  <c:v>22.5</c:v>
                </c:pt>
                <c:pt idx="2">
                  <c:v>10.199999999999996</c:v>
                </c:pt>
                <c:pt idx="3">
                  <c:v>8.399999999999995</c:v>
                </c:pt>
              </c:numCache>
            </c:numRef>
          </c:yVal>
          <c:smooth val="0"/>
          <c:extLst>
            <c:ext xmlns:c16="http://schemas.microsoft.com/office/drawing/2014/chart" uri="{C3380CC4-5D6E-409C-BE32-E72D297353CC}">
              <c16:uniqueId val="{00000009-B484-7541-B797-E980458DB05C}"/>
            </c:ext>
          </c:extLst>
        </c:ser>
        <c:dLbls>
          <c:showLegendKey val="0"/>
          <c:showVal val="0"/>
          <c:showCatName val="0"/>
          <c:showSerName val="0"/>
          <c:showPercent val="0"/>
          <c:showBubbleSize val="0"/>
        </c:dLbls>
        <c:axId val="542286208"/>
        <c:axId val="542288128"/>
      </c:scatterChart>
      <c:catAx>
        <c:axId val="542286208"/>
        <c:scaling>
          <c:orientation val="minMax"/>
        </c:scaling>
        <c:delete val="0"/>
        <c:axPos val="b"/>
        <c:numFmt formatCode="General" sourceLinked="1"/>
        <c:majorTickMark val="out"/>
        <c:minorTickMark val="none"/>
        <c:tickLblPos val="none"/>
        <c:spPr>
          <a:ln>
            <a:solidFill>
              <a:schemeClr val="bg1">
                <a:lumMod val="75000"/>
              </a:schemeClr>
            </a:solidFill>
          </a:ln>
        </c:spPr>
        <c:txPr>
          <a:bodyPr rot="0" vert="horz"/>
          <a:lstStyle/>
          <a:p>
            <a:pPr>
              <a:defRPr/>
            </a:pPr>
            <a:endParaRPr lang="en-VN"/>
          </a:p>
        </c:txPr>
        <c:crossAx val="542288128"/>
        <c:crosses val="autoZero"/>
        <c:auto val="0"/>
        <c:lblAlgn val="ctr"/>
        <c:lblOffset val="100"/>
        <c:tickLblSkip val="1"/>
        <c:noMultiLvlLbl val="0"/>
      </c:catAx>
      <c:valAx>
        <c:axId val="542288128"/>
        <c:scaling>
          <c:orientation val="minMax"/>
        </c:scaling>
        <c:delete val="0"/>
        <c:axPos val="l"/>
        <c:numFmt formatCode="General;\-General;;" sourceLinked="1"/>
        <c:majorTickMark val="out"/>
        <c:minorTickMark val="none"/>
        <c:tickLblPos val="nextTo"/>
        <c:spPr>
          <a:noFill/>
          <a:ln>
            <a:solidFill>
              <a:schemeClr val="bg1">
                <a:lumMod val="75000"/>
              </a:schemeClr>
            </a:solidFill>
          </a:ln>
        </c:spPr>
        <c:txPr>
          <a:bodyPr/>
          <a:lstStyle/>
          <a:p>
            <a:pPr>
              <a:defRPr sz="1000">
                <a:solidFill>
                  <a:schemeClr val="bg1">
                    <a:lumMod val="75000"/>
                  </a:schemeClr>
                </a:solidFill>
              </a:defRPr>
            </a:pPr>
            <a:endParaRPr lang="en-VN"/>
          </a:p>
        </c:txPr>
        <c:crossAx val="542286208"/>
        <c:crosses val="autoZero"/>
        <c:crossBetween val="between"/>
      </c:valAx>
      <c:valAx>
        <c:axId val="544423936"/>
        <c:scaling>
          <c:orientation val="minMax"/>
        </c:scaling>
        <c:delete val="1"/>
        <c:axPos val="r"/>
        <c:numFmt formatCode="General" sourceLinked="1"/>
        <c:majorTickMark val="out"/>
        <c:minorTickMark val="none"/>
        <c:tickLblPos val="nextTo"/>
        <c:crossAx val="544425472"/>
        <c:crosses val="max"/>
        <c:crossBetween val="between"/>
      </c:valAx>
      <c:catAx>
        <c:axId val="544425472"/>
        <c:scaling>
          <c:orientation val="minMax"/>
        </c:scaling>
        <c:delete val="1"/>
        <c:axPos val="b"/>
        <c:numFmt formatCode="General" sourceLinked="1"/>
        <c:majorTickMark val="out"/>
        <c:minorTickMark val="none"/>
        <c:tickLblPos val="nextTo"/>
        <c:crossAx val="544423936"/>
        <c:crosses val="autoZero"/>
        <c:auto val="1"/>
        <c:lblAlgn val="ctr"/>
        <c:lblOffset val="100"/>
        <c:noMultiLvlLbl val="0"/>
      </c:catAx>
      <c:spPr>
        <a:noFill/>
        <a:ln>
          <a:noFill/>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a:noFill/>
            </a14:hiddenLine>
          </a:ext>
        </a:extLst>
      </c:spPr>
    </c:plotArea>
    <c:plotVisOnly val="1"/>
    <c:dispBlanksAs val="gap"/>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43179242816044E-2"/>
          <c:y val="0.21163242525718767"/>
          <c:w val="0.84910754080268269"/>
          <c:h val="0.68079711067649529"/>
        </c:manualLayout>
      </c:layout>
      <c:barChart>
        <c:barDir val="col"/>
        <c:grouping val="clustered"/>
        <c:varyColors val="0"/>
        <c:ser>
          <c:idx val="0"/>
          <c:order val="0"/>
          <c:tx>
            <c:strRef>
              <c:f>Sheet2!$D$1</c:f>
              <c:strCache>
                <c:ptCount val="1"/>
                <c:pt idx="0">
                  <c:v>Ends</c:v>
                </c:pt>
              </c:strCache>
            </c:strRef>
          </c:tx>
          <c:spPr>
            <a:solidFill>
              <a:srgbClr val="2279BE"/>
            </a:solidFill>
            <a:ln w="25400">
              <a:noFill/>
            </a:ln>
          </c:spPr>
          <c:invertIfNegative val="0"/>
          <c:dPt>
            <c:idx val="0"/>
            <c:invertIfNegative val="0"/>
            <c:bubble3D val="0"/>
            <c:spPr>
              <a:solidFill>
                <a:schemeClr val="accent1">
                  <a:lumMod val="20000"/>
                  <a:lumOff val="80000"/>
                </a:schemeClr>
              </a:solidFill>
              <a:ln w="25400">
                <a:noFill/>
              </a:ln>
            </c:spPr>
            <c:extLst>
              <c:ext xmlns:c16="http://schemas.microsoft.com/office/drawing/2014/chart" uri="{C3380CC4-5D6E-409C-BE32-E72D297353CC}">
                <c16:uniqueId val="{00000001-77C4-0F47-B3EA-40EC206F1945}"/>
              </c:ext>
            </c:extLst>
          </c:dPt>
          <c:dPt>
            <c:idx val="4"/>
            <c:invertIfNegative val="0"/>
            <c:bubble3D val="0"/>
            <c:spPr>
              <a:solidFill>
                <a:schemeClr val="accent1">
                  <a:lumMod val="75000"/>
                </a:schemeClr>
              </a:solidFill>
              <a:ln w="25400">
                <a:noFill/>
              </a:ln>
            </c:spPr>
            <c:extLst>
              <c:ext xmlns:c16="http://schemas.microsoft.com/office/drawing/2014/chart" uri="{C3380CC4-5D6E-409C-BE32-E72D297353CC}">
                <c16:uniqueId val="{00000003-77C4-0F47-B3EA-40EC206F1945}"/>
              </c:ext>
            </c:extLst>
          </c:dPt>
          <c:dLbls>
            <c:dLbl>
              <c:idx val="0"/>
              <c:spPr>
                <a:noFill/>
                <a:ln>
                  <a:noFill/>
                </a:ln>
                <a:effectLst/>
              </c:spPr>
              <c:txPr>
                <a:bodyPr wrap="square" lIns="38100" tIns="19050" rIns="38100" bIns="19050" anchor="ctr">
                  <a:spAutoFit/>
                </a:bodyPr>
                <a:lstStyle/>
                <a:p>
                  <a:pPr>
                    <a:defRPr b="1"/>
                  </a:pPr>
                  <a:endParaRPr lang="en-VN"/>
                </a:p>
              </c:txPr>
              <c:dLblPos val="outEnd"/>
              <c:showLegendKey val="0"/>
              <c:showVal val="1"/>
              <c:showCatName val="0"/>
              <c:showSerName val="0"/>
              <c:showPercent val="0"/>
              <c:showBubbleSize val="0"/>
              <c:extLst>
                <c:ext xmlns:c16="http://schemas.microsoft.com/office/drawing/2014/chart" uri="{C3380CC4-5D6E-409C-BE32-E72D297353CC}">
                  <c16:uniqueId val="{00000001-77C4-0F47-B3EA-40EC206F1945}"/>
                </c:ext>
              </c:extLst>
            </c:dLbl>
            <c:dLbl>
              <c:idx val="4"/>
              <c:spPr>
                <a:noFill/>
                <a:ln>
                  <a:noFill/>
                </a:ln>
                <a:effectLst/>
              </c:spPr>
              <c:txPr>
                <a:bodyPr wrap="square" lIns="38100" tIns="19050" rIns="38100" bIns="19050" anchor="ctr">
                  <a:spAutoFit/>
                </a:bodyPr>
                <a:lstStyle/>
                <a:p>
                  <a:pPr>
                    <a:defRPr b="1"/>
                  </a:pPr>
                  <a:endParaRPr lang="en-VN"/>
                </a:p>
              </c:txPr>
              <c:dLblPos val="outEnd"/>
              <c:showLegendKey val="0"/>
              <c:showVal val="1"/>
              <c:showCatName val="0"/>
              <c:showSerName val="0"/>
              <c:showPercent val="0"/>
              <c:showBubbleSize val="0"/>
              <c:extLst>
                <c:ext xmlns:c16="http://schemas.microsoft.com/office/drawing/2014/chart" uri="{C3380CC4-5D6E-409C-BE32-E72D297353CC}">
                  <c16:uniqueId val="{00000003-77C4-0F47-B3EA-40EC206F1945}"/>
                </c:ext>
              </c:extLst>
            </c:dLbl>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cat>
          <c:val>
            <c:numRef>
              <c:f>Sheet2!$D$2:$D$8</c:f>
              <c:numCache>
                <c:formatCode>General;\-General;;</c:formatCode>
                <c:ptCount val="7"/>
                <c:pt idx="0">
                  <c:v>149.69999999999999</c:v>
                </c:pt>
                <c:pt idx="1">
                  <c:v>0</c:v>
                </c:pt>
                <c:pt idx="2">
                  <c:v>0</c:v>
                </c:pt>
                <c:pt idx="3">
                  <c:v>0</c:v>
                </c:pt>
                <c:pt idx="4">
                  <c:v>0</c:v>
                </c:pt>
                <c:pt idx="5">
                  <c:v>0</c:v>
                </c:pt>
                <c:pt idx="6" formatCode="General">
                  <c:v>34.5</c:v>
                </c:pt>
              </c:numCache>
            </c:numRef>
          </c:val>
          <c:extLst>
            <c:ext xmlns:c16="http://schemas.microsoft.com/office/drawing/2014/chart" uri="{C3380CC4-5D6E-409C-BE32-E72D297353CC}">
              <c16:uniqueId val="{00000004-77C4-0F47-B3EA-40EC206F1945}"/>
            </c:ext>
          </c:extLst>
        </c:ser>
        <c:dLbls>
          <c:showLegendKey val="0"/>
          <c:showVal val="0"/>
          <c:showCatName val="0"/>
          <c:showSerName val="0"/>
          <c:showPercent val="0"/>
          <c:showBubbleSize val="0"/>
        </c:dLbls>
        <c:gapWidth val="50"/>
        <c:axId val="542286208"/>
        <c:axId val="542288128"/>
      </c:barChart>
      <c:lineChart>
        <c:grouping val="standard"/>
        <c:varyColors val="0"/>
        <c:ser>
          <c:idx val="1"/>
          <c:order val="1"/>
          <c:tx>
            <c:strRef>
              <c:f>Sheet2!$E$1</c:f>
              <c:strCache>
                <c:ptCount val="1"/>
                <c:pt idx="0">
                  <c:v>Before</c:v>
                </c:pt>
              </c:strCache>
            </c:strRef>
          </c:tx>
          <c:spPr>
            <a:ln w="19050">
              <a:noFill/>
            </a:ln>
          </c:spPr>
          <c:marker>
            <c:symbol val="none"/>
          </c:marker>
          <c:cat>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cat>
          <c:val>
            <c:numRef>
              <c:f>Sheet2!$E$2:$E$8</c:f>
              <c:numCache>
                <c:formatCode>General</c:formatCode>
                <c:ptCount val="7"/>
                <c:pt idx="1">
                  <c:v>149.69999999999999</c:v>
                </c:pt>
                <c:pt idx="2">
                  <c:v>41.099999999999994</c:v>
                </c:pt>
                <c:pt idx="3">
                  <c:v>37.699999999999996</c:v>
                </c:pt>
                <c:pt idx="4">
                  <c:v>35.199999999999996</c:v>
                </c:pt>
                <c:pt idx="5">
                  <c:v>32.699999999999996</c:v>
                </c:pt>
              </c:numCache>
            </c:numRef>
          </c:val>
          <c:smooth val="0"/>
          <c:extLst>
            <c:ext xmlns:c16="http://schemas.microsoft.com/office/drawing/2014/chart" uri="{C3380CC4-5D6E-409C-BE32-E72D297353CC}">
              <c16:uniqueId val="{00000005-77C4-0F47-B3EA-40EC206F1945}"/>
            </c:ext>
          </c:extLst>
        </c:ser>
        <c:ser>
          <c:idx val="2"/>
          <c:order val="2"/>
          <c:tx>
            <c:strRef>
              <c:f>Sheet2!$F$1</c:f>
              <c:strCache>
                <c:ptCount val="1"/>
                <c:pt idx="0">
                  <c:v>After</c:v>
                </c:pt>
              </c:strCache>
            </c:strRef>
          </c:tx>
          <c:spPr>
            <a:ln w="19050">
              <a:noFill/>
            </a:ln>
          </c:spPr>
          <c:marker>
            <c:symbol val="none"/>
          </c:marker>
          <c:cat>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cat>
          <c:val>
            <c:numRef>
              <c:f>Sheet2!$F$2:$F$8</c:f>
              <c:numCache>
                <c:formatCode>General</c:formatCode>
                <c:ptCount val="7"/>
                <c:pt idx="1">
                  <c:v>41.099999999999994</c:v>
                </c:pt>
                <c:pt idx="2">
                  <c:v>37.699999999999996</c:v>
                </c:pt>
                <c:pt idx="3">
                  <c:v>35.199999999999996</c:v>
                </c:pt>
                <c:pt idx="4">
                  <c:v>32.699999999999996</c:v>
                </c:pt>
                <c:pt idx="5">
                  <c:v>34.499999999999993</c:v>
                </c:pt>
              </c:numCache>
            </c:numRef>
          </c:val>
          <c:smooth val="0"/>
          <c:extLst>
            <c:ext xmlns:c16="http://schemas.microsoft.com/office/drawing/2014/chart" uri="{C3380CC4-5D6E-409C-BE32-E72D297353CC}">
              <c16:uniqueId val="{00000006-77C4-0F47-B3EA-40EC206F1945}"/>
            </c:ext>
          </c:extLst>
        </c:ser>
        <c:dLbls>
          <c:showLegendKey val="0"/>
          <c:showVal val="0"/>
          <c:showCatName val="0"/>
          <c:showSerName val="0"/>
          <c:showPercent val="0"/>
          <c:showBubbleSize val="0"/>
        </c:dLbls>
        <c:upDownBars>
          <c:gapWidth val="50"/>
          <c:upBars>
            <c:spPr>
              <a:solidFill>
                <a:srgbClr val="2CA02C"/>
              </a:solidFill>
              <a:ln w="6350">
                <a:noFill/>
              </a:ln>
            </c:spPr>
          </c:upBars>
          <c:downBars>
            <c:spPr>
              <a:solidFill>
                <a:srgbClr val="E41A1C"/>
              </a:solidFill>
              <a:ln w="6350">
                <a:noFill/>
              </a:ln>
            </c:spPr>
          </c:downBars>
        </c:upDownBars>
        <c:marker val="1"/>
        <c:smooth val="0"/>
        <c:axId val="542286208"/>
        <c:axId val="542288128"/>
      </c:lineChart>
      <c:lineChart>
        <c:grouping val="standard"/>
        <c:varyColors val="0"/>
        <c:ser>
          <c:idx val="4"/>
          <c:order val="4"/>
          <c:tx>
            <c:strRef>
              <c:f>Sheet2!$H$1</c:f>
              <c:strCache>
                <c:ptCount val="1"/>
                <c:pt idx="0">
                  <c:v>Center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7-77C4-0F47-B3EA-40EC206F1945}"/>
                </c:ext>
              </c:extLst>
            </c:dLbl>
            <c:spPr>
              <a:noFill/>
              <a:ln>
                <a:noFill/>
              </a:ln>
              <a:effectLst/>
            </c:sp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Sheet2!$K$2:$K$8</c:f>
              <c:numCache>
                <c:formatCode>General</c:formatCode>
                <c:ptCount val="7"/>
                <c:pt idx="1">
                  <c:v>-108.6</c:v>
                </c:pt>
                <c:pt idx="2">
                  <c:v>-3.4</c:v>
                </c:pt>
                <c:pt idx="3">
                  <c:v>-2.5</c:v>
                </c:pt>
                <c:pt idx="4">
                  <c:v>-2.5</c:v>
                </c:pt>
                <c:pt idx="5">
                  <c:v>1.8</c:v>
                </c:pt>
              </c:numCache>
            </c:numRef>
          </c:cat>
          <c:val>
            <c:numRef>
              <c:f>Sheet2!$H$2:$H$8</c:f>
              <c:numCache>
                <c:formatCode>General</c:formatCode>
                <c:ptCount val="7"/>
                <c:pt idx="0">
                  <c:v>0</c:v>
                </c:pt>
                <c:pt idx="1">
                  <c:v>#N/A</c:v>
                </c:pt>
                <c:pt idx="2">
                  <c:v>#N/A</c:v>
                </c:pt>
                <c:pt idx="3">
                  <c:v>#N/A</c:v>
                </c:pt>
                <c:pt idx="4">
                  <c:v>#N/A</c:v>
                </c:pt>
                <c:pt idx="5">
                  <c:v>#N/A</c:v>
                </c:pt>
              </c:numCache>
            </c:numRef>
          </c:val>
          <c:smooth val="0"/>
          <c:extLst>
            <c:ext xmlns:c16="http://schemas.microsoft.com/office/drawing/2014/chart" uri="{C3380CC4-5D6E-409C-BE32-E72D297353CC}">
              <c16:uniqueId val="{00000008-77C4-0F47-B3EA-40EC206F1945}"/>
            </c:ext>
          </c:extLst>
        </c:ser>
        <c:ser>
          <c:idx val="5"/>
          <c:order val="5"/>
          <c:tx>
            <c:strRef>
              <c:f>Sheet2!$I$1</c:f>
              <c:strCache>
                <c:ptCount val="1"/>
                <c:pt idx="0">
                  <c:v>Above Y</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9-77C4-0F47-B3EA-40EC206F1945}"/>
                </c:ext>
              </c:extLst>
            </c:dLbl>
            <c:spPr>
              <a:noFill/>
              <a:ln>
                <a:noFill/>
              </a:ln>
              <a:effectLst/>
            </c:spPr>
            <c:dLblPos val="t"/>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numRef>
              <c:f>Sheet2!$K$2:$K$8</c:f>
              <c:numCache>
                <c:formatCode>General</c:formatCode>
                <c:ptCount val="7"/>
                <c:pt idx="1">
                  <c:v>-108.6</c:v>
                </c:pt>
                <c:pt idx="2">
                  <c:v>-3.4</c:v>
                </c:pt>
                <c:pt idx="3">
                  <c:v>-2.5</c:v>
                </c:pt>
                <c:pt idx="4">
                  <c:v>-2.5</c:v>
                </c:pt>
                <c:pt idx="5">
                  <c:v>1.8</c:v>
                </c:pt>
              </c:numCache>
            </c:numRef>
          </c:cat>
          <c:val>
            <c:numRef>
              <c:f>Sheet2!$I$2:$I$8</c:f>
              <c:numCache>
                <c:formatCode>General</c:formatCode>
                <c:ptCount val="7"/>
                <c:pt idx="0">
                  <c:v>0</c:v>
                </c:pt>
                <c:pt idx="1">
                  <c:v>#N/A</c:v>
                </c:pt>
                <c:pt idx="2">
                  <c:v>#N/A</c:v>
                </c:pt>
                <c:pt idx="3">
                  <c:v>#N/A</c:v>
                </c:pt>
                <c:pt idx="4">
                  <c:v>#N/A</c:v>
                </c:pt>
                <c:pt idx="5">
                  <c:v>#N/A</c:v>
                </c:pt>
              </c:numCache>
            </c:numRef>
          </c:val>
          <c:smooth val="0"/>
          <c:extLst>
            <c:ext xmlns:c16="http://schemas.microsoft.com/office/drawing/2014/chart" uri="{C3380CC4-5D6E-409C-BE32-E72D297353CC}">
              <c16:uniqueId val="{0000000A-77C4-0F47-B3EA-40EC206F1945}"/>
            </c:ext>
          </c:extLst>
        </c:ser>
        <c:dLbls>
          <c:showLegendKey val="0"/>
          <c:showVal val="0"/>
          <c:showCatName val="0"/>
          <c:showSerName val="0"/>
          <c:showPercent val="0"/>
          <c:showBubbleSize val="0"/>
        </c:dLbls>
        <c:marker val="1"/>
        <c:smooth val="0"/>
        <c:axId val="544425472"/>
        <c:axId val="544423936"/>
      </c:lineChart>
      <c:scatterChart>
        <c:scatterStyle val="lineMarker"/>
        <c:varyColors val="0"/>
        <c:ser>
          <c:idx val="3"/>
          <c:order val="3"/>
          <c:tx>
            <c:strRef>
              <c:f>Sheet2!$G$1</c:f>
              <c:strCache>
                <c:ptCount val="1"/>
                <c:pt idx="0">
                  <c:v>Line Y</c:v>
                </c:pt>
              </c:strCache>
            </c:strRef>
          </c:tx>
          <c:spPr>
            <a:ln w="19050">
              <a:noFill/>
            </a:ln>
          </c:spPr>
          <c:marker>
            <c:symbol val="none"/>
          </c:marker>
          <c:errBars>
            <c:errDir val="x"/>
            <c:errBarType val="both"/>
            <c:errValType val="fixedVal"/>
            <c:noEndCap val="1"/>
            <c:val val="0.83333333333333337"/>
          </c:errBars>
          <c:xVal>
            <c:numRef>
              <c:f>Sheet2!$C$2:$C$8</c:f>
              <c:numCache>
                <c:formatCode>General</c:formatCode>
                <c:ptCount val="7"/>
                <c:pt idx="0">
                  <c:v>1.5</c:v>
                </c:pt>
                <c:pt idx="1">
                  <c:v>2.5</c:v>
                </c:pt>
                <c:pt idx="2">
                  <c:v>3.5</c:v>
                </c:pt>
                <c:pt idx="3">
                  <c:v>4.5</c:v>
                </c:pt>
                <c:pt idx="4">
                  <c:v>5.5</c:v>
                </c:pt>
                <c:pt idx="5">
                  <c:v>6.5</c:v>
                </c:pt>
              </c:numCache>
            </c:numRef>
          </c:xVal>
          <c:yVal>
            <c:numRef>
              <c:f>Sheet2!$G$2:$G$8</c:f>
              <c:numCache>
                <c:formatCode>General</c:formatCode>
                <c:ptCount val="7"/>
                <c:pt idx="0">
                  <c:v>149.69999999999999</c:v>
                </c:pt>
                <c:pt idx="1">
                  <c:v>41.099999999999994</c:v>
                </c:pt>
                <c:pt idx="2">
                  <c:v>37.699999999999996</c:v>
                </c:pt>
                <c:pt idx="3">
                  <c:v>35.199999999999996</c:v>
                </c:pt>
                <c:pt idx="4">
                  <c:v>32.699999999999996</c:v>
                </c:pt>
                <c:pt idx="5">
                  <c:v>34.499999999999993</c:v>
                </c:pt>
              </c:numCache>
            </c:numRef>
          </c:yVal>
          <c:smooth val="0"/>
          <c:extLst>
            <c:ext xmlns:c16="http://schemas.microsoft.com/office/drawing/2014/chart" uri="{C3380CC4-5D6E-409C-BE32-E72D297353CC}">
              <c16:uniqueId val="{0000000B-77C4-0F47-B3EA-40EC206F1945}"/>
            </c:ext>
          </c:extLst>
        </c:ser>
        <c:ser>
          <c:idx val="6"/>
          <c:order val="6"/>
          <c:tx>
            <c:strRef>
              <c:f>Sheet2!$J$1</c:f>
              <c:strCache>
                <c:ptCount val="1"/>
                <c:pt idx="0">
                  <c:v>Below X</c:v>
                </c:pt>
              </c:strCache>
            </c:strRef>
          </c:tx>
          <c:spPr>
            <a:ln w="19050">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77C4-0F47-B3EA-40EC206F1945}"/>
                </c:ext>
              </c:extLst>
            </c:dLbl>
            <c:spPr>
              <a:noFill/>
              <a:ln>
                <a:noFill/>
              </a:ln>
              <a:effectLst/>
            </c:spPr>
            <c:txPr>
              <a:bodyPr wrap="square" lIns="38100" tIns="19050" rIns="38100" bIns="19050" anchor="ctr">
                <a:spAutoFit/>
              </a:bodyPr>
              <a:lstStyle/>
              <a:p>
                <a:pPr>
                  <a:defRPr sz="1000" b="0">
                    <a:latin typeface="+mn-lt"/>
                  </a:defRPr>
                </a:pPr>
                <a:endParaRPr lang="en-VN"/>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strRef>
              <c:f>Sheet2!$A$2:$A$8</c:f>
              <c:strCache>
                <c:ptCount val="7"/>
                <c:pt idx="0">
                  <c:v>Revenue</c:v>
                </c:pt>
                <c:pt idx="1">
                  <c:v>Cost of Sales</c:v>
                </c:pt>
                <c:pt idx="2">
                  <c:v>Operating Expenses</c:v>
                </c:pt>
                <c:pt idx="3">
                  <c:v>Interest Expenses</c:v>
                </c:pt>
                <c:pt idx="4">
                  <c:v>Tax Expenses</c:v>
                </c:pt>
                <c:pt idx="5">
                  <c:v>Other Profit/Loss</c:v>
                </c:pt>
                <c:pt idx="6">
                  <c:v>Net Profit</c:v>
                </c:pt>
              </c:strCache>
            </c:strRef>
          </c:xVal>
          <c:yVal>
            <c:numRef>
              <c:f>Sheet2!$J$2:$J$8</c:f>
              <c:numCache>
                <c:formatCode>General</c:formatCode>
                <c:ptCount val="7"/>
                <c:pt idx="0">
                  <c:v>1</c:v>
                </c:pt>
                <c:pt idx="1">
                  <c:v>41.099999999999994</c:v>
                </c:pt>
                <c:pt idx="2">
                  <c:v>37.699999999999996</c:v>
                </c:pt>
                <c:pt idx="3">
                  <c:v>35.199999999999996</c:v>
                </c:pt>
                <c:pt idx="4">
                  <c:v>32.699999999999996</c:v>
                </c:pt>
                <c:pt idx="5">
                  <c:v>32.699999999999996</c:v>
                </c:pt>
              </c:numCache>
            </c:numRef>
          </c:yVal>
          <c:smooth val="0"/>
          <c:extLst>
            <c:ext xmlns:c16="http://schemas.microsoft.com/office/drawing/2014/chart" uri="{C3380CC4-5D6E-409C-BE32-E72D297353CC}">
              <c16:uniqueId val="{0000000D-77C4-0F47-B3EA-40EC206F1945}"/>
            </c:ext>
          </c:extLst>
        </c:ser>
        <c:dLbls>
          <c:showLegendKey val="0"/>
          <c:showVal val="0"/>
          <c:showCatName val="0"/>
          <c:showSerName val="0"/>
          <c:showPercent val="0"/>
          <c:showBubbleSize val="0"/>
        </c:dLbls>
        <c:axId val="542286208"/>
        <c:axId val="542288128"/>
      </c:scatterChart>
      <c:catAx>
        <c:axId val="542286208"/>
        <c:scaling>
          <c:orientation val="minMax"/>
        </c:scaling>
        <c:delete val="0"/>
        <c:axPos val="b"/>
        <c:numFmt formatCode="General" sourceLinked="1"/>
        <c:majorTickMark val="out"/>
        <c:minorTickMark val="none"/>
        <c:tickLblPos val="none"/>
        <c:spPr>
          <a:ln>
            <a:solidFill>
              <a:schemeClr val="bg1">
                <a:lumMod val="75000"/>
              </a:schemeClr>
            </a:solidFill>
          </a:ln>
        </c:spPr>
        <c:txPr>
          <a:bodyPr rot="0" vert="horz"/>
          <a:lstStyle/>
          <a:p>
            <a:pPr>
              <a:defRPr/>
            </a:pPr>
            <a:endParaRPr lang="en-VN"/>
          </a:p>
        </c:txPr>
        <c:crossAx val="542288128"/>
        <c:crosses val="autoZero"/>
        <c:auto val="0"/>
        <c:lblAlgn val="ctr"/>
        <c:lblOffset val="100"/>
        <c:tickLblSkip val="1"/>
        <c:noMultiLvlLbl val="0"/>
      </c:catAx>
      <c:valAx>
        <c:axId val="542288128"/>
        <c:scaling>
          <c:orientation val="minMax"/>
        </c:scaling>
        <c:delete val="0"/>
        <c:axPos val="l"/>
        <c:numFmt formatCode="General;\-General;;" sourceLinked="1"/>
        <c:majorTickMark val="out"/>
        <c:minorTickMark val="none"/>
        <c:tickLblPos val="nextTo"/>
        <c:spPr>
          <a:noFill/>
          <a:ln>
            <a:solidFill>
              <a:schemeClr val="bg1">
                <a:lumMod val="75000"/>
              </a:schemeClr>
            </a:solidFill>
          </a:ln>
        </c:spPr>
        <c:txPr>
          <a:bodyPr/>
          <a:lstStyle/>
          <a:p>
            <a:pPr>
              <a:defRPr sz="1000">
                <a:solidFill>
                  <a:schemeClr val="bg1">
                    <a:lumMod val="75000"/>
                  </a:schemeClr>
                </a:solidFill>
              </a:defRPr>
            </a:pPr>
            <a:endParaRPr lang="en-VN"/>
          </a:p>
        </c:txPr>
        <c:crossAx val="542286208"/>
        <c:crosses val="autoZero"/>
        <c:crossBetween val="between"/>
      </c:valAx>
      <c:valAx>
        <c:axId val="544423936"/>
        <c:scaling>
          <c:orientation val="minMax"/>
        </c:scaling>
        <c:delete val="1"/>
        <c:axPos val="r"/>
        <c:numFmt formatCode="General" sourceLinked="1"/>
        <c:majorTickMark val="out"/>
        <c:minorTickMark val="none"/>
        <c:tickLblPos val="nextTo"/>
        <c:crossAx val="544425472"/>
        <c:crosses val="max"/>
        <c:crossBetween val="between"/>
      </c:valAx>
      <c:catAx>
        <c:axId val="544425472"/>
        <c:scaling>
          <c:orientation val="minMax"/>
        </c:scaling>
        <c:delete val="1"/>
        <c:axPos val="b"/>
        <c:numFmt formatCode="General" sourceLinked="1"/>
        <c:majorTickMark val="out"/>
        <c:minorTickMark val="none"/>
        <c:tickLblPos val="nextTo"/>
        <c:crossAx val="544423936"/>
        <c:crosses val="autoZero"/>
        <c:auto val="1"/>
        <c:lblAlgn val="ctr"/>
        <c:lblOffset val="100"/>
        <c:noMultiLvlLbl val="0"/>
      </c:catAx>
      <c:spPr>
        <a:noFill/>
        <a:ln>
          <a:noFill/>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a:noFill/>
            </a14:hiddenLine>
          </a:ext>
        </a:extLst>
      </c:spPr>
    </c:plotArea>
    <c:plotVisOnly val="1"/>
    <c:dispBlanksAs val="gap"/>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6948328316975"/>
          <c:y val="0.54126768506860146"/>
          <c:w val="0.7365517297536136"/>
          <c:h val="0.34861326655454822"/>
        </c:manualLayout>
      </c:layout>
      <c:lineChart>
        <c:grouping val="standard"/>
        <c:varyColors val="0"/>
        <c:ser>
          <c:idx val="0"/>
          <c:order val="0"/>
          <c:tx>
            <c:strRef>
              <c:f>'Balance Sheet'!$AM$83</c:f>
              <c:strCache>
                <c:ptCount val="1"/>
                <c:pt idx="0">
                  <c:v>Long-term Liabilities</c:v>
                </c:pt>
              </c:strCache>
            </c:strRef>
          </c:tx>
          <c:spPr>
            <a:ln w="28575" cap="rnd">
              <a:solidFill>
                <a:schemeClr val="accent1">
                  <a:lumMod val="75000"/>
                </a:schemeClr>
              </a:solidFill>
              <a:round/>
            </a:ln>
            <a:effectLst/>
          </c:spPr>
          <c:marker>
            <c:symbol val="none"/>
          </c:marker>
          <c:dPt>
            <c:idx val="4"/>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E86A-BE47-805C-6CF01D1C7D40}"/>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6A-BE47-805C-6CF01D1C7D4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'Balance Sheet'!$AL$84:$AL$88</c:f>
              <c:numCache>
                <c:formatCode>General</c:formatCode>
                <c:ptCount val="5"/>
                <c:pt idx="0">
                  <c:v>2018</c:v>
                </c:pt>
                <c:pt idx="1">
                  <c:v>2019</c:v>
                </c:pt>
                <c:pt idx="2">
                  <c:v>2020</c:v>
                </c:pt>
                <c:pt idx="3">
                  <c:v>2021</c:v>
                </c:pt>
                <c:pt idx="4">
                  <c:v>2022</c:v>
                </c:pt>
              </c:numCache>
            </c:numRef>
          </c:cat>
          <c:val>
            <c:numRef>
              <c:f>'Balance Sheet'!$AM$84:$AM$88</c:f>
              <c:numCache>
                <c:formatCode>General</c:formatCode>
                <c:ptCount val="5"/>
                <c:pt idx="0">
                  <c:v>14.96</c:v>
                </c:pt>
                <c:pt idx="1">
                  <c:v>27.01</c:v>
                </c:pt>
                <c:pt idx="2">
                  <c:v>20.32</c:v>
                </c:pt>
                <c:pt idx="3">
                  <c:v>14</c:v>
                </c:pt>
                <c:pt idx="4">
                  <c:v>11.84</c:v>
                </c:pt>
              </c:numCache>
            </c:numRef>
          </c:val>
          <c:smooth val="0"/>
          <c:extLst>
            <c:ext xmlns:c16="http://schemas.microsoft.com/office/drawing/2014/chart" uri="{C3380CC4-5D6E-409C-BE32-E72D297353CC}">
              <c16:uniqueId val="{00000001-E86A-BE47-805C-6CF01D1C7D40}"/>
            </c:ext>
          </c:extLst>
        </c:ser>
        <c:dLbls>
          <c:showLegendKey val="0"/>
          <c:showVal val="0"/>
          <c:showCatName val="0"/>
          <c:showSerName val="0"/>
          <c:showPercent val="0"/>
          <c:showBubbleSize val="0"/>
        </c:dLbls>
        <c:smooth val="0"/>
        <c:axId val="1402764192"/>
        <c:axId val="1402846064"/>
      </c:lineChart>
      <c:catAx>
        <c:axId val="1402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846064"/>
        <c:crosses val="autoZero"/>
        <c:auto val="1"/>
        <c:lblAlgn val="ctr"/>
        <c:lblOffset val="100"/>
        <c:noMultiLvlLbl val="0"/>
      </c:catAx>
      <c:valAx>
        <c:axId val="140284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solidFill>
                      <a:schemeClr val="bg2">
                        <a:lumMod val="75000"/>
                      </a:schemeClr>
                    </a:solidFill>
                    <a:latin typeface="Arial" panose="020B0604020202020204" pitchFamily="34" charset="0"/>
                    <a:cs typeface="Arial" panose="020B0604020202020204" pitchFamily="34" charset="0"/>
                  </a:rPr>
                  <a:t>TRILLION VNĐ</a:t>
                </a:r>
              </a:p>
            </c:rich>
          </c:tx>
          <c:layout>
            <c:manualLayout>
              <c:xMode val="edge"/>
              <c:yMode val="edge"/>
              <c:x val="1.9096495846759435E-2"/>
              <c:y val="0.518716859394076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8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VN"/>
          </a:p>
        </c:txPr>
        <c:crossAx val="140276419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H$2" lockText="1" noThreeD="1"/>
</file>

<file path=xl/ctrlProps/ctrlProp2.xml><?xml version="1.0" encoding="utf-8"?>
<formControlPr xmlns="http://schemas.microsoft.com/office/spreadsheetml/2009/9/main" objectType="CheckBox" fmlaLink="$I$2" lockText="1" noThreeD="1"/>
</file>

<file path=xl/ctrlProps/ctrlProp3.xml><?xml version="1.0" encoding="utf-8"?>
<formControlPr xmlns="http://schemas.microsoft.com/office/spreadsheetml/2009/9/main" objectType="CheckBox" checked="Checked" fmlaLink="$J$2" lockText="1" noThreeD="1"/>
</file>

<file path=xl/ctrlProps/ctrlProp4.xml><?xml version="1.0" encoding="utf-8"?>
<formControlPr xmlns="http://schemas.microsoft.com/office/spreadsheetml/2009/9/main" objectType="CheckBox" fmlaLink="$H$2" lockText="1" noThreeD="1"/>
</file>

<file path=xl/ctrlProps/ctrlProp5.xml><?xml version="1.0" encoding="utf-8"?>
<formControlPr xmlns="http://schemas.microsoft.com/office/spreadsheetml/2009/9/main" objectType="CheckBox" fmlaLink="$I$2" lockText="1" noThreeD="1"/>
</file>

<file path=xl/ctrlProps/ctrlProp6.xml><?xml version="1.0" encoding="utf-8"?>
<formControlPr xmlns="http://schemas.microsoft.com/office/spreadsheetml/2009/9/main" objectType="CheckBox" checked="Checked" fmlaLink="$J$2"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18" Type="http://schemas.openxmlformats.org/officeDocument/2006/relationships/chart" Target="../charts/chart34.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17" Type="http://schemas.openxmlformats.org/officeDocument/2006/relationships/chart" Target="../charts/chart33.xml"/><Relationship Id="rId2" Type="http://schemas.openxmlformats.org/officeDocument/2006/relationships/chart" Target="../charts/chart18.xml"/><Relationship Id="rId16" Type="http://schemas.openxmlformats.org/officeDocument/2006/relationships/chart" Target="../charts/chart32.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39.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43.xml"/><Relationship Id="rId1" Type="http://schemas.openxmlformats.org/officeDocument/2006/relationships/chart" Target="../charts/chart42.xml"/></Relationships>
</file>

<file path=xl/drawings/_rels/drawing42.xml.rels><?xml version="1.0" encoding="UTF-8" standalone="yes"?>
<Relationships xmlns="http://schemas.openxmlformats.org/package/2006/relationships"><Relationship Id="rId8" Type="http://schemas.openxmlformats.org/officeDocument/2006/relationships/chart" Target="../charts/chart51.xml"/><Relationship Id="rId13" Type="http://schemas.openxmlformats.org/officeDocument/2006/relationships/chart" Target="../charts/chart56.xml"/><Relationship Id="rId3" Type="http://schemas.openxmlformats.org/officeDocument/2006/relationships/chart" Target="../charts/chart46.xml"/><Relationship Id="rId7" Type="http://schemas.openxmlformats.org/officeDocument/2006/relationships/chart" Target="../charts/chart50.xml"/><Relationship Id="rId12" Type="http://schemas.openxmlformats.org/officeDocument/2006/relationships/chart" Target="../charts/chart55.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11" Type="http://schemas.openxmlformats.org/officeDocument/2006/relationships/chart" Target="../charts/chart54.xml"/><Relationship Id="rId5" Type="http://schemas.openxmlformats.org/officeDocument/2006/relationships/chart" Target="../charts/chart48.xml"/><Relationship Id="rId10" Type="http://schemas.openxmlformats.org/officeDocument/2006/relationships/chart" Target="../charts/chart53.xml"/><Relationship Id="rId4" Type="http://schemas.openxmlformats.org/officeDocument/2006/relationships/chart" Target="../charts/chart47.xml"/><Relationship Id="rId9" Type="http://schemas.openxmlformats.org/officeDocument/2006/relationships/chart" Target="../charts/chart52.xml"/><Relationship Id="rId14" Type="http://schemas.openxmlformats.org/officeDocument/2006/relationships/chart" Target="../charts/chart57.xml"/></Relationships>
</file>

<file path=xl/drawings/_rels/drawing57.xml.rels><?xml version="1.0" encoding="UTF-8" standalone="yes"?>
<Relationships xmlns="http://schemas.openxmlformats.org/package/2006/relationships"><Relationship Id="rId8" Type="http://schemas.openxmlformats.org/officeDocument/2006/relationships/chart" Target="../charts/chart64.xml"/><Relationship Id="rId13" Type="http://schemas.openxmlformats.org/officeDocument/2006/relationships/chart" Target="../charts/chart69.xml"/><Relationship Id="rId3" Type="http://schemas.openxmlformats.org/officeDocument/2006/relationships/chart" Target="../charts/chart59.xml"/><Relationship Id="rId7" Type="http://schemas.openxmlformats.org/officeDocument/2006/relationships/chart" Target="../charts/chart63.xml"/><Relationship Id="rId12" Type="http://schemas.openxmlformats.org/officeDocument/2006/relationships/chart" Target="../charts/chart68.xml"/><Relationship Id="rId17" Type="http://schemas.openxmlformats.org/officeDocument/2006/relationships/chart" Target="../charts/chart73.xml"/><Relationship Id="rId2" Type="http://schemas.openxmlformats.org/officeDocument/2006/relationships/chart" Target="../charts/chart58.xml"/><Relationship Id="rId16" Type="http://schemas.openxmlformats.org/officeDocument/2006/relationships/chart" Target="../charts/chart72.xml"/><Relationship Id="rId1" Type="http://schemas.openxmlformats.org/officeDocument/2006/relationships/image" Target="../media/image3.png"/><Relationship Id="rId6" Type="http://schemas.openxmlformats.org/officeDocument/2006/relationships/chart" Target="../charts/chart62.xml"/><Relationship Id="rId11" Type="http://schemas.openxmlformats.org/officeDocument/2006/relationships/chart" Target="../charts/chart67.xml"/><Relationship Id="rId5" Type="http://schemas.openxmlformats.org/officeDocument/2006/relationships/chart" Target="../charts/chart61.xml"/><Relationship Id="rId15" Type="http://schemas.openxmlformats.org/officeDocument/2006/relationships/chart" Target="../charts/chart71.xml"/><Relationship Id="rId10" Type="http://schemas.openxmlformats.org/officeDocument/2006/relationships/chart" Target="../charts/chart66.xml"/><Relationship Id="rId4" Type="http://schemas.openxmlformats.org/officeDocument/2006/relationships/chart" Target="../charts/chart60.xml"/><Relationship Id="rId9" Type="http://schemas.openxmlformats.org/officeDocument/2006/relationships/chart" Target="../charts/chart65.xml"/><Relationship Id="rId14" Type="http://schemas.openxmlformats.org/officeDocument/2006/relationships/chart" Target="../charts/chart70.xml"/></Relationships>
</file>

<file path=xl/drawings/_rels/drawing74.xml.rels><?xml version="1.0" encoding="UTF-8" standalone="yes"?>
<Relationships xmlns="http://schemas.openxmlformats.org/package/2006/relationships"><Relationship Id="rId3" Type="http://schemas.openxmlformats.org/officeDocument/2006/relationships/chart" Target="../charts/chart76.xml"/><Relationship Id="rId2" Type="http://schemas.openxmlformats.org/officeDocument/2006/relationships/chart" Target="../charts/chart75.xml"/><Relationship Id="rId1" Type="http://schemas.openxmlformats.org/officeDocument/2006/relationships/chart" Target="../charts/chart74.xml"/><Relationship Id="rId5" Type="http://schemas.openxmlformats.org/officeDocument/2006/relationships/chart" Target="../charts/chart78.xml"/><Relationship Id="rId4" Type="http://schemas.openxmlformats.org/officeDocument/2006/relationships/chart" Target="../charts/chart77.xml"/></Relationships>
</file>

<file path=xl/drawings/_rels/drawing75.xml.rels><?xml version="1.0" encoding="UTF-8" standalone="yes"?>
<Relationships xmlns="http://schemas.openxmlformats.org/package/2006/relationships"><Relationship Id="rId3" Type="http://schemas.openxmlformats.org/officeDocument/2006/relationships/chart" Target="../charts/chart81.xml"/><Relationship Id="rId2" Type="http://schemas.openxmlformats.org/officeDocument/2006/relationships/chart" Target="../charts/chart80.xml"/><Relationship Id="rId1" Type="http://schemas.openxmlformats.org/officeDocument/2006/relationships/chart" Target="../charts/chart7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82.xml"/></Relationships>
</file>

<file path=xl/drawings/_rels/drawing78.xml.rels><?xml version="1.0" encoding="UTF-8" standalone="yes"?>
<Relationships xmlns="http://schemas.openxmlformats.org/package/2006/relationships"><Relationship Id="rId1" Type="http://schemas.openxmlformats.org/officeDocument/2006/relationships/chart" Target="../charts/chart83.xml"/></Relationships>
</file>

<file path=xl/drawings/drawing1.xml><?xml version="1.0" encoding="utf-8"?>
<xdr:wsDr xmlns:xdr="http://schemas.openxmlformats.org/drawingml/2006/spreadsheetDrawing" xmlns:a="http://schemas.openxmlformats.org/drawingml/2006/main">
  <xdr:twoCellAnchor editAs="oneCell">
    <xdr:from>
      <xdr:col>11</xdr:col>
      <xdr:colOff>177210</xdr:colOff>
      <xdr:row>5</xdr:row>
      <xdr:rowOff>30036</xdr:rowOff>
    </xdr:from>
    <xdr:to>
      <xdr:col>16</xdr:col>
      <xdr:colOff>0</xdr:colOff>
      <xdr:row>20</xdr:row>
      <xdr:rowOff>26975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73954" y="916083"/>
          <a:ext cx="3957674" cy="3319613"/>
        </a:xfrm>
        <a:prstGeom prst="rect">
          <a:avLst/>
        </a:prstGeom>
      </xdr:spPr>
    </xdr:pic>
    <xdr:clientData/>
  </xdr:twoCellAnchor>
  <xdr:twoCellAnchor editAs="oneCell">
    <xdr:from>
      <xdr:col>6</xdr:col>
      <xdr:colOff>673100</xdr:colOff>
      <xdr:row>85</xdr:row>
      <xdr:rowOff>18405</xdr:rowOff>
    </xdr:from>
    <xdr:to>
      <xdr:col>13</xdr:col>
      <xdr:colOff>299306</xdr:colOff>
      <xdr:row>99</xdr:row>
      <xdr:rowOff>94584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26100" y="25202505"/>
          <a:ext cx="5404706" cy="2565379"/>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0.8281</cdr:x>
      <cdr:y>0.18067</cdr:y>
    </cdr:from>
    <cdr:to>
      <cdr:x>0.8281</cdr:x>
      <cdr:y>0.78931</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558588" y="120621"/>
          <a:ext cx="0" cy="406349"/>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cdr:x>
      <cdr:y>0.3545</cdr:y>
    </cdr:from>
    <cdr:to>
      <cdr:x>0.38326</cdr:x>
      <cdr:y>0.46949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392245"/>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baseline="0">
              <a:solidFill>
                <a:schemeClr val="accent1">
                  <a:lumMod val="75000"/>
                </a:schemeClr>
              </a:solidFill>
              <a:latin typeface="Arial" panose="020B0604020202020204" pitchFamily="34" charset="0"/>
              <a:cs typeface="Arial" panose="020B0604020202020204" pitchFamily="34" charset="0"/>
            </a:rPr>
            <a:t>-2,2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0.36035</cdr:y>
    </cdr:from>
    <cdr:to>
      <cdr:x>0.92647</cdr:x>
      <cdr:y>0.47534</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531738" y="1415238"/>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-15%</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0.10155</cdr:y>
    </cdr:from>
    <cdr:to>
      <cdr:x>0.41629</cdr:x>
      <cdr:y>0.18725</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0" y="407400"/>
          <a:ext cx="1924476" cy="34382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Long-term Liabilities</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12.xml><?xml version="1.0" encoding="utf-8"?>
<c:userShapes xmlns:c="http://schemas.openxmlformats.org/drawingml/2006/chart">
  <cdr:relSizeAnchor xmlns:cdr="http://schemas.openxmlformats.org/drawingml/2006/chartDrawing">
    <cdr:from>
      <cdr:x>0.91249</cdr:x>
      <cdr:y>0.18418</cdr:y>
    </cdr:from>
    <cdr:to>
      <cdr:x>0.91249</cdr:x>
      <cdr:y>0.79282</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843309" y="121218"/>
          <a:ext cx="0" cy="400573"/>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cdr:x>
      <cdr:y>0.3545</cdr:y>
    </cdr:from>
    <cdr:to>
      <cdr:x>0.38326</cdr:x>
      <cdr:y>0.46949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392245"/>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baseline="0">
              <a:solidFill>
                <a:schemeClr val="accent1">
                  <a:lumMod val="75000"/>
                </a:schemeClr>
              </a:solidFill>
              <a:latin typeface="Arial" panose="020B0604020202020204" pitchFamily="34" charset="0"/>
              <a:cs typeface="Arial" panose="020B0604020202020204" pitchFamily="34" charset="0"/>
            </a:rPr>
            <a:t>5,3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0.36035</cdr:y>
    </cdr:from>
    <cdr:to>
      <cdr:x>0.92647</cdr:x>
      <cdr:y>0.47534</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531738" y="1415238"/>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6%</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0.10797</cdr:y>
    </cdr:from>
    <cdr:to>
      <cdr:x>0.28012</cdr:x>
      <cdr:y>0.19367</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0" y="434851"/>
          <a:ext cx="1286933" cy="34515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Owner's Equity</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14.xml><?xml version="1.0" encoding="utf-8"?>
<c:userShapes xmlns:c="http://schemas.openxmlformats.org/drawingml/2006/chart">
  <cdr:relSizeAnchor xmlns:cdr="http://schemas.openxmlformats.org/drawingml/2006/chartDrawing">
    <cdr:from>
      <cdr:x>0.77851</cdr:x>
      <cdr:y>0.18772</cdr:y>
    </cdr:from>
    <cdr:to>
      <cdr:x>0.77851</cdr:x>
      <cdr:y>0.79636</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742123" y="131875"/>
          <a:ext cx="0" cy="427571"/>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15.xml><?xml version="1.0" encoding="utf-8"?>
<c:userShapes xmlns:c="http://schemas.openxmlformats.org/drawingml/2006/chart">
  <cdr:relSizeAnchor xmlns:cdr="http://schemas.openxmlformats.org/drawingml/2006/chartDrawing">
    <cdr:from>
      <cdr:x>0.91145</cdr:x>
      <cdr:y>0.46089</cdr:y>
    </cdr:from>
    <cdr:to>
      <cdr:x>1</cdr:x>
      <cdr:y>0.54397</cdr:y>
    </cdr:to>
    <cdr:sp macro="" textlink="">
      <cdr:nvSpPr>
        <cdr:cNvPr id="4" name="TextBox 1">
          <a:extLst xmlns:a="http://schemas.openxmlformats.org/drawingml/2006/main">
            <a:ext uri="{FF2B5EF4-FFF2-40B4-BE49-F238E27FC236}">
              <a16:creationId xmlns:a16="http://schemas.microsoft.com/office/drawing/2014/main" id="{48B08BB2-9CFD-6139-B260-52A2F61072D2}"/>
            </a:ext>
          </a:extLst>
        </cdr:cNvPr>
        <cdr:cNvSpPr txBox="1"/>
      </cdr:nvSpPr>
      <cdr:spPr>
        <a:xfrm xmlns:a="http://schemas.openxmlformats.org/drawingml/2006/main">
          <a:off x="4012308" y="1187893"/>
          <a:ext cx="389807" cy="2141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p>
      </cdr:txBody>
    </cdr:sp>
  </cdr:relSizeAnchor>
  <cdr:relSizeAnchor xmlns:cdr="http://schemas.openxmlformats.org/drawingml/2006/chartDrawing">
    <cdr:from>
      <cdr:x>0.80809</cdr:x>
      <cdr:y>0.50978</cdr:y>
    </cdr:from>
    <cdr:to>
      <cdr:x>0.9982</cdr:x>
      <cdr:y>0.57479</cdr:y>
    </cdr:to>
    <cdr:sp macro="" textlink="">
      <cdr:nvSpPr>
        <cdr:cNvPr id="5" name="TextBox 4">
          <a:extLst xmlns:a="http://schemas.openxmlformats.org/drawingml/2006/main">
            <a:ext uri="{FF2B5EF4-FFF2-40B4-BE49-F238E27FC236}">
              <a16:creationId xmlns:a16="http://schemas.microsoft.com/office/drawing/2014/main" id="{4846B774-1123-A507-0577-3071687F42A5}"/>
            </a:ext>
          </a:extLst>
        </cdr:cNvPr>
        <cdr:cNvSpPr txBox="1"/>
      </cdr:nvSpPr>
      <cdr:spPr>
        <a:xfrm xmlns:a="http://schemas.openxmlformats.org/drawingml/2006/main">
          <a:off x="5035826" y="1530136"/>
          <a:ext cx="1184703" cy="1951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solidFill>
                <a:schemeClr val="accent1">
                  <a:lumMod val="50000"/>
                </a:schemeClr>
              </a:solidFill>
            </a:rPr>
            <a:t>Long-term Assets</a:t>
          </a:r>
        </a:p>
      </cdr:txBody>
    </cdr:sp>
  </cdr:relSizeAnchor>
  <cdr:relSizeAnchor xmlns:cdr="http://schemas.openxmlformats.org/drawingml/2006/chartDrawing">
    <cdr:from>
      <cdr:x>0.80752</cdr:x>
      <cdr:y>0.16057</cdr:y>
    </cdr:from>
    <cdr:to>
      <cdr:x>0.97112</cdr:x>
      <cdr:y>0.22999</cdr:y>
    </cdr:to>
    <cdr:sp macro="" textlink="">
      <cdr:nvSpPr>
        <cdr:cNvPr id="6" name="TextBox 1">
          <a:extLst xmlns:a="http://schemas.openxmlformats.org/drawingml/2006/main">
            <a:ext uri="{FF2B5EF4-FFF2-40B4-BE49-F238E27FC236}">
              <a16:creationId xmlns:a16="http://schemas.microsoft.com/office/drawing/2014/main" id="{5ABA226E-9DE1-204B-A7A3-412DBFA56AAB}"/>
            </a:ext>
          </a:extLst>
        </cdr:cNvPr>
        <cdr:cNvSpPr txBox="1"/>
      </cdr:nvSpPr>
      <cdr:spPr>
        <a:xfrm xmlns:a="http://schemas.openxmlformats.org/drawingml/2006/main">
          <a:off x="5032302" y="481971"/>
          <a:ext cx="1019517" cy="2083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accent1"/>
              </a:solidFill>
            </a:rPr>
            <a:t>Current Assets</a:t>
          </a:r>
        </a:p>
      </cdr:txBody>
    </cdr:sp>
  </cdr:relSizeAnchor>
</c:userShapes>
</file>

<file path=xl/drawings/drawing16.xml><?xml version="1.0" encoding="utf-8"?>
<c:userShapes xmlns:c="http://schemas.openxmlformats.org/drawingml/2006/chart">
  <cdr:relSizeAnchor xmlns:cdr="http://schemas.openxmlformats.org/drawingml/2006/chartDrawing">
    <cdr:from>
      <cdr:x>0.15139</cdr:x>
      <cdr:y>0.09043</cdr:y>
    </cdr:from>
    <cdr:to>
      <cdr:x>0.41529</cdr:x>
      <cdr:y>0.16304</cdr:y>
    </cdr:to>
    <cdr:sp macro="" textlink="">
      <cdr:nvSpPr>
        <cdr:cNvPr id="3" name="TextBox 2">
          <a:extLst xmlns:a="http://schemas.openxmlformats.org/drawingml/2006/main">
            <a:ext uri="{FF2B5EF4-FFF2-40B4-BE49-F238E27FC236}">
              <a16:creationId xmlns:a16="http://schemas.microsoft.com/office/drawing/2014/main" id="{6C2D5E93-AEF0-BDFE-8E3D-257AC3A02D01}"/>
            </a:ext>
          </a:extLst>
        </cdr:cNvPr>
        <cdr:cNvSpPr txBox="1"/>
      </cdr:nvSpPr>
      <cdr:spPr>
        <a:xfrm xmlns:a="http://schemas.openxmlformats.org/drawingml/2006/main">
          <a:off x="857513" y="261481"/>
          <a:ext cx="1494801" cy="2099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0">
              <a:solidFill>
                <a:schemeClr val="bg1">
                  <a:lumMod val="75000"/>
                </a:schemeClr>
              </a:solidFill>
            </a:rPr>
            <a:t>Type of Current Asset</a:t>
          </a:r>
        </a:p>
      </cdr:txBody>
    </cdr:sp>
  </cdr:relSizeAnchor>
  <cdr:relSizeAnchor xmlns:cdr="http://schemas.openxmlformats.org/drawingml/2006/chartDrawing">
    <cdr:from>
      <cdr:x>0.35124</cdr:x>
      <cdr:y>0.10834</cdr:y>
    </cdr:from>
    <cdr:to>
      <cdr:x>0.35124</cdr:x>
      <cdr:y>0.15479</cdr:y>
    </cdr:to>
    <cdr:cxnSp macro="">
      <cdr:nvCxnSpPr>
        <cdr:cNvPr id="5" name="Straight Connector 4">
          <a:extLst xmlns:a="http://schemas.openxmlformats.org/drawingml/2006/main">
            <a:ext uri="{FF2B5EF4-FFF2-40B4-BE49-F238E27FC236}">
              <a16:creationId xmlns:a16="http://schemas.microsoft.com/office/drawing/2014/main" id="{CB8E3FB5-52F8-53B4-79BC-0A5F32AF6357}"/>
            </a:ext>
          </a:extLst>
        </cdr:cNvPr>
        <cdr:cNvCxnSpPr/>
      </cdr:nvCxnSpPr>
      <cdr:spPr>
        <a:xfrm xmlns:a="http://schemas.openxmlformats.org/drawingml/2006/main">
          <a:off x="1996211" y="314058"/>
          <a:ext cx="0" cy="134665"/>
        </a:xfrm>
        <a:prstGeom xmlns:a="http://schemas.openxmlformats.org/drawingml/2006/main" prst="line">
          <a:avLst/>
        </a:prstGeom>
        <a:ln xmlns:a="http://schemas.openxmlformats.org/drawingml/2006/main" w="12700">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0.34646</cdr:x>
      <cdr:y>0.09253</cdr:y>
    </cdr:from>
    <cdr:to>
      <cdr:x>0.61037</cdr:x>
      <cdr:y>0.16514</cdr:y>
    </cdr:to>
    <cdr:sp macro="" textlink="">
      <cdr:nvSpPr>
        <cdr:cNvPr id="8" name="TextBox 1">
          <a:extLst xmlns:a="http://schemas.openxmlformats.org/drawingml/2006/main">
            <a:ext uri="{FF2B5EF4-FFF2-40B4-BE49-F238E27FC236}">
              <a16:creationId xmlns:a16="http://schemas.microsoft.com/office/drawing/2014/main" id="{96FD5160-886D-B139-D7ED-AF074A5874D8}"/>
            </a:ext>
          </a:extLst>
        </cdr:cNvPr>
        <cdr:cNvSpPr txBox="1"/>
      </cdr:nvSpPr>
      <cdr:spPr>
        <a:xfrm xmlns:a="http://schemas.openxmlformats.org/drawingml/2006/main">
          <a:off x="1969054" y="268224"/>
          <a:ext cx="1499892" cy="2104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0">
              <a:solidFill>
                <a:schemeClr val="bg1">
                  <a:lumMod val="75000"/>
                </a:schemeClr>
              </a:solidFill>
            </a:rPr>
            <a:t>Percentage Per</a:t>
          </a:r>
          <a:r>
            <a:rPr lang="en-US" sz="800" b="0" baseline="0">
              <a:solidFill>
                <a:schemeClr val="bg1">
                  <a:lumMod val="75000"/>
                </a:schemeClr>
              </a:solidFill>
            </a:rPr>
            <a:t> Total Assets</a:t>
          </a:r>
          <a:endParaRPr lang="en-US" sz="800" b="0">
            <a:solidFill>
              <a:schemeClr val="bg1">
                <a:lumMod val="75000"/>
              </a:schemeClr>
            </a:solidFill>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0.06596</cdr:x>
      <cdr:y>0.16622</cdr:y>
    </cdr:from>
    <cdr:to>
      <cdr:x>0.98566</cdr:x>
      <cdr:y>0.25693</cdr:y>
    </cdr:to>
    <cdr:sp macro="" textlink="">
      <cdr:nvSpPr>
        <cdr:cNvPr id="2" name="TextBox 1">
          <a:extLst xmlns:a="http://schemas.openxmlformats.org/drawingml/2006/main">
            <a:ext uri="{FF2B5EF4-FFF2-40B4-BE49-F238E27FC236}">
              <a16:creationId xmlns:a16="http://schemas.microsoft.com/office/drawing/2014/main" id="{0FAAD05D-589B-C317-FC4F-F30B8A31DB43}"/>
            </a:ext>
          </a:extLst>
        </cdr:cNvPr>
        <cdr:cNvSpPr txBox="1"/>
      </cdr:nvSpPr>
      <cdr:spPr>
        <a:xfrm xmlns:a="http://schemas.openxmlformats.org/drawingml/2006/main">
          <a:off x="409489" y="579999"/>
          <a:ext cx="5709686" cy="3165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solidFill>
                <a:schemeClr val="accent1">
                  <a:lumMod val="50000"/>
                </a:schemeClr>
              </a:solidFill>
            </a:rPr>
            <a:t>Owner's</a:t>
          </a:r>
          <a:r>
            <a:rPr lang="en-US" sz="800" b="1" baseline="0">
              <a:solidFill>
                <a:schemeClr val="accent1">
                  <a:lumMod val="50000"/>
                </a:schemeClr>
              </a:solidFill>
            </a:rPr>
            <a:t> Equity                                                           </a:t>
          </a:r>
          <a:r>
            <a:rPr lang="en-US" sz="800" b="1" baseline="0">
              <a:solidFill>
                <a:schemeClr val="accent1">
                  <a:lumMod val="60000"/>
                  <a:lumOff val="40000"/>
                </a:schemeClr>
              </a:solidFill>
            </a:rPr>
            <a:t>Long-term Liabilities                                           </a:t>
          </a:r>
          <a:r>
            <a:rPr lang="en-US" sz="800" b="1" baseline="0">
              <a:solidFill>
                <a:schemeClr val="accent1"/>
              </a:solidFill>
            </a:rPr>
            <a:t>Current Liabilities</a:t>
          </a:r>
          <a:endParaRPr lang="en-US" sz="800" b="1">
            <a:solidFill>
              <a:schemeClr val="accent1"/>
            </a:solidFill>
          </a:endParaRPr>
        </a:p>
      </cdr:txBody>
    </cdr:sp>
  </cdr:relSizeAnchor>
  <cdr:relSizeAnchor xmlns:cdr="http://schemas.openxmlformats.org/drawingml/2006/chartDrawing">
    <cdr:from>
      <cdr:x>0.0657</cdr:x>
      <cdr:y>0.20395</cdr:y>
    </cdr:from>
    <cdr:to>
      <cdr:x>0.48138</cdr:x>
      <cdr:y>0.25852</cdr:y>
    </cdr:to>
    <cdr:sp macro="" textlink="">
      <cdr:nvSpPr>
        <cdr:cNvPr id="3" name="TextBox 2">
          <a:extLst xmlns:a="http://schemas.openxmlformats.org/drawingml/2006/main">
            <a:ext uri="{FF2B5EF4-FFF2-40B4-BE49-F238E27FC236}">
              <a16:creationId xmlns:a16="http://schemas.microsoft.com/office/drawing/2014/main" id="{445D2B4C-7F1C-3717-E01F-451753B9A06B}"/>
            </a:ext>
          </a:extLst>
        </cdr:cNvPr>
        <cdr:cNvSpPr txBox="1"/>
      </cdr:nvSpPr>
      <cdr:spPr>
        <a:xfrm xmlns:a="http://schemas.openxmlformats.org/drawingml/2006/main">
          <a:off x="403285" y="682208"/>
          <a:ext cx="2551583" cy="1825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solidFill>
                <a:schemeClr val="bg1">
                  <a:lumMod val="75000"/>
                </a:schemeClr>
              </a:solidFill>
            </a:rPr>
            <a:t>Percentage per Total Assets</a:t>
          </a:r>
        </a:p>
      </cdr:txBody>
    </cdr:sp>
  </cdr:relSizeAnchor>
</c:userShapes>
</file>

<file path=xl/drawings/drawing18.xml><?xml version="1.0" encoding="utf-8"?>
<c:userShapes xmlns:c="http://schemas.openxmlformats.org/drawingml/2006/chart">
  <cdr:relSizeAnchor xmlns:cdr="http://schemas.openxmlformats.org/drawingml/2006/chartDrawing">
    <cdr:from>
      <cdr:x>0.05969</cdr:x>
      <cdr:y>0.16183</cdr:y>
    </cdr:from>
    <cdr:to>
      <cdr:x>1</cdr:x>
      <cdr:y>0.2525</cdr:y>
    </cdr:to>
    <cdr:sp macro="" textlink="">
      <cdr:nvSpPr>
        <cdr:cNvPr id="2" name="TextBox 1">
          <a:extLst xmlns:a="http://schemas.openxmlformats.org/drawingml/2006/main">
            <a:ext uri="{FF2B5EF4-FFF2-40B4-BE49-F238E27FC236}">
              <a16:creationId xmlns:a16="http://schemas.microsoft.com/office/drawing/2014/main" id="{22231269-9CEE-C52C-AD55-741047525C62}"/>
            </a:ext>
          </a:extLst>
        </cdr:cNvPr>
        <cdr:cNvSpPr txBox="1"/>
      </cdr:nvSpPr>
      <cdr:spPr>
        <a:xfrm xmlns:a="http://schemas.openxmlformats.org/drawingml/2006/main">
          <a:off x="340800" y="533635"/>
          <a:ext cx="5368703" cy="2989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baseline="0">
              <a:solidFill>
                <a:schemeClr val="accent1">
                  <a:lumMod val="50000"/>
                </a:schemeClr>
              </a:solidFill>
            </a:rPr>
            <a:t>Fixed Assets                                           </a:t>
          </a:r>
          <a:r>
            <a:rPr lang="en-US" sz="800" b="1" baseline="0">
              <a:solidFill>
                <a:schemeClr val="accent1">
                  <a:lumMod val="60000"/>
                  <a:lumOff val="40000"/>
                </a:schemeClr>
              </a:solidFill>
            </a:rPr>
            <a:t>Long-term Incomplete Assets                        </a:t>
          </a:r>
          <a:r>
            <a:rPr lang="en-US" sz="800" b="1" baseline="0">
              <a:solidFill>
                <a:schemeClr val="accent1">
                  <a:lumMod val="20000"/>
                  <a:lumOff val="80000"/>
                </a:schemeClr>
              </a:solidFill>
            </a:rPr>
            <a:t>Other Long-term Assets</a:t>
          </a:r>
          <a:endParaRPr lang="en-US" sz="800" b="1">
            <a:solidFill>
              <a:schemeClr val="accent1">
                <a:lumMod val="20000"/>
                <a:lumOff val="80000"/>
              </a:schemeClr>
            </a:solidFill>
          </a:endParaRPr>
        </a:p>
      </cdr:txBody>
    </cdr:sp>
  </cdr:relSizeAnchor>
  <cdr:relSizeAnchor xmlns:cdr="http://schemas.openxmlformats.org/drawingml/2006/chartDrawing">
    <cdr:from>
      <cdr:x>0.05932</cdr:x>
      <cdr:y>0.20156</cdr:y>
    </cdr:from>
    <cdr:to>
      <cdr:x>0.47623</cdr:x>
      <cdr:y>0.2561</cdr:y>
    </cdr:to>
    <cdr:sp macro="" textlink="">
      <cdr:nvSpPr>
        <cdr:cNvPr id="3" name="TextBox 1">
          <a:extLst xmlns:a="http://schemas.openxmlformats.org/drawingml/2006/main">
            <a:ext uri="{FF2B5EF4-FFF2-40B4-BE49-F238E27FC236}">
              <a16:creationId xmlns:a16="http://schemas.microsoft.com/office/drawing/2014/main" id="{6D33811F-33D8-F6AB-6335-C48C655D1C17}"/>
            </a:ext>
          </a:extLst>
        </cdr:cNvPr>
        <cdr:cNvSpPr txBox="1"/>
      </cdr:nvSpPr>
      <cdr:spPr>
        <a:xfrm xmlns:a="http://schemas.openxmlformats.org/drawingml/2006/main">
          <a:off x="338667" y="664643"/>
          <a:ext cx="2380349" cy="17984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solidFill>
                <a:schemeClr val="bg1">
                  <a:lumMod val="75000"/>
                </a:schemeClr>
              </a:solidFill>
            </a:rPr>
            <a:t>Percentage per Total Assets</a:t>
          </a:r>
        </a:p>
      </cdr:txBody>
    </cdr:sp>
  </cdr:relSizeAnchor>
</c:userShapes>
</file>

<file path=xl/drawings/drawing19.xml><?xml version="1.0" encoding="utf-8"?>
<xdr:wsDr xmlns:xdr="http://schemas.openxmlformats.org/drawingml/2006/spreadsheetDrawing" xmlns:a="http://schemas.openxmlformats.org/drawingml/2006/main">
  <xdr:twoCellAnchor>
    <xdr:from>
      <xdr:col>16</xdr:col>
      <xdr:colOff>550336</xdr:colOff>
      <xdr:row>38</xdr:row>
      <xdr:rowOff>174399</xdr:rowOff>
    </xdr:from>
    <xdr:to>
      <xdr:col>24</xdr:col>
      <xdr:colOff>771989</xdr:colOff>
      <xdr:row>69</xdr:row>
      <xdr:rowOff>22604</xdr:rowOff>
    </xdr:to>
    <xdr:grpSp>
      <xdr:nvGrpSpPr>
        <xdr:cNvPr id="6" name="Group 5">
          <a:extLst>
            <a:ext uri="{FF2B5EF4-FFF2-40B4-BE49-F238E27FC236}">
              <a16:creationId xmlns:a16="http://schemas.microsoft.com/office/drawing/2014/main" id="{9A3295B9-759B-98F9-B51A-E07542B8E4C8}"/>
            </a:ext>
          </a:extLst>
        </xdr:cNvPr>
        <xdr:cNvGrpSpPr/>
      </xdr:nvGrpSpPr>
      <xdr:grpSpPr>
        <a:xfrm>
          <a:off x="31150147" y="10118739"/>
          <a:ext cx="6739389" cy="5048016"/>
          <a:chOff x="31274828" y="11918173"/>
          <a:chExt cx="4611662" cy="4236716"/>
        </a:xfrm>
      </xdr:grpSpPr>
      <xdr:graphicFrame macro="">
        <xdr:nvGraphicFramePr>
          <xdr:cNvPr id="4" name="Chart 3">
            <a:extLst>
              <a:ext uri="{FF2B5EF4-FFF2-40B4-BE49-F238E27FC236}">
                <a16:creationId xmlns:a16="http://schemas.microsoft.com/office/drawing/2014/main" id="{B90AFC08-23EA-6C46-BD1C-8003DF5B7A44}"/>
              </a:ext>
            </a:extLst>
          </xdr:cNvPr>
          <xdr:cNvGraphicFramePr>
            <a:graphicFrameLocks/>
          </xdr:cNvGraphicFramePr>
        </xdr:nvGraphicFramePr>
        <xdr:xfrm>
          <a:off x="31274828" y="11918173"/>
          <a:ext cx="4611662" cy="423671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6A148599-277A-5A41-9FDD-09B840CE3DDB}"/>
              </a:ext>
            </a:extLst>
          </xdr:cNvPr>
          <xdr:cNvGraphicFramePr>
            <a:graphicFrameLocks/>
          </xdr:cNvGraphicFramePr>
        </xdr:nvGraphicFramePr>
        <xdr:xfrm>
          <a:off x="31359108" y="13062739"/>
          <a:ext cx="3260940" cy="613077"/>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9</xdr:col>
      <xdr:colOff>737420</xdr:colOff>
      <xdr:row>0</xdr:row>
      <xdr:rowOff>0</xdr:rowOff>
    </xdr:from>
    <xdr:to>
      <xdr:col>40</xdr:col>
      <xdr:colOff>77271</xdr:colOff>
      <xdr:row>44</xdr:row>
      <xdr:rowOff>121027</xdr:rowOff>
    </xdr:to>
    <xdr:grpSp>
      <xdr:nvGrpSpPr>
        <xdr:cNvPr id="7" name="Group 6">
          <a:extLst>
            <a:ext uri="{FF2B5EF4-FFF2-40B4-BE49-F238E27FC236}">
              <a16:creationId xmlns:a16="http://schemas.microsoft.com/office/drawing/2014/main" id="{8D6B50D1-F3A0-6D4D-ABA0-5C6ED4C948E7}"/>
            </a:ext>
          </a:extLst>
        </xdr:cNvPr>
        <xdr:cNvGrpSpPr/>
      </xdr:nvGrpSpPr>
      <xdr:grpSpPr>
        <a:xfrm>
          <a:off x="25634212" y="0"/>
          <a:ext cx="24596078" cy="11071782"/>
          <a:chOff x="11675283" y="570896"/>
          <a:chExt cx="24656393" cy="11052626"/>
        </a:xfrm>
      </xdr:grpSpPr>
      <xdr:grpSp>
        <xdr:nvGrpSpPr>
          <xdr:cNvPr id="8" name="Group 7">
            <a:extLst>
              <a:ext uri="{FF2B5EF4-FFF2-40B4-BE49-F238E27FC236}">
                <a16:creationId xmlns:a16="http://schemas.microsoft.com/office/drawing/2014/main" id="{4BED9891-3E95-3A03-1A41-62546329F393}"/>
              </a:ext>
            </a:extLst>
          </xdr:cNvPr>
          <xdr:cNvGrpSpPr/>
        </xdr:nvGrpSpPr>
        <xdr:grpSpPr>
          <a:xfrm>
            <a:off x="11675283" y="570896"/>
            <a:ext cx="24656393" cy="11052626"/>
            <a:chOff x="27639788" y="2483349"/>
            <a:chExt cx="24735012" cy="10800850"/>
          </a:xfrm>
        </xdr:grpSpPr>
        <xdr:grpSp>
          <xdr:nvGrpSpPr>
            <xdr:cNvPr id="11" name="Group 10">
              <a:extLst>
                <a:ext uri="{FF2B5EF4-FFF2-40B4-BE49-F238E27FC236}">
                  <a16:creationId xmlns:a16="http://schemas.microsoft.com/office/drawing/2014/main" id="{EBBDF347-6780-0CE2-FBA9-E5BB0BDCD41D}"/>
                </a:ext>
              </a:extLst>
            </xdr:cNvPr>
            <xdr:cNvGrpSpPr/>
          </xdr:nvGrpSpPr>
          <xdr:grpSpPr>
            <a:xfrm>
              <a:off x="27639788" y="2483349"/>
              <a:ext cx="24735012" cy="10800850"/>
              <a:chOff x="29443188" y="-3638051"/>
              <a:chExt cx="24735012" cy="10800850"/>
            </a:xfrm>
          </xdr:grpSpPr>
          <xdr:grpSp>
            <xdr:nvGrpSpPr>
              <xdr:cNvPr id="14" name="Group 13">
                <a:extLst>
                  <a:ext uri="{FF2B5EF4-FFF2-40B4-BE49-F238E27FC236}">
                    <a16:creationId xmlns:a16="http://schemas.microsoft.com/office/drawing/2014/main" id="{B4D11D92-3214-5349-E277-32E2267D60F6}"/>
                  </a:ext>
                </a:extLst>
              </xdr:cNvPr>
              <xdr:cNvGrpSpPr/>
            </xdr:nvGrpSpPr>
            <xdr:grpSpPr>
              <a:xfrm>
                <a:off x="29443188" y="-3638051"/>
                <a:ext cx="24735012" cy="10800850"/>
                <a:chOff x="29443188" y="-3638051"/>
                <a:chExt cx="24735012" cy="10800850"/>
              </a:xfrm>
            </xdr:grpSpPr>
            <xdr:grpSp>
              <xdr:nvGrpSpPr>
                <xdr:cNvPr id="16" name="Group 15">
                  <a:extLst>
                    <a:ext uri="{FF2B5EF4-FFF2-40B4-BE49-F238E27FC236}">
                      <a16:creationId xmlns:a16="http://schemas.microsoft.com/office/drawing/2014/main" id="{B5EC9F51-AC93-6177-EB0C-84E0175F7590}"/>
                    </a:ext>
                  </a:extLst>
                </xdr:cNvPr>
                <xdr:cNvGrpSpPr/>
              </xdr:nvGrpSpPr>
              <xdr:grpSpPr>
                <a:xfrm>
                  <a:off x="29443188" y="-3638051"/>
                  <a:ext cx="24735012" cy="10800850"/>
                  <a:chOff x="26873197" y="-4106952"/>
                  <a:chExt cx="24268649" cy="11317803"/>
                </a:xfrm>
              </xdr:grpSpPr>
              <xdr:grpSp>
                <xdr:nvGrpSpPr>
                  <xdr:cNvPr id="27" name="Group 26">
                    <a:extLst>
                      <a:ext uri="{FF2B5EF4-FFF2-40B4-BE49-F238E27FC236}">
                        <a16:creationId xmlns:a16="http://schemas.microsoft.com/office/drawing/2014/main" id="{A936AE1A-945E-0605-0355-B83BDE78B1D7}"/>
                      </a:ext>
                    </a:extLst>
                  </xdr:cNvPr>
                  <xdr:cNvGrpSpPr/>
                </xdr:nvGrpSpPr>
                <xdr:grpSpPr>
                  <a:xfrm>
                    <a:off x="26873197" y="-4106952"/>
                    <a:ext cx="24268649" cy="11317803"/>
                    <a:chOff x="17668771" y="-4555483"/>
                    <a:chExt cx="24511322" cy="12358597"/>
                  </a:xfrm>
                </xdr:grpSpPr>
                <xdr:grpSp>
                  <xdr:nvGrpSpPr>
                    <xdr:cNvPr id="34" name="Group 33">
                      <a:extLst>
                        <a:ext uri="{FF2B5EF4-FFF2-40B4-BE49-F238E27FC236}">
                          <a16:creationId xmlns:a16="http://schemas.microsoft.com/office/drawing/2014/main" id="{54C8B130-7335-DA35-9CC7-076437642FD1}"/>
                        </a:ext>
                      </a:extLst>
                    </xdr:cNvPr>
                    <xdr:cNvGrpSpPr/>
                  </xdr:nvGrpSpPr>
                  <xdr:grpSpPr>
                    <a:xfrm>
                      <a:off x="17668771" y="-4555483"/>
                      <a:ext cx="24511322" cy="12358597"/>
                      <a:chOff x="11533410" y="-3018868"/>
                      <a:chExt cx="24265319" cy="11333214"/>
                    </a:xfrm>
                  </xdr:grpSpPr>
                  <xdr:sp macro="" textlink="">
                    <xdr:nvSpPr>
                      <xdr:cNvPr id="62" name="Rectangle 61">
                        <a:extLst>
                          <a:ext uri="{FF2B5EF4-FFF2-40B4-BE49-F238E27FC236}">
                            <a16:creationId xmlns:a16="http://schemas.microsoft.com/office/drawing/2014/main" id="{82D1D81B-F425-E0DC-05A2-2218489E5769}"/>
                          </a:ext>
                        </a:extLst>
                      </xdr:cNvPr>
                      <xdr:cNvSpPr/>
                    </xdr:nvSpPr>
                    <xdr:spPr>
                      <a:xfrm>
                        <a:off x="11533410" y="-3018868"/>
                        <a:ext cx="24265319" cy="1133321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a:p>
                        <a:pPr algn="l"/>
                        <a:endParaRPr lang="en-US" sz="1100"/>
                      </a:p>
                      <a:p>
                        <a:pPr algn="l"/>
                        <a:endParaRPr lang="en-US" sz="1100"/>
                      </a:p>
                    </xdr:txBody>
                  </xdr:sp>
                  <xdr:graphicFrame macro="">
                    <xdr:nvGraphicFramePr>
                      <xdr:cNvPr id="63" name="Chart 62">
                        <a:extLst>
                          <a:ext uri="{FF2B5EF4-FFF2-40B4-BE49-F238E27FC236}">
                            <a16:creationId xmlns:a16="http://schemas.microsoft.com/office/drawing/2014/main" id="{4DC24D85-9F41-A1F6-E0AA-237EA4BB0F44}"/>
                          </a:ext>
                        </a:extLst>
                      </xdr:cNvPr>
                      <xdr:cNvGraphicFramePr/>
                    </xdr:nvGraphicFramePr>
                    <xdr:xfrm>
                      <a:off x="16762016" y="2607466"/>
                      <a:ext cx="4590918" cy="561666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64" name="TextBox 63">
                        <a:extLst>
                          <a:ext uri="{FF2B5EF4-FFF2-40B4-BE49-F238E27FC236}">
                            <a16:creationId xmlns:a16="http://schemas.microsoft.com/office/drawing/2014/main" id="{D4801689-58B7-160B-3DCC-0E530A9F51DB}"/>
                          </a:ext>
                        </a:extLst>
                      </xdr:cNvPr>
                      <xdr:cNvSpPr txBox="1"/>
                    </xdr:nvSpPr>
                    <xdr:spPr>
                      <a:xfrm>
                        <a:off x="16223749" y="4539351"/>
                        <a:ext cx="3275833" cy="561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75000"/>
                              </a:schemeClr>
                            </a:solidFill>
                            <a:latin typeface="Arial" panose="020B0604020202020204" pitchFamily="34" charset="0"/>
                            <a:cs typeface="Arial" panose="020B0604020202020204" pitchFamily="34" charset="0"/>
                          </a:rPr>
                          <a:t>-24,3</a:t>
                        </a:r>
                        <a:r>
                          <a:rPr lang="en-US" sz="1800" b="1" baseline="0">
                            <a:solidFill>
                              <a:schemeClr val="accent1">
                                <a:lumMod val="75000"/>
                              </a:schemeClr>
                            </a:solidFill>
                            <a:latin typeface="Arial" panose="020B0604020202020204" pitchFamily="34" charset="0"/>
                            <a:cs typeface="Arial" panose="020B0604020202020204" pitchFamily="34" charset="0"/>
                          </a:rPr>
                          <a:t> T</a:t>
                        </a:r>
                      </a:p>
                      <a:p>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xdr:txBody>
                  </xdr:sp>
                  <xdr:sp macro="" textlink="">
                    <xdr:nvSpPr>
                      <xdr:cNvPr id="65" name="TextBox 64">
                        <a:extLst>
                          <a:ext uri="{FF2B5EF4-FFF2-40B4-BE49-F238E27FC236}">
                            <a16:creationId xmlns:a16="http://schemas.microsoft.com/office/drawing/2014/main" id="{47DE275E-7C50-5DE2-C393-58CD72D4B13C}"/>
                          </a:ext>
                        </a:extLst>
                      </xdr:cNvPr>
                      <xdr:cNvSpPr txBox="1"/>
                    </xdr:nvSpPr>
                    <xdr:spPr>
                      <a:xfrm>
                        <a:off x="16954175" y="3438602"/>
                        <a:ext cx="3222884" cy="4275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65000"/>
                                <a:lumOff val="35000"/>
                              </a:schemeClr>
                            </a:solidFill>
                            <a:latin typeface="Arial" panose="020B0604020202020204" pitchFamily="34" charset="0"/>
                            <a:cs typeface="Arial" panose="020B0604020202020204" pitchFamily="34" charset="0"/>
                          </a:rPr>
                          <a:t>Gross Profit (EBITDA)</a:t>
                        </a:r>
                      </a:p>
                      <a:p>
                        <a:r>
                          <a:rPr lang="en-US" sz="800">
                            <a:solidFill>
                              <a:schemeClr val="bg2">
                                <a:lumMod val="75000"/>
                              </a:schemeClr>
                            </a:solidFill>
                            <a:latin typeface="Arial" panose="020B0604020202020204" pitchFamily="34" charset="0"/>
                            <a:cs typeface="Arial" panose="020B0604020202020204" pitchFamily="34" charset="0"/>
                          </a:rPr>
                          <a:t>vs YTD PY</a:t>
                        </a:r>
                      </a:p>
                    </xdr:txBody>
                  </xdr:sp>
                </xdr:grpSp>
                <xdr:graphicFrame macro="">
                  <xdr:nvGraphicFramePr>
                    <xdr:cNvPr id="61" name="Chart 60">
                      <a:extLst>
                        <a:ext uri="{FF2B5EF4-FFF2-40B4-BE49-F238E27FC236}">
                          <a16:creationId xmlns:a16="http://schemas.microsoft.com/office/drawing/2014/main" id="{B293DB1F-BE22-0726-AD71-B10B928448F5}"/>
                        </a:ext>
                      </a:extLst>
                    </xdr:cNvPr>
                    <xdr:cNvGraphicFramePr/>
                  </xdr:nvGraphicFramePr>
                  <xdr:xfrm>
                    <a:off x="23159254" y="2873510"/>
                    <a:ext cx="4679397" cy="672327"/>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28" name="Group 27">
                    <a:extLst>
                      <a:ext uri="{FF2B5EF4-FFF2-40B4-BE49-F238E27FC236}">
                        <a16:creationId xmlns:a16="http://schemas.microsoft.com/office/drawing/2014/main" id="{8ABFB3D1-ED0F-4E00-3B2D-144B642FD543}"/>
                      </a:ext>
                    </a:extLst>
                  </xdr:cNvPr>
                  <xdr:cNvGrpSpPr/>
                </xdr:nvGrpSpPr>
                <xdr:grpSpPr>
                  <a:xfrm>
                    <a:off x="27451297" y="1527841"/>
                    <a:ext cx="4575249" cy="4445689"/>
                    <a:chOff x="27595230" y="1629441"/>
                    <a:chExt cx="4617583" cy="4835156"/>
                  </a:xfrm>
                </xdr:grpSpPr>
                <xdr:graphicFrame macro="">
                  <xdr:nvGraphicFramePr>
                    <xdr:cNvPr id="29" name="Chart 28">
                      <a:extLst>
                        <a:ext uri="{FF2B5EF4-FFF2-40B4-BE49-F238E27FC236}">
                          <a16:creationId xmlns:a16="http://schemas.microsoft.com/office/drawing/2014/main" id="{CC9DF645-B0E5-8D55-61A0-B8C25808B7EC}"/>
                        </a:ext>
                      </a:extLst>
                    </xdr:cNvPr>
                    <xdr:cNvGraphicFramePr/>
                  </xdr:nvGraphicFramePr>
                  <xdr:xfrm>
                    <a:off x="27595230" y="1629441"/>
                    <a:ext cx="4617583" cy="483515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0" name="Chart 29">
                      <a:extLst>
                        <a:ext uri="{FF2B5EF4-FFF2-40B4-BE49-F238E27FC236}">
                          <a16:creationId xmlns:a16="http://schemas.microsoft.com/office/drawing/2014/main" id="{4ABFF991-5E51-AEB3-007C-B1F1C6505621}"/>
                        </a:ext>
                      </a:extLst>
                    </xdr:cNvPr>
                    <xdr:cNvGraphicFramePr>
                      <a:graphicFrameLocks/>
                    </xdr:cNvGraphicFramePr>
                  </xdr:nvGraphicFramePr>
                  <xdr:xfrm>
                    <a:off x="27609447" y="2861184"/>
                    <a:ext cx="4271563" cy="759661"/>
                  </xdr:xfrm>
                  <a:graphic>
                    <a:graphicData uri="http://schemas.openxmlformats.org/drawingml/2006/chart">
                      <c:chart xmlns:c="http://schemas.openxmlformats.org/drawingml/2006/chart" xmlns:r="http://schemas.openxmlformats.org/officeDocument/2006/relationships" r:id="rId6"/>
                    </a:graphicData>
                  </a:graphic>
                </xdr:graphicFrame>
              </xdr:grpSp>
            </xdr:grpSp>
            <xdr:grpSp>
              <xdr:nvGrpSpPr>
                <xdr:cNvPr id="17" name="Group 16">
                  <a:extLst>
                    <a:ext uri="{FF2B5EF4-FFF2-40B4-BE49-F238E27FC236}">
                      <a16:creationId xmlns:a16="http://schemas.microsoft.com/office/drawing/2014/main" id="{DDDA2D57-1CDE-CCBE-340A-CECA6D2BD924}"/>
                    </a:ext>
                  </a:extLst>
                </xdr:cNvPr>
                <xdr:cNvGrpSpPr/>
              </xdr:nvGrpSpPr>
              <xdr:grpSpPr>
                <a:xfrm>
                  <a:off x="39962668" y="1723328"/>
                  <a:ext cx="13746535" cy="4246968"/>
                  <a:chOff x="39751001" y="1782595"/>
                  <a:chExt cx="13602602" cy="4450168"/>
                </a:xfrm>
              </xdr:grpSpPr>
              <xdr:grpSp>
                <xdr:nvGrpSpPr>
                  <xdr:cNvPr id="18" name="Group 17">
                    <a:extLst>
                      <a:ext uri="{FF2B5EF4-FFF2-40B4-BE49-F238E27FC236}">
                        <a16:creationId xmlns:a16="http://schemas.microsoft.com/office/drawing/2014/main" id="{A4308189-BB7F-4AFA-7BAF-3F4D7E0F760E}"/>
                      </a:ext>
                    </a:extLst>
                  </xdr:cNvPr>
                  <xdr:cNvGrpSpPr/>
                </xdr:nvGrpSpPr>
                <xdr:grpSpPr>
                  <a:xfrm>
                    <a:off x="39751001" y="1786467"/>
                    <a:ext cx="4552854" cy="4446296"/>
                    <a:chOff x="19439557" y="6933090"/>
                    <a:chExt cx="4602816" cy="4852696"/>
                  </a:xfrm>
                </xdr:grpSpPr>
                <xdr:graphicFrame macro="">
                  <xdr:nvGraphicFramePr>
                    <xdr:cNvPr id="25" name="Chart 24">
                      <a:extLst>
                        <a:ext uri="{FF2B5EF4-FFF2-40B4-BE49-F238E27FC236}">
                          <a16:creationId xmlns:a16="http://schemas.microsoft.com/office/drawing/2014/main" id="{61B76DC4-4DD1-2DD2-639F-A17D95925066}"/>
                        </a:ext>
                      </a:extLst>
                    </xdr:cNvPr>
                    <xdr:cNvGraphicFramePr>
                      <a:graphicFrameLocks/>
                    </xdr:cNvGraphicFramePr>
                  </xdr:nvGraphicFramePr>
                  <xdr:xfrm>
                    <a:off x="19439557" y="6933090"/>
                    <a:ext cx="4602816" cy="485269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6" name="Chart 25">
                      <a:extLst>
                        <a:ext uri="{FF2B5EF4-FFF2-40B4-BE49-F238E27FC236}">
                          <a16:creationId xmlns:a16="http://schemas.microsoft.com/office/drawing/2014/main" id="{C9F2EF20-74FD-0CAA-F4C6-1277775E1285}"/>
                        </a:ext>
                      </a:extLst>
                    </xdr:cNvPr>
                    <xdr:cNvGraphicFramePr>
                      <a:graphicFrameLocks/>
                    </xdr:cNvGraphicFramePr>
                  </xdr:nvGraphicFramePr>
                  <xdr:xfrm>
                    <a:off x="19440429" y="8178639"/>
                    <a:ext cx="4363553" cy="765329"/>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19" name="Group 18">
                    <a:extLst>
                      <a:ext uri="{FF2B5EF4-FFF2-40B4-BE49-F238E27FC236}">
                        <a16:creationId xmlns:a16="http://schemas.microsoft.com/office/drawing/2014/main" id="{49022A21-D68C-EEA6-F07E-9807688BD212}"/>
                      </a:ext>
                    </a:extLst>
                  </xdr:cNvPr>
                  <xdr:cNvGrpSpPr/>
                </xdr:nvGrpSpPr>
                <xdr:grpSpPr>
                  <a:xfrm>
                    <a:off x="44326045" y="1785569"/>
                    <a:ext cx="4550680" cy="4446296"/>
                    <a:chOff x="19439557" y="6933091"/>
                    <a:chExt cx="4602816" cy="4852696"/>
                  </a:xfrm>
                </xdr:grpSpPr>
                <xdr:graphicFrame macro="">
                  <xdr:nvGraphicFramePr>
                    <xdr:cNvPr id="23" name="Chart 22">
                      <a:extLst>
                        <a:ext uri="{FF2B5EF4-FFF2-40B4-BE49-F238E27FC236}">
                          <a16:creationId xmlns:a16="http://schemas.microsoft.com/office/drawing/2014/main" id="{33AE13A8-EEE0-DFAC-3614-11DB33CC5B3C}"/>
                        </a:ext>
                      </a:extLst>
                    </xdr:cNvPr>
                    <xdr:cNvGraphicFramePr>
                      <a:graphicFrameLocks/>
                    </xdr:cNvGraphicFramePr>
                  </xdr:nvGraphicFramePr>
                  <xdr:xfrm>
                    <a:off x="19439557" y="6933091"/>
                    <a:ext cx="4602816" cy="485269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4" name="Chart 23">
                      <a:extLst>
                        <a:ext uri="{FF2B5EF4-FFF2-40B4-BE49-F238E27FC236}">
                          <a16:creationId xmlns:a16="http://schemas.microsoft.com/office/drawing/2014/main" id="{F70300D8-9662-04CF-1223-C59913BEDC3E}"/>
                        </a:ext>
                      </a:extLst>
                    </xdr:cNvPr>
                    <xdr:cNvGraphicFramePr>
                      <a:graphicFrameLocks/>
                    </xdr:cNvGraphicFramePr>
                  </xdr:nvGraphicFramePr>
                  <xdr:xfrm>
                    <a:off x="19440429" y="8178639"/>
                    <a:ext cx="4543355" cy="765329"/>
                  </xdr:xfrm>
                  <a:graphic>
                    <a:graphicData uri="http://schemas.openxmlformats.org/drawingml/2006/chart">
                      <c:chart xmlns:c="http://schemas.openxmlformats.org/drawingml/2006/chart" xmlns:r="http://schemas.openxmlformats.org/officeDocument/2006/relationships" r:id="rId10"/>
                    </a:graphicData>
                  </a:graphic>
                </xdr:graphicFrame>
              </xdr:grpSp>
              <xdr:grpSp>
                <xdr:nvGrpSpPr>
                  <xdr:cNvPr id="20" name="Group 19">
                    <a:extLst>
                      <a:ext uri="{FF2B5EF4-FFF2-40B4-BE49-F238E27FC236}">
                        <a16:creationId xmlns:a16="http://schemas.microsoft.com/office/drawing/2014/main" id="{0BECD4AB-577B-5A1F-F256-AC4FE8241DCE}"/>
                      </a:ext>
                    </a:extLst>
                  </xdr:cNvPr>
                  <xdr:cNvGrpSpPr/>
                </xdr:nvGrpSpPr>
                <xdr:grpSpPr>
                  <a:xfrm>
                    <a:off x="48721610" y="1782595"/>
                    <a:ext cx="4631993" cy="4446296"/>
                    <a:chOff x="19439557" y="6933091"/>
                    <a:chExt cx="4673157" cy="4852696"/>
                  </a:xfrm>
                </xdr:grpSpPr>
                <xdr:graphicFrame macro="">
                  <xdr:nvGraphicFramePr>
                    <xdr:cNvPr id="21" name="Chart 20">
                      <a:extLst>
                        <a:ext uri="{FF2B5EF4-FFF2-40B4-BE49-F238E27FC236}">
                          <a16:creationId xmlns:a16="http://schemas.microsoft.com/office/drawing/2014/main" id="{DE332D4A-036F-5DE7-05FA-59DCAF019D5F}"/>
                        </a:ext>
                      </a:extLst>
                    </xdr:cNvPr>
                    <xdr:cNvGraphicFramePr>
                      <a:graphicFrameLocks/>
                    </xdr:cNvGraphicFramePr>
                  </xdr:nvGraphicFramePr>
                  <xdr:xfrm>
                    <a:off x="19439557" y="6933091"/>
                    <a:ext cx="4602816" cy="4852696"/>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2" name="Chart 21">
                      <a:extLst>
                        <a:ext uri="{FF2B5EF4-FFF2-40B4-BE49-F238E27FC236}">
                          <a16:creationId xmlns:a16="http://schemas.microsoft.com/office/drawing/2014/main" id="{77A1F674-30A3-D0B8-2F04-9617ED6D57CB}"/>
                        </a:ext>
                      </a:extLst>
                    </xdr:cNvPr>
                    <xdr:cNvGraphicFramePr>
                      <a:graphicFrameLocks/>
                    </xdr:cNvGraphicFramePr>
                  </xdr:nvGraphicFramePr>
                  <xdr:xfrm>
                    <a:off x="19440428" y="8178639"/>
                    <a:ext cx="4672286" cy="765329"/>
                  </xdr:xfrm>
                  <a:graphic>
                    <a:graphicData uri="http://schemas.openxmlformats.org/drawingml/2006/chart">
                      <c:chart xmlns:c="http://schemas.openxmlformats.org/drawingml/2006/chart" xmlns:r="http://schemas.openxmlformats.org/officeDocument/2006/relationships" r:id="rId12"/>
                    </a:graphicData>
                  </a:graphic>
                </xdr:graphicFrame>
              </xdr:grpSp>
            </xdr:grpSp>
          </xdr:grpSp>
          <xdr:sp macro="" textlink="">
            <xdr:nvSpPr>
              <xdr:cNvPr id="15" name="TextBox 14">
                <a:extLst>
                  <a:ext uri="{FF2B5EF4-FFF2-40B4-BE49-F238E27FC236}">
                    <a16:creationId xmlns:a16="http://schemas.microsoft.com/office/drawing/2014/main" id="{D247FD74-34B4-301D-4BDA-C696EC86FDF6}"/>
                  </a:ext>
                </a:extLst>
              </xdr:cNvPr>
              <xdr:cNvSpPr txBox="1"/>
            </xdr:nvSpPr>
            <xdr:spPr>
              <a:xfrm>
                <a:off x="29997400" y="1930400"/>
                <a:ext cx="43942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65000"/>
                        <a:lumOff val="35000"/>
                      </a:schemeClr>
                    </a:solidFill>
                  </a:rPr>
                  <a:t>HORIZONTAL ANALYSIS</a:t>
                </a:r>
              </a:p>
            </xdr:txBody>
          </xdr:sp>
        </xdr:grpSp>
        <xdr:graphicFrame macro="">
          <xdr:nvGraphicFramePr>
            <xdr:cNvPr id="12" name="Chart 11">
              <a:extLst>
                <a:ext uri="{FF2B5EF4-FFF2-40B4-BE49-F238E27FC236}">
                  <a16:creationId xmlns:a16="http://schemas.microsoft.com/office/drawing/2014/main" id="{DF874D04-0642-3B93-C3F4-514DCE86CCF9}"/>
                </a:ext>
              </a:extLst>
            </xdr:cNvPr>
            <xdr:cNvGraphicFramePr/>
          </xdr:nvGraphicFramePr>
          <xdr:xfrm>
            <a:off x="28101666" y="3185873"/>
            <a:ext cx="5189175" cy="3893474"/>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13" name="TextBox 12">
              <a:extLst>
                <a:ext uri="{FF2B5EF4-FFF2-40B4-BE49-F238E27FC236}">
                  <a16:creationId xmlns:a16="http://schemas.microsoft.com/office/drawing/2014/main" id="{FA8B7F08-2D8D-3679-722B-E6B85307ADAF}"/>
                </a:ext>
              </a:extLst>
            </xdr:cNvPr>
            <xdr:cNvSpPr txBox="1"/>
          </xdr:nvSpPr>
          <xdr:spPr>
            <a:xfrm>
              <a:off x="28311298" y="3218162"/>
              <a:ext cx="43942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65000"/>
                      <a:lumOff val="35000"/>
                    </a:schemeClr>
                  </a:solidFill>
                </a:rPr>
                <a:t>VERTICLA ANALYSIS</a:t>
              </a:r>
            </a:p>
          </xdr:txBody>
        </xdr:sp>
      </xdr:grpSp>
      <xdr:graphicFrame macro="">
        <xdr:nvGraphicFramePr>
          <xdr:cNvPr id="9" name="Chart 8">
            <a:extLst>
              <a:ext uri="{FF2B5EF4-FFF2-40B4-BE49-F238E27FC236}">
                <a16:creationId xmlns:a16="http://schemas.microsoft.com/office/drawing/2014/main" id="{DB8C6567-65CD-28CE-AD46-6ED7E1E7ACB3}"/>
              </a:ext>
            </a:extLst>
          </xdr:cNvPr>
          <xdr:cNvGraphicFramePr>
            <a:graphicFrameLocks/>
          </xdr:cNvGraphicFramePr>
        </xdr:nvGraphicFramePr>
        <xdr:xfrm>
          <a:off x="17534205" y="1548254"/>
          <a:ext cx="9812775" cy="3523100"/>
        </xdr:xfrm>
        <a:graphic>
          <a:graphicData uri="http://schemas.openxmlformats.org/drawingml/2006/chart">
            <c:chart xmlns:c="http://schemas.openxmlformats.org/drawingml/2006/chart" xmlns:r="http://schemas.openxmlformats.org/officeDocument/2006/relationships" r:id="rId14"/>
          </a:graphicData>
        </a:graphic>
      </xdr:graphicFrame>
      <mc:AlternateContent xmlns:mc="http://schemas.openxmlformats.org/markup-compatibility/2006">
        <mc:Choice xmlns:a14="http://schemas.microsoft.com/office/drawing/2010/main" Requires="a14">
          <xdr:graphicFrame macro="">
            <xdr:nvGraphicFramePr>
              <xdr:cNvPr id="10" name="Year 7">
                <a:extLst>
                  <a:ext uri="{FF2B5EF4-FFF2-40B4-BE49-F238E27FC236}">
                    <a16:creationId xmlns:a16="http://schemas.microsoft.com/office/drawing/2014/main" id="{FF51D0AA-4073-5866-497F-E5D54FE213D5}"/>
                  </a:ext>
                </a:extLst>
              </xdr:cNvPr>
              <xdr:cNvGraphicFramePr/>
            </xdr:nvGraphicFramePr>
            <xdr:xfrm>
              <a:off x="18299190" y="5055281"/>
              <a:ext cx="7245954" cy="924605"/>
            </xdr:xfrm>
            <a:graphic>
              <a:graphicData uri="http://schemas.microsoft.com/office/drawing/2010/slicer">
                <sle:slicer xmlns:sle="http://schemas.microsoft.com/office/drawing/2010/slicer" name="Year 7"/>
              </a:graphicData>
            </a:graphic>
          </xdr:graphicFrame>
        </mc:Choice>
        <mc:Fallback>
          <xdr:sp macro="" textlink="">
            <xdr:nvSpPr>
              <xdr:cNvPr id="0" name=""/>
              <xdr:cNvSpPr>
                <a:spLocks noTextEdit="1"/>
              </xdr:cNvSpPr>
            </xdr:nvSpPr>
            <xdr:spPr>
              <a:xfrm>
                <a:off x="32241915" y="4492157"/>
                <a:ext cx="7228229" cy="926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22</xdr:col>
      <xdr:colOff>744095</xdr:colOff>
      <xdr:row>40</xdr:row>
      <xdr:rowOff>124918</xdr:rowOff>
    </xdr:from>
    <xdr:to>
      <xdr:col>28</xdr:col>
      <xdr:colOff>489444</xdr:colOff>
      <xdr:row>67</xdr:row>
      <xdr:rowOff>104098</xdr:rowOff>
    </xdr:to>
    <xdr:grpSp>
      <xdr:nvGrpSpPr>
        <xdr:cNvPr id="69" name="Group 68">
          <a:extLst>
            <a:ext uri="{FF2B5EF4-FFF2-40B4-BE49-F238E27FC236}">
              <a16:creationId xmlns:a16="http://schemas.microsoft.com/office/drawing/2014/main" id="{0EBAB0F1-34FD-B4DF-6F2F-4742E45BEC64}"/>
            </a:ext>
          </a:extLst>
        </xdr:cNvPr>
        <xdr:cNvGrpSpPr/>
      </xdr:nvGrpSpPr>
      <xdr:grpSpPr>
        <a:xfrm>
          <a:off x="36232208" y="10404729"/>
          <a:ext cx="4633651" cy="4508048"/>
          <a:chOff x="36871639" y="10742951"/>
          <a:chExt cx="4742071" cy="4401247"/>
        </a:xfrm>
      </xdr:grpSpPr>
      <xdr:graphicFrame macro="">
        <xdr:nvGraphicFramePr>
          <xdr:cNvPr id="67" name="Chart 66">
            <a:extLst>
              <a:ext uri="{FF2B5EF4-FFF2-40B4-BE49-F238E27FC236}">
                <a16:creationId xmlns:a16="http://schemas.microsoft.com/office/drawing/2014/main" id="{8551B806-0580-624D-AEFF-04EFC95697DD}"/>
              </a:ext>
            </a:extLst>
          </xdr:cNvPr>
          <xdr:cNvGraphicFramePr>
            <a:graphicFrameLocks/>
          </xdr:cNvGraphicFramePr>
        </xdr:nvGraphicFramePr>
        <xdr:xfrm>
          <a:off x="36871639" y="10742951"/>
          <a:ext cx="4742071" cy="4401247"/>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68" name="Chart 67">
            <a:extLst>
              <a:ext uri="{FF2B5EF4-FFF2-40B4-BE49-F238E27FC236}">
                <a16:creationId xmlns:a16="http://schemas.microsoft.com/office/drawing/2014/main" id="{8E0022E4-1EE1-E940-A9AD-F45617FEDF8F}"/>
              </a:ext>
            </a:extLst>
          </xdr:cNvPr>
          <xdr:cNvGraphicFramePr>
            <a:graphicFrameLocks/>
          </xdr:cNvGraphicFramePr>
        </xdr:nvGraphicFramePr>
        <xdr:xfrm>
          <a:off x="36886317" y="11797795"/>
          <a:ext cx="4384819" cy="745666"/>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28</xdr:col>
      <xdr:colOff>279400</xdr:colOff>
      <xdr:row>43</xdr:row>
      <xdr:rowOff>25400</xdr:rowOff>
    </xdr:from>
    <xdr:to>
      <xdr:col>34</xdr:col>
      <xdr:colOff>68909</xdr:colOff>
      <xdr:row>67</xdr:row>
      <xdr:rowOff>96384</xdr:rowOff>
    </xdr:to>
    <xdr:graphicFrame macro="">
      <xdr:nvGraphicFramePr>
        <xdr:cNvPr id="70" name="Chart 69">
          <a:extLst>
            <a:ext uri="{FF2B5EF4-FFF2-40B4-BE49-F238E27FC236}">
              <a16:creationId xmlns:a16="http://schemas.microsoft.com/office/drawing/2014/main" id="{C04B654C-6220-7941-AF11-77BAFE2D7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28</xdr:col>
      <xdr:colOff>294078</xdr:colOff>
      <xdr:row>46</xdr:row>
      <xdr:rowOff>165101</xdr:rowOff>
    </xdr:from>
    <xdr:to>
      <xdr:col>34</xdr:col>
      <xdr:colOff>38100</xdr:colOff>
      <xdr:row>51</xdr:row>
      <xdr:rowOff>127001</xdr:rowOff>
    </xdr:to>
    <xdr:graphicFrame macro="">
      <xdr:nvGraphicFramePr>
        <xdr:cNvPr id="71" name="Chart 70">
          <a:extLst>
            <a:ext uri="{FF2B5EF4-FFF2-40B4-BE49-F238E27FC236}">
              <a16:creationId xmlns:a16="http://schemas.microsoft.com/office/drawing/2014/main" id="{F5C05CF7-CC68-714B-817C-673AA21AE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155959</xdr:colOff>
      <xdr:row>1</xdr:row>
      <xdr:rowOff>338678</xdr:rowOff>
    </xdr:from>
    <xdr:to>
      <xdr:col>31</xdr:col>
      <xdr:colOff>232687</xdr:colOff>
      <xdr:row>53</xdr:row>
      <xdr:rowOff>286256</xdr:rowOff>
    </xdr:to>
    <xdr:grpSp>
      <xdr:nvGrpSpPr>
        <xdr:cNvPr id="32" name="Group 31">
          <a:extLst>
            <a:ext uri="{FF2B5EF4-FFF2-40B4-BE49-F238E27FC236}">
              <a16:creationId xmlns:a16="http://schemas.microsoft.com/office/drawing/2014/main" id="{00000000-0008-0000-0100-000020000000}"/>
            </a:ext>
          </a:extLst>
        </xdr:cNvPr>
        <xdr:cNvGrpSpPr/>
      </xdr:nvGrpSpPr>
      <xdr:grpSpPr>
        <a:xfrm>
          <a:off x="23717801" y="1073941"/>
          <a:ext cx="17622781" cy="16089947"/>
          <a:chOff x="21700283" y="1737508"/>
          <a:chExt cx="17576800" cy="15573481"/>
        </a:xfrm>
      </xdr:grpSpPr>
      <xdr:grpSp>
        <xdr:nvGrpSpPr>
          <xdr:cNvPr id="33" name="Group 32">
            <a:extLst>
              <a:ext uri="{FF2B5EF4-FFF2-40B4-BE49-F238E27FC236}">
                <a16:creationId xmlns:a16="http://schemas.microsoft.com/office/drawing/2014/main" id="{00000000-0008-0000-0100-000021000000}"/>
              </a:ext>
            </a:extLst>
          </xdr:cNvPr>
          <xdr:cNvGrpSpPr/>
        </xdr:nvGrpSpPr>
        <xdr:grpSpPr>
          <a:xfrm>
            <a:off x="21700283" y="1737508"/>
            <a:ext cx="17576800" cy="15573481"/>
            <a:chOff x="21700283" y="1737508"/>
            <a:chExt cx="17576800" cy="15573481"/>
          </a:xfrm>
        </xdr:grpSpPr>
        <xdr:sp macro="" textlink="">
          <xdr:nvSpPr>
            <xdr:cNvPr id="36" name="Rectangle 35">
              <a:extLst>
                <a:ext uri="{FF2B5EF4-FFF2-40B4-BE49-F238E27FC236}">
                  <a16:creationId xmlns:a16="http://schemas.microsoft.com/office/drawing/2014/main" id="{00000000-0008-0000-0100-000024000000}"/>
                </a:ext>
              </a:extLst>
            </xdr:cNvPr>
            <xdr:cNvSpPr/>
          </xdr:nvSpPr>
          <xdr:spPr>
            <a:xfrm>
              <a:off x="21700283" y="1737508"/>
              <a:ext cx="17576800" cy="1553239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7" name="Group 36">
              <a:extLst>
                <a:ext uri="{FF2B5EF4-FFF2-40B4-BE49-F238E27FC236}">
                  <a16:creationId xmlns:a16="http://schemas.microsoft.com/office/drawing/2014/main" id="{00000000-0008-0000-0100-000025000000}"/>
                </a:ext>
              </a:extLst>
            </xdr:cNvPr>
            <xdr:cNvGrpSpPr/>
          </xdr:nvGrpSpPr>
          <xdr:grpSpPr>
            <a:xfrm>
              <a:off x="22697888" y="9299685"/>
              <a:ext cx="13649513" cy="8011304"/>
              <a:chOff x="22640738" y="9801335"/>
              <a:chExt cx="13833663" cy="9135254"/>
            </a:xfrm>
          </xdr:grpSpPr>
          <xdr:grpSp>
            <xdr:nvGrpSpPr>
              <xdr:cNvPr id="44" name="Group 43">
                <a:extLst>
                  <a:ext uri="{FF2B5EF4-FFF2-40B4-BE49-F238E27FC236}">
                    <a16:creationId xmlns:a16="http://schemas.microsoft.com/office/drawing/2014/main" id="{00000000-0008-0000-0100-00002C000000}"/>
                  </a:ext>
                </a:extLst>
              </xdr:cNvPr>
              <xdr:cNvGrpSpPr/>
            </xdr:nvGrpSpPr>
            <xdr:grpSpPr>
              <a:xfrm>
                <a:off x="22694901" y="9817100"/>
                <a:ext cx="4555377" cy="4582911"/>
                <a:chOff x="19439558" y="6933091"/>
                <a:chExt cx="4602816" cy="4852696"/>
              </a:xfrm>
            </xdr:grpSpPr>
            <xdr:graphicFrame macro="">
              <xdr:nvGraphicFramePr>
                <xdr:cNvPr id="60" name="Chart 59">
                  <a:extLst>
                    <a:ext uri="{FF2B5EF4-FFF2-40B4-BE49-F238E27FC236}">
                      <a16:creationId xmlns:a16="http://schemas.microsoft.com/office/drawing/2014/main" id="{00000000-0008-0000-0100-00003C000000}"/>
                    </a:ext>
                  </a:extLst>
                </xdr:cNvPr>
                <xdr:cNvGraphicFramePr>
                  <a:graphicFrameLocks/>
                </xdr:cNvGraphicFramePr>
              </xdr:nvGraphicFramePr>
              <xdr:xfrm>
                <a:off x="19439558" y="6933091"/>
                <a:ext cx="4602816" cy="485269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1" name="Chart 60">
                  <a:extLst>
                    <a:ext uri="{FF2B5EF4-FFF2-40B4-BE49-F238E27FC236}">
                      <a16:creationId xmlns:a16="http://schemas.microsoft.com/office/drawing/2014/main" id="{00000000-0008-0000-0100-00003D000000}"/>
                    </a:ext>
                  </a:extLst>
                </xdr:cNvPr>
                <xdr:cNvGraphicFramePr>
                  <a:graphicFrameLocks/>
                </xdr:cNvGraphicFramePr>
              </xdr:nvGraphicFramePr>
              <xdr:xfrm>
                <a:off x="19445016" y="8236717"/>
                <a:ext cx="4320058" cy="765329"/>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45" name="Group 44">
                <a:extLst>
                  <a:ext uri="{FF2B5EF4-FFF2-40B4-BE49-F238E27FC236}">
                    <a16:creationId xmlns:a16="http://schemas.microsoft.com/office/drawing/2014/main" id="{00000000-0008-0000-0100-00002D000000}"/>
                  </a:ext>
                </a:extLst>
              </xdr:cNvPr>
              <xdr:cNvGrpSpPr/>
            </xdr:nvGrpSpPr>
            <xdr:grpSpPr>
              <a:xfrm>
                <a:off x="27019978" y="9807407"/>
                <a:ext cx="4710942" cy="4638890"/>
                <a:chOff x="19496462" y="6955084"/>
                <a:chExt cx="4734469" cy="4904401"/>
              </a:xfrm>
            </xdr:grpSpPr>
            <xdr:graphicFrame macro="">
              <xdr:nvGraphicFramePr>
                <xdr:cNvPr id="58" name="Chart 57">
                  <a:extLst>
                    <a:ext uri="{FF2B5EF4-FFF2-40B4-BE49-F238E27FC236}">
                      <a16:creationId xmlns:a16="http://schemas.microsoft.com/office/drawing/2014/main" id="{00000000-0008-0000-0100-00003A000000}"/>
                    </a:ext>
                  </a:extLst>
                </xdr:cNvPr>
                <xdr:cNvGraphicFramePr>
                  <a:graphicFrameLocks/>
                </xdr:cNvGraphicFramePr>
              </xdr:nvGraphicFramePr>
              <xdr:xfrm>
                <a:off x="19496462" y="6955084"/>
                <a:ext cx="4734469" cy="49044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9" name="Chart 58">
                  <a:extLst>
                    <a:ext uri="{FF2B5EF4-FFF2-40B4-BE49-F238E27FC236}">
                      <a16:creationId xmlns:a16="http://schemas.microsoft.com/office/drawing/2014/main" id="{00000000-0008-0000-0100-00003B000000}"/>
                    </a:ext>
                  </a:extLst>
                </xdr:cNvPr>
                <xdr:cNvGraphicFramePr>
                  <a:graphicFrameLocks/>
                </xdr:cNvGraphicFramePr>
              </xdr:nvGraphicFramePr>
              <xdr:xfrm>
                <a:off x="19555472" y="8236717"/>
                <a:ext cx="4209598" cy="800061"/>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46" name="Group 45">
                <a:extLst>
                  <a:ext uri="{FF2B5EF4-FFF2-40B4-BE49-F238E27FC236}">
                    <a16:creationId xmlns:a16="http://schemas.microsoft.com/office/drawing/2014/main" id="{00000000-0008-0000-0100-00002E000000}"/>
                  </a:ext>
                </a:extLst>
              </xdr:cNvPr>
              <xdr:cNvGrpSpPr/>
            </xdr:nvGrpSpPr>
            <xdr:grpSpPr>
              <a:xfrm>
                <a:off x="22640738" y="14395894"/>
                <a:ext cx="4688731" cy="4540695"/>
                <a:chOff x="19496460" y="7301597"/>
                <a:chExt cx="4734469" cy="4545536"/>
              </a:xfrm>
            </xdr:grpSpPr>
            <xdr:graphicFrame macro="">
              <xdr:nvGraphicFramePr>
                <xdr:cNvPr id="56" name="Chart 55">
                  <a:extLst>
                    <a:ext uri="{FF2B5EF4-FFF2-40B4-BE49-F238E27FC236}">
                      <a16:creationId xmlns:a16="http://schemas.microsoft.com/office/drawing/2014/main" id="{00000000-0008-0000-0100-000038000000}"/>
                    </a:ext>
                  </a:extLst>
                </xdr:cNvPr>
                <xdr:cNvGraphicFramePr>
                  <a:graphicFrameLocks/>
                </xdr:cNvGraphicFramePr>
              </xdr:nvGraphicFramePr>
              <xdr:xfrm>
                <a:off x="19496460" y="7301597"/>
                <a:ext cx="4734469" cy="454553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57" name="Chart 56">
                  <a:extLst>
                    <a:ext uri="{FF2B5EF4-FFF2-40B4-BE49-F238E27FC236}">
                      <a16:creationId xmlns:a16="http://schemas.microsoft.com/office/drawing/2014/main" id="{00000000-0008-0000-0100-000039000000}"/>
                    </a:ext>
                  </a:extLst>
                </xdr:cNvPr>
                <xdr:cNvGraphicFramePr>
                  <a:graphicFrameLocks/>
                </xdr:cNvGraphicFramePr>
              </xdr:nvGraphicFramePr>
              <xdr:xfrm>
                <a:off x="19555470" y="8175220"/>
                <a:ext cx="4311923" cy="762740"/>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47" name="Group 46">
                <a:extLst>
                  <a:ext uri="{FF2B5EF4-FFF2-40B4-BE49-F238E27FC236}">
                    <a16:creationId xmlns:a16="http://schemas.microsoft.com/office/drawing/2014/main" id="{00000000-0008-0000-0100-00002F000000}"/>
                  </a:ext>
                </a:extLst>
              </xdr:cNvPr>
              <xdr:cNvGrpSpPr/>
            </xdr:nvGrpSpPr>
            <xdr:grpSpPr>
              <a:xfrm>
                <a:off x="31631464" y="9801335"/>
                <a:ext cx="4699556" cy="4638890"/>
                <a:chOff x="19496460" y="6955083"/>
                <a:chExt cx="4734469" cy="4904401"/>
              </a:xfrm>
            </xdr:grpSpPr>
            <xdr:graphicFrame macro="">
              <xdr:nvGraphicFramePr>
                <xdr:cNvPr id="54" name="Chart 53">
                  <a:extLst>
                    <a:ext uri="{FF2B5EF4-FFF2-40B4-BE49-F238E27FC236}">
                      <a16:creationId xmlns:a16="http://schemas.microsoft.com/office/drawing/2014/main" id="{00000000-0008-0000-0100-000036000000}"/>
                    </a:ext>
                  </a:extLst>
                </xdr:cNvPr>
                <xdr:cNvGraphicFramePr>
                  <a:graphicFrameLocks/>
                </xdr:cNvGraphicFramePr>
              </xdr:nvGraphicFramePr>
              <xdr:xfrm>
                <a:off x="19496460" y="6955083"/>
                <a:ext cx="4734469" cy="490440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55" name="Chart 54">
                  <a:extLst>
                    <a:ext uri="{FF2B5EF4-FFF2-40B4-BE49-F238E27FC236}">
                      <a16:creationId xmlns:a16="http://schemas.microsoft.com/office/drawing/2014/main" id="{00000000-0008-0000-0100-000037000000}"/>
                    </a:ext>
                  </a:extLst>
                </xdr:cNvPr>
                <xdr:cNvGraphicFramePr>
                  <a:graphicFrameLocks/>
                </xdr:cNvGraphicFramePr>
              </xdr:nvGraphicFramePr>
              <xdr:xfrm>
                <a:off x="19555472" y="8236717"/>
                <a:ext cx="4436097" cy="800061"/>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48" name="Group 47">
                <a:extLst>
                  <a:ext uri="{FF2B5EF4-FFF2-40B4-BE49-F238E27FC236}">
                    <a16:creationId xmlns:a16="http://schemas.microsoft.com/office/drawing/2014/main" id="{00000000-0008-0000-0100-000030000000}"/>
                  </a:ext>
                </a:extLst>
              </xdr:cNvPr>
              <xdr:cNvGrpSpPr/>
            </xdr:nvGrpSpPr>
            <xdr:grpSpPr>
              <a:xfrm>
                <a:off x="27215524" y="14390255"/>
                <a:ext cx="4712977" cy="4540695"/>
                <a:chOff x="19496461" y="7301597"/>
                <a:chExt cx="4734469" cy="4545536"/>
              </a:xfrm>
            </xdr:grpSpPr>
            <xdr:graphicFrame macro="">
              <xdr:nvGraphicFramePr>
                <xdr:cNvPr id="52" name="Chart 51">
                  <a:extLst>
                    <a:ext uri="{FF2B5EF4-FFF2-40B4-BE49-F238E27FC236}">
                      <a16:creationId xmlns:a16="http://schemas.microsoft.com/office/drawing/2014/main" id="{00000000-0008-0000-0100-000034000000}"/>
                    </a:ext>
                  </a:extLst>
                </xdr:cNvPr>
                <xdr:cNvGraphicFramePr>
                  <a:graphicFrameLocks/>
                </xdr:cNvGraphicFramePr>
              </xdr:nvGraphicFramePr>
              <xdr:xfrm>
                <a:off x="19496461" y="7301597"/>
                <a:ext cx="4734469" cy="454553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53" name="Chart 52">
                  <a:extLst>
                    <a:ext uri="{FF2B5EF4-FFF2-40B4-BE49-F238E27FC236}">
                      <a16:creationId xmlns:a16="http://schemas.microsoft.com/office/drawing/2014/main" id="{00000000-0008-0000-0100-000035000000}"/>
                    </a:ext>
                  </a:extLst>
                </xdr:cNvPr>
                <xdr:cNvGraphicFramePr>
                  <a:graphicFrameLocks/>
                </xdr:cNvGraphicFramePr>
              </xdr:nvGraphicFramePr>
              <xdr:xfrm>
                <a:off x="19555470" y="8175220"/>
                <a:ext cx="4266937" cy="762741"/>
              </xdr:xfrm>
              <a:graphic>
                <a:graphicData uri="http://schemas.openxmlformats.org/drawingml/2006/chart">
                  <c:chart xmlns:c="http://schemas.openxmlformats.org/drawingml/2006/chart" xmlns:r="http://schemas.openxmlformats.org/officeDocument/2006/relationships" r:id="rId10"/>
                </a:graphicData>
              </a:graphic>
            </xdr:graphicFrame>
          </xdr:grpSp>
          <xdr:grpSp>
            <xdr:nvGrpSpPr>
              <xdr:cNvPr id="49" name="Group 48">
                <a:extLst>
                  <a:ext uri="{FF2B5EF4-FFF2-40B4-BE49-F238E27FC236}">
                    <a16:creationId xmlns:a16="http://schemas.microsoft.com/office/drawing/2014/main" id="{00000000-0008-0000-0100-000031000000}"/>
                  </a:ext>
                </a:extLst>
              </xdr:cNvPr>
              <xdr:cNvGrpSpPr/>
            </xdr:nvGrpSpPr>
            <xdr:grpSpPr>
              <a:xfrm>
                <a:off x="31621391" y="14386561"/>
                <a:ext cx="4853010" cy="4540695"/>
                <a:chOff x="19484499" y="7301602"/>
                <a:chExt cx="4879331" cy="4545539"/>
              </a:xfrm>
            </xdr:grpSpPr>
            <xdr:graphicFrame macro="">
              <xdr:nvGraphicFramePr>
                <xdr:cNvPr id="50" name="Chart 49">
                  <a:extLst>
                    <a:ext uri="{FF2B5EF4-FFF2-40B4-BE49-F238E27FC236}">
                      <a16:creationId xmlns:a16="http://schemas.microsoft.com/office/drawing/2014/main" id="{00000000-0008-0000-0100-000032000000}"/>
                    </a:ext>
                  </a:extLst>
                </xdr:cNvPr>
                <xdr:cNvGraphicFramePr>
                  <a:graphicFrameLocks/>
                </xdr:cNvGraphicFramePr>
              </xdr:nvGraphicFramePr>
              <xdr:xfrm>
                <a:off x="19496460" y="7301602"/>
                <a:ext cx="4734469" cy="4545539"/>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1" name="Chart 50">
                  <a:extLst>
                    <a:ext uri="{FF2B5EF4-FFF2-40B4-BE49-F238E27FC236}">
                      <a16:creationId xmlns:a16="http://schemas.microsoft.com/office/drawing/2014/main" id="{00000000-0008-0000-0100-000033000000}"/>
                    </a:ext>
                  </a:extLst>
                </xdr:cNvPr>
                <xdr:cNvGraphicFramePr>
                  <a:graphicFrameLocks/>
                </xdr:cNvGraphicFramePr>
              </xdr:nvGraphicFramePr>
              <xdr:xfrm>
                <a:off x="19484499" y="8182097"/>
                <a:ext cx="4879331" cy="762740"/>
              </xdr:xfrm>
              <a:graphic>
                <a:graphicData uri="http://schemas.openxmlformats.org/drawingml/2006/chart">
                  <c:chart xmlns:c="http://schemas.openxmlformats.org/drawingml/2006/chart" xmlns:r="http://schemas.openxmlformats.org/officeDocument/2006/relationships" r:id="rId12"/>
                </a:graphicData>
              </a:graphic>
            </xdr:graphicFrame>
          </xdr:grpSp>
        </xdr:grpSp>
        <xdr:grpSp>
          <xdr:nvGrpSpPr>
            <xdr:cNvPr id="38" name="Group 37">
              <a:extLst>
                <a:ext uri="{FF2B5EF4-FFF2-40B4-BE49-F238E27FC236}">
                  <a16:creationId xmlns:a16="http://schemas.microsoft.com/office/drawing/2014/main" id="{00000000-0008-0000-0100-000026000000}"/>
                </a:ext>
              </a:extLst>
            </xdr:cNvPr>
            <xdr:cNvGrpSpPr/>
          </xdr:nvGrpSpPr>
          <xdr:grpSpPr>
            <a:xfrm>
              <a:off x="22484874" y="2697349"/>
              <a:ext cx="11870575" cy="6418895"/>
              <a:chOff x="22504148" y="1012369"/>
              <a:chExt cx="11928445" cy="6466014"/>
            </a:xfrm>
          </xdr:grpSpPr>
          <xdr:graphicFrame macro="">
            <xdr:nvGraphicFramePr>
              <xdr:cNvPr id="39" name="Chart 38">
                <a:extLst>
                  <a:ext uri="{FF2B5EF4-FFF2-40B4-BE49-F238E27FC236}">
                    <a16:creationId xmlns:a16="http://schemas.microsoft.com/office/drawing/2014/main" id="{00000000-0008-0000-0100-000027000000}"/>
                  </a:ext>
                </a:extLst>
              </xdr:cNvPr>
              <xdr:cNvGraphicFramePr/>
            </xdr:nvGraphicFramePr>
            <xdr:xfrm>
              <a:off x="22516549" y="1012369"/>
              <a:ext cx="6232543" cy="2924814"/>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40" name="Chart 39">
                <a:extLst>
                  <a:ext uri="{FF2B5EF4-FFF2-40B4-BE49-F238E27FC236}">
                    <a16:creationId xmlns:a16="http://schemas.microsoft.com/office/drawing/2014/main" id="{00000000-0008-0000-0100-000028000000}"/>
                  </a:ext>
                </a:extLst>
              </xdr:cNvPr>
              <xdr:cNvGraphicFramePr/>
            </xdr:nvGraphicFramePr>
            <xdr:xfrm>
              <a:off x="28678439" y="1128264"/>
              <a:ext cx="5754154" cy="2879149"/>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41" name="Chart 40">
                <a:extLst>
                  <a:ext uri="{FF2B5EF4-FFF2-40B4-BE49-F238E27FC236}">
                    <a16:creationId xmlns:a16="http://schemas.microsoft.com/office/drawing/2014/main" id="{00000000-0008-0000-0100-000029000000}"/>
                  </a:ext>
                </a:extLst>
              </xdr:cNvPr>
              <xdr:cNvGraphicFramePr/>
            </xdr:nvGraphicFramePr>
            <xdr:xfrm>
              <a:off x="22504148" y="4174359"/>
              <a:ext cx="6195943" cy="3304024"/>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42" name="Chart 41">
                <a:extLst>
                  <a:ext uri="{FF2B5EF4-FFF2-40B4-BE49-F238E27FC236}">
                    <a16:creationId xmlns:a16="http://schemas.microsoft.com/office/drawing/2014/main" id="{00000000-0008-0000-0100-00002A000000}"/>
                  </a:ext>
                </a:extLst>
              </xdr:cNvPr>
              <xdr:cNvGraphicFramePr/>
            </xdr:nvGraphicFramePr>
            <xdr:xfrm>
              <a:off x="28642691" y="4204318"/>
              <a:ext cx="5763086" cy="3257095"/>
            </xdr:xfrm>
            <a:graphic>
              <a:graphicData uri="http://schemas.openxmlformats.org/drawingml/2006/chart">
                <c:chart xmlns:c="http://schemas.openxmlformats.org/drawingml/2006/chart" xmlns:r="http://schemas.openxmlformats.org/officeDocument/2006/relationships" r:id="rId16"/>
              </a:graphicData>
            </a:graphic>
          </xdr:graphicFrame>
        </xdr:grpSp>
      </xdr:grpSp>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22629284" y="2429933"/>
            <a:ext cx="5444067" cy="4656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65000"/>
                    <a:lumOff val="35000"/>
                  </a:schemeClr>
                </a:solidFill>
              </a:rPr>
              <a:t>VERTICAL ANALYSIS</a:t>
            </a:r>
          </a:p>
        </xdr:txBody>
      </xdr:sp>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22758364" y="9526471"/>
            <a:ext cx="5444067" cy="4212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65000"/>
                    <a:lumOff val="35000"/>
                  </a:schemeClr>
                </a:solidFill>
              </a:rPr>
              <a:t>HORIZONTAL ANALYSIS</a:t>
            </a:r>
          </a:p>
        </xdr:txBody>
      </xdr:sp>
    </xdr:grpSp>
    <xdr:clientData/>
  </xdr:twoCellAnchor>
  <xdr:twoCellAnchor editAs="absolute">
    <xdr:from>
      <xdr:col>25</xdr:col>
      <xdr:colOff>563846</xdr:colOff>
      <xdr:row>4</xdr:row>
      <xdr:rowOff>85281</xdr:rowOff>
    </xdr:from>
    <xdr:to>
      <xdr:col>27</xdr:col>
      <xdr:colOff>732318</xdr:colOff>
      <xdr:row>7</xdr:row>
      <xdr:rowOff>250806</xdr:rowOff>
    </xdr:to>
    <mc:AlternateContent xmlns:mc="http://schemas.openxmlformats.org/markup-compatibility/2006" xmlns:sle15="http://schemas.microsoft.com/office/drawing/2012/slicer">
      <mc:Choice Requires="sle15">
        <xdr:graphicFrame macro="">
          <xdr:nvGraphicFramePr>
            <xdr:cNvPr id="2" name="YEAR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6466746" y="2180781"/>
              <a:ext cx="1819472" cy="10926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0.xml><?xml version="1.0" encoding="utf-8"?>
<c:userShapes xmlns:c="http://schemas.openxmlformats.org/drawingml/2006/chart">
  <cdr:relSizeAnchor xmlns:cdr="http://schemas.openxmlformats.org/drawingml/2006/chartDrawing">
    <cdr:from>
      <cdr:x>0</cdr:x>
      <cdr:y>0.42424</cdr:y>
    </cdr:from>
    <cdr:to>
      <cdr:x>0.38326</cdr:x>
      <cdr:y>0.53923</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2383219"/>
          <a:ext cx="2218484" cy="64597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16,1</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0.42707</cdr:x>
      <cdr:y>0.41915</cdr:y>
    </cdr:from>
    <cdr:to>
      <cdr:x>0.7058</cdr:x>
      <cdr:y>0.53414</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929465" y="2356644"/>
          <a:ext cx="1911953" cy="64652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15%</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0.0125</cdr:x>
      <cdr:y>0.18994</cdr:y>
    </cdr:from>
    <cdr:to>
      <cdr:x>0.75286</cdr:x>
      <cdr:y>0.30211</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85718" y="1067951"/>
          <a:ext cx="5078512" cy="63067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Cost</a:t>
          </a:r>
          <a:r>
            <a:rPr lang="en-US" sz="1200" b="1" baseline="0">
              <a:solidFill>
                <a:schemeClr val="tx1">
                  <a:lumMod val="65000"/>
                  <a:lumOff val="35000"/>
                </a:schemeClr>
              </a:solidFill>
              <a:latin typeface="Arial" panose="020B0604020202020204" pitchFamily="34" charset="0"/>
              <a:cs typeface="Arial" panose="020B0604020202020204" pitchFamily="34" charset="0"/>
            </a:rPr>
            <a:t> of Sales</a:t>
          </a:r>
          <a:endParaRPr lang="en-US" sz="1200" b="1">
            <a:solidFill>
              <a:schemeClr val="tx1">
                <a:lumMod val="65000"/>
                <a:lumOff val="35000"/>
              </a:schemeClr>
            </a:solidFill>
            <a:latin typeface="Arial" panose="020B0604020202020204" pitchFamily="34" charset="0"/>
            <a:cs typeface="Arial" panose="020B0604020202020204" pitchFamily="34" charset="0"/>
          </a:endParaRP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21.xml><?xml version="1.0" encoding="utf-8"?>
<c:userShapes xmlns:c="http://schemas.openxmlformats.org/drawingml/2006/chart">
  <cdr:relSizeAnchor xmlns:cdr="http://schemas.openxmlformats.org/drawingml/2006/chartDrawing">
    <cdr:from>
      <cdr:x>0.77718</cdr:x>
      <cdr:y>0.19261</cdr:y>
    </cdr:from>
    <cdr:to>
      <cdr:x>0.77718</cdr:x>
      <cdr:y>0.80125</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608528" y="130463"/>
          <a:ext cx="0" cy="412255"/>
        </a:xfrm>
        <a:prstGeom xmlns:a="http://schemas.openxmlformats.org/drawingml/2006/main" prst="line">
          <a:avLst/>
        </a:prstGeom>
        <a:ln xmlns:a="http://schemas.openxmlformats.org/drawingml/2006/main" w="254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22.xml><?xml version="1.0" encoding="utf-8"?>
<c:userShapes xmlns:c="http://schemas.openxmlformats.org/drawingml/2006/chart">
  <cdr:relSizeAnchor xmlns:cdr="http://schemas.openxmlformats.org/drawingml/2006/chartDrawing">
    <cdr:from>
      <cdr:x>0.58526</cdr:x>
      <cdr:y>0.34635</cdr:y>
    </cdr:from>
    <cdr:to>
      <cdr:x>0.98773</cdr:x>
      <cdr:y>0.43095</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676935" y="1968489"/>
          <a:ext cx="1840867" cy="48082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-59</a:t>
          </a:r>
          <a:r>
            <a:rPr lang="en-US" sz="1800" b="1" baseline="0">
              <a:solidFill>
                <a:schemeClr val="accent1">
                  <a:lumMod val="75000"/>
                </a:schemeClr>
              </a:solidFill>
              <a:latin typeface="Arial" panose="020B0604020202020204" pitchFamily="34" charset="0"/>
              <a:cs typeface="Arial" panose="020B0604020202020204" pitchFamily="34" charset="0"/>
            </a:rPr>
            <a:t> %</a:t>
          </a:r>
        </a:p>
        <a:p xmlns:a="http://schemas.openxmlformats.org/drawingml/2006/main">
          <a:pPr algn="ctr"/>
          <a:r>
            <a:rPr lang="en-US" sz="800" b="0" i="1" baseline="0">
              <a:solidFill>
                <a:schemeClr val="bg2">
                  <a:lumMod val="75000"/>
                </a:schemeClr>
              </a:solidFill>
              <a:latin typeface="Arial" panose="020B0604020202020204" pitchFamily="34" charset="0"/>
              <a:cs typeface="Arial" panose="020B0604020202020204" pitchFamily="34" charset="0"/>
            </a:rPr>
            <a:t>%</a:t>
          </a:r>
          <a:r>
            <a:rPr lang="en-US" sz="1000" b="0" i="1" baseline="0">
              <a:solidFill>
                <a:schemeClr val="bg2">
                  <a:lumMod val="75000"/>
                </a:schemeClr>
              </a:solidFill>
              <a:latin typeface="Symbol" pitchFamily="2" charset="2"/>
              <a:cs typeface="Arial" panose="020B0604020202020204" pitchFamily="34" charset="0"/>
            </a:rPr>
            <a:t>D </a:t>
          </a:r>
          <a:r>
            <a:rPr lang="en-US" sz="800" b="0" i="1" baseline="0">
              <a:solidFill>
                <a:schemeClr val="bg2">
                  <a:lumMod val="75000"/>
                </a:schemeClr>
              </a:solidFill>
              <a:latin typeface="Arial" panose="020B0604020202020204" pitchFamily="34" charset="0"/>
              <a:cs typeface="Arial" panose="020B0604020202020204" pitchFamily="34" charset="0"/>
            </a:rPr>
            <a:t>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userShapes>
</file>

<file path=xl/drawings/drawing23.xml><?xml version="1.0" encoding="utf-8"?>
<c:userShapes xmlns:c="http://schemas.openxmlformats.org/drawingml/2006/chart">
  <cdr:relSizeAnchor xmlns:cdr="http://schemas.openxmlformats.org/drawingml/2006/chartDrawing">
    <cdr:from>
      <cdr:x>0.88978</cdr:x>
      <cdr:y>0.15502</cdr:y>
    </cdr:from>
    <cdr:to>
      <cdr:x>0.88983</cdr:x>
      <cdr:y>0.8769</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4151528" y="91368"/>
          <a:ext cx="247" cy="425470"/>
        </a:xfrm>
        <a:prstGeom xmlns:a="http://schemas.openxmlformats.org/drawingml/2006/main" prst="line">
          <a:avLst/>
        </a:prstGeom>
        <a:ln xmlns:a="http://schemas.openxmlformats.org/drawingml/2006/main" w="254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24.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-8,3</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-6%</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0.03567</cdr:x>
      <cdr:y>0.18174</cdr:y>
    </cdr:from>
    <cdr:to>
      <cdr:x>0.74036</cdr:x>
      <cdr:y>0.26706</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163689" y="855133"/>
          <a:ext cx="3234072" cy="40149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Revenue</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25.xml><?xml version="1.0" encoding="utf-8"?>
<c:userShapes xmlns:c="http://schemas.openxmlformats.org/drawingml/2006/chart">
  <cdr:relSizeAnchor xmlns:cdr="http://schemas.openxmlformats.org/drawingml/2006/chartDrawing">
    <cdr:from>
      <cdr:x>0.91014</cdr:x>
      <cdr:y>0.18915</cdr:y>
    </cdr:from>
    <cdr:to>
      <cdr:x>0.91014</cdr:x>
      <cdr:y>0.79779</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925505" y="154345"/>
          <a:ext cx="0" cy="496644"/>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26.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-24,6</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-65%</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0.18174</cdr:y>
    </cdr:from>
    <cdr:to>
      <cdr:x>0.74036</cdr:x>
      <cdr:y>0.29391</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0" y="747887"/>
          <a:ext cx="3376313" cy="46159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EBIT</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27.xml><?xml version="1.0" encoding="utf-8"?>
<c:userShapes xmlns:c="http://schemas.openxmlformats.org/drawingml/2006/chart">
  <cdr:relSizeAnchor xmlns:cdr="http://schemas.openxmlformats.org/drawingml/2006/chartDrawing">
    <cdr:from>
      <cdr:x>0.91535</cdr:x>
      <cdr:y>0.19844</cdr:y>
    </cdr:from>
    <cdr:to>
      <cdr:x>0.91535</cdr:x>
      <cdr:y>0.80708</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959828" y="133141"/>
          <a:ext cx="0" cy="408358"/>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28.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-25,1</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-72%</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0.18174</cdr:y>
    </cdr:from>
    <cdr:to>
      <cdr:x>0.74036</cdr:x>
      <cdr:y>0.29391</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0" y="747887"/>
          <a:ext cx="3376313" cy="46159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EBT</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29.xml><?xml version="1.0" encoding="utf-8"?>
<c:userShapes xmlns:c="http://schemas.openxmlformats.org/drawingml/2006/chart">
  <cdr:relSizeAnchor xmlns:cdr="http://schemas.openxmlformats.org/drawingml/2006/chartDrawing">
    <cdr:from>
      <cdr:x>0.86202</cdr:x>
      <cdr:y>0.1994</cdr:y>
    </cdr:from>
    <cdr:to>
      <cdr:x>0.86202</cdr:x>
      <cdr:y>0.80803</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872096" y="133433"/>
          <a:ext cx="0" cy="407294"/>
        </a:xfrm>
        <a:prstGeom xmlns:a="http://schemas.openxmlformats.org/drawingml/2006/main" prst="line">
          <a:avLst/>
        </a:prstGeom>
        <a:ln xmlns:a="http://schemas.openxmlformats.org/drawingml/2006/main" w="254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cdr:x>
      <cdr:y>0.4333</cdr:y>
    </cdr:from>
    <cdr:to>
      <cdr:x>0.38326</cdr:x>
      <cdr:y>0.56243</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642622"/>
          <a:ext cx="1734874" cy="48954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-7,9</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1">
                  <a:lumMod val="65000"/>
                </a:schemeClr>
              </a:solidFill>
              <a:latin typeface="Symbol" pitchFamily="2" charset="2"/>
              <a:cs typeface="Arial" panose="020B0604020202020204" pitchFamily="34" charset="0"/>
            </a:rPr>
            <a:t>D</a:t>
          </a:r>
          <a:r>
            <a:rPr lang="en-US" sz="800" b="0" i="1" baseline="0">
              <a:solidFill>
                <a:schemeClr val="bg1">
                  <a:lumMod val="65000"/>
                </a:schemeClr>
              </a:solidFill>
              <a:latin typeface="Arial" panose="020B0604020202020204" pitchFamily="34" charset="0"/>
              <a:cs typeface="Arial" panose="020B0604020202020204" pitchFamily="34" charset="0"/>
            </a:rPr>
            <a:t> from prior year</a:t>
          </a:r>
          <a:endParaRPr lang="en-US" sz="800" b="0" i="1">
            <a:solidFill>
              <a:schemeClr val="bg1">
                <a:lumMod val="6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- 4%</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0.00214</cdr:x>
      <cdr:y>0.17135</cdr:y>
    </cdr:from>
    <cdr:to>
      <cdr:x>0.7425</cdr:x>
      <cdr:y>0.26799</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9694" y="639775"/>
          <a:ext cx="3348215" cy="36080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Total</a:t>
          </a:r>
          <a:r>
            <a:rPr lang="en-US" sz="1200" b="1" baseline="0">
              <a:solidFill>
                <a:schemeClr val="tx1">
                  <a:lumMod val="65000"/>
                  <a:lumOff val="35000"/>
                </a:schemeClr>
              </a:solidFill>
              <a:latin typeface="Arial" panose="020B0604020202020204" pitchFamily="34" charset="0"/>
              <a:cs typeface="Arial" panose="020B0604020202020204" pitchFamily="34" charset="0"/>
            </a:rPr>
            <a:t> Assets</a:t>
          </a:r>
          <a:endParaRPr lang="en-US" sz="1200" b="1">
            <a:solidFill>
              <a:schemeClr val="tx1">
                <a:lumMod val="65000"/>
                <a:lumOff val="35000"/>
              </a:schemeClr>
            </a:solidFill>
            <a:latin typeface="Arial" panose="020B0604020202020204" pitchFamily="34" charset="0"/>
            <a:cs typeface="Arial" panose="020B0604020202020204" pitchFamily="34" charset="0"/>
          </a:endParaRP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30.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-26,1</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-76%</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0.18174</cdr:y>
    </cdr:from>
    <cdr:to>
      <cdr:x>0.74036</cdr:x>
      <cdr:y>0.29391</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0" y="747887"/>
          <a:ext cx="3376313" cy="46159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Net Profit</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31.xml><?xml version="1.0" encoding="utf-8"?>
<c:userShapes xmlns:c="http://schemas.openxmlformats.org/drawingml/2006/chart">
  <cdr:relSizeAnchor xmlns:cdr="http://schemas.openxmlformats.org/drawingml/2006/chartDrawing">
    <cdr:from>
      <cdr:x>0.84694</cdr:x>
      <cdr:y>0.2247</cdr:y>
    </cdr:from>
    <cdr:to>
      <cdr:x>0.84694</cdr:x>
      <cdr:y>0.83334</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914099" y="160553"/>
          <a:ext cx="0" cy="434891"/>
        </a:xfrm>
        <a:prstGeom xmlns:a="http://schemas.openxmlformats.org/drawingml/2006/main" prst="line">
          <a:avLst/>
        </a:prstGeom>
        <a:ln xmlns:a="http://schemas.openxmlformats.org/drawingml/2006/main" w="254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2.xml><?xml version="1.0" encoding="utf-8"?>
<c:userShapes xmlns:c="http://schemas.openxmlformats.org/drawingml/2006/chart">
  <cdr:relSizeAnchor xmlns:cdr="http://schemas.openxmlformats.org/drawingml/2006/chartDrawing">
    <cdr:from>
      <cdr:x>0.04646</cdr:x>
      <cdr:y>0.24299</cdr:y>
    </cdr:from>
    <cdr:to>
      <cdr:x>0.44952</cdr:x>
      <cdr:y>0.32163</cdr:y>
    </cdr:to>
    <cdr:sp macro="" textlink="">
      <cdr:nvSpPr>
        <cdr:cNvPr id="2" name="TextBox 1">
          <a:extLst xmlns:a="http://schemas.openxmlformats.org/drawingml/2006/main">
            <a:ext uri="{FF2B5EF4-FFF2-40B4-BE49-F238E27FC236}">
              <a16:creationId xmlns:a16="http://schemas.microsoft.com/office/drawing/2014/main" id="{F3E22081-467D-7C05-47F3-049857DD6926}"/>
            </a:ext>
          </a:extLst>
        </cdr:cNvPr>
        <cdr:cNvSpPr txBox="1"/>
      </cdr:nvSpPr>
      <cdr:spPr>
        <a:xfrm xmlns:a="http://schemas.openxmlformats.org/drawingml/2006/main">
          <a:off x="233164" y="755805"/>
          <a:ext cx="2022593" cy="2445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solidFill>
                <a:schemeClr val="bg1">
                  <a:lumMod val="75000"/>
                </a:schemeClr>
              </a:solidFill>
            </a:rPr>
            <a:t>Persentage per Revenue</a:t>
          </a:r>
        </a:p>
      </cdr:txBody>
    </cdr:sp>
  </cdr:relSizeAnchor>
  <cdr:relSizeAnchor xmlns:cdr="http://schemas.openxmlformats.org/drawingml/2006/chartDrawing">
    <cdr:from>
      <cdr:x>0.04459</cdr:x>
      <cdr:y>0.19763</cdr:y>
    </cdr:from>
    <cdr:to>
      <cdr:x>0.99257</cdr:x>
      <cdr:y>0.25812</cdr:y>
    </cdr:to>
    <cdr:sp macro="" textlink="">
      <cdr:nvSpPr>
        <cdr:cNvPr id="3" name="TextBox 2">
          <a:extLst xmlns:a="http://schemas.openxmlformats.org/drawingml/2006/main">
            <a:ext uri="{FF2B5EF4-FFF2-40B4-BE49-F238E27FC236}">
              <a16:creationId xmlns:a16="http://schemas.microsoft.com/office/drawing/2014/main" id="{C5B6FF0C-DA9C-D17A-C4CA-F0D87DDFFC94}"/>
            </a:ext>
          </a:extLst>
        </cdr:cNvPr>
        <cdr:cNvSpPr txBox="1"/>
      </cdr:nvSpPr>
      <cdr:spPr>
        <a:xfrm xmlns:a="http://schemas.openxmlformats.org/drawingml/2006/main">
          <a:off x="223718" y="615457"/>
          <a:ext cx="4756337" cy="1883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solidFill>
                <a:schemeClr val="accent1">
                  <a:lumMod val="50000"/>
                </a:schemeClr>
              </a:solidFill>
            </a:rPr>
            <a:t>Cost of Sales</a:t>
          </a:r>
          <a:r>
            <a:rPr lang="en-US" sz="800" b="1" baseline="0">
              <a:solidFill>
                <a:schemeClr val="accent1">
                  <a:lumMod val="50000"/>
                </a:schemeClr>
              </a:solidFill>
            </a:rPr>
            <a:t>        </a:t>
          </a:r>
          <a:r>
            <a:rPr lang="en-US" sz="800" b="1">
              <a:solidFill>
                <a:schemeClr val="accent1">
                  <a:lumMod val="60000"/>
                  <a:lumOff val="40000"/>
                </a:schemeClr>
              </a:solidFill>
            </a:rPr>
            <a:t>Operating Expenses</a:t>
          </a:r>
          <a:r>
            <a:rPr lang="en-US" sz="800"/>
            <a:t>        </a:t>
          </a:r>
          <a:r>
            <a:rPr lang="en-US" sz="800" b="1">
              <a:solidFill>
                <a:schemeClr val="accent1">
                  <a:lumMod val="40000"/>
                  <a:lumOff val="60000"/>
                </a:schemeClr>
              </a:solidFill>
            </a:rPr>
            <a:t>Interest Expenses</a:t>
          </a:r>
          <a:r>
            <a:rPr lang="en-US" sz="800" b="1" baseline="0">
              <a:solidFill>
                <a:schemeClr val="accent1">
                  <a:lumMod val="40000"/>
                  <a:lumOff val="60000"/>
                </a:schemeClr>
              </a:solidFill>
            </a:rPr>
            <a:t>        </a:t>
          </a:r>
          <a:r>
            <a:rPr lang="en-US" sz="800" b="1">
              <a:solidFill>
                <a:schemeClr val="accent1">
                  <a:lumMod val="20000"/>
                  <a:lumOff val="80000"/>
                </a:schemeClr>
              </a:solidFill>
            </a:rPr>
            <a:t>Tax Expenses</a:t>
          </a:r>
          <a:r>
            <a:rPr lang="en-US" sz="800" b="0" baseline="0">
              <a:solidFill>
                <a:sysClr val="windowText" lastClr="000000"/>
              </a:solidFill>
            </a:rPr>
            <a:t>        </a:t>
          </a:r>
          <a:r>
            <a:rPr lang="en-US" sz="800" b="1">
              <a:solidFill>
                <a:schemeClr val="accent1">
                  <a:lumMod val="75000"/>
                </a:schemeClr>
              </a:solidFill>
            </a:rPr>
            <a:t>Net Profit</a:t>
          </a:r>
        </a:p>
      </cdr:txBody>
    </cdr:sp>
  </cdr:relSizeAnchor>
</c:userShapes>
</file>

<file path=xl/drawings/drawing33.xml><?xml version="1.0" encoding="utf-8"?>
<c:userShapes xmlns:c="http://schemas.openxmlformats.org/drawingml/2006/chart">
  <cdr:relSizeAnchor xmlns:cdr="http://schemas.openxmlformats.org/drawingml/2006/chartDrawing">
    <cdr:from>
      <cdr:x>0.10495</cdr:x>
      <cdr:y>0.91196</cdr:y>
    </cdr:from>
    <cdr:to>
      <cdr:x>0.20433</cdr:x>
      <cdr:y>0.9841</cdr:y>
    </cdr:to>
    <cdr:sp macro="" textlink="">
      <cdr:nvSpPr>
        <cdr:cNvPr id="2" name="TextBox 1">
          <a:extLst xmlns:a="http://schemas.openxmlformats.org/drawingml/2006/main">
            <a:ext uri="{FF2B5EF4-FFF2-40B4-BE49-F238E27FC236}">
              <a16:creationId xmlns:a16="http://schemas.microsoft.com/office/drawing/2014/main" id="{03F009D4-ED58-3AF5-0937-469F4BB83D33}"/>
            </a:ext>
          </a:extLst>
        </cdr:cNvPr>
        <cdr:cNvSpPr txBox="1"/>
      </cdr:nvSpPr>
      <cdr:spPr>
        <a:xfrm xmlns:a="http://schemas.openxmlformats.org/drawingml/2006/main">
          <a:off x="1025547" y="3305386"/>
          <a:ext cx="971176" cy="2614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0.09947</cdr:x>
      <cdr:y>0.88696</cdr:y>
    </cdr:from>
    <cdr:to>
      <cdr:x>0.17872</cdr:x>
      <cdr:y>0.96109</cdr:y>
    </cdr:to>
    <cdr:sp macro="" textlink="">
      <cdr:nvSpPr>
        <cdr:cNvPr id="3" name="TextBox 2">
          <a:extLst xmlns:a="http://schemas.openxmlformats.org/drawingml/2006/main">
            <a:ext uri="{FF2B5EF4-FFF2-40B4-BE49-F238E27FC236}">
              <a16:creationId xmlns:a16="http://schemas.microsoft.com/office/drawing/2014/main" id="{106467D0-E5E0-1F27-5D70-75B8EF18F867}"/>
            </a:ext>
          </a:extLst>
        </cdr:cNvPr>
        <cdr:cNvSpPr txBox="1"/>
      </cdr:nvSpPr>
      <cdr:spPr>
        <a:xfrm xmlns:a="http://schemas.openxmlformats.org/drawingml/2006/main">
          <a:off x="973158" y="3091601"/>
          <a:ext cx="775348" cy="2584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Revenue</a:t>
          </a:r>
        </a:p>
      </cdr:txBody>
    </cdr:sp>
  </cdr:relSizeAnchor>
  <cdr:relSizeAnchor xmlns:cdr="http://schemas.openxmlformats.org/drawingml/2006/chartDrawing">
    <cdr:from>
      <cdr:x>0.72088</cdr:x>
      <cdr:y>0.88205</cdr:y>
    </cdr:from>
    <cdr:to>
      <cdr:x>0.80013</cdr:x>
      <cdr:y>0.95619</cdr:y>
    </cdr:to>
    <cdr:sp macro="" textlink="">
      <cdr:nvSpPr>
        <cdr:cNvPr id="4" name="TextBox 1">
          <a:extLst xmlns:a="http://schemas.openxmlformats.org/drawingml/2006/main">
            <a:ext uri="{FF2B5EF4-FFF2-40B4-BE49-F238E27FC236}">
              <a16:creationId xmlns:a16="http://schemas.microsoft.com/office/drawing/2014/main" id="{44988E95-83A9-D6B5-BEAA-6CA54C72D114}"/>
            </a:ext>
          </a:extLst>
        </cdr:cNvPr>
        <cdr:cNvSpPr txBox="1"/>
      </cdr:nvSpPr>
      <cdr:spPr>
        <a:xfrm xmlns:a="http://schemas.openxmlformats.org/drawingml/2006/main">
          <a:off x="7052809" y="3074497"/>
          <a:ext cx="775349" cy="258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1"/>
            <a:t>Net Sale</a:t>
          </a:r>
        </a:p>
      </cdr:txBody>
    </cdr:sp>
  </cdr:relSizeAnchor>
</c:userShapes>
</file>

<file path=xl/drawings/drawing34.xml><?xml version="1.0" encoding="utf-8"?>
<c:userShapes xmlns:c="http://schemas.openxmlformats.org/drawingml/2006/chart">
  <cdr:relSizeAnchor xmlns:cdr="http://schemas.openxmlformats.org/drawingml/2006/chartDrawing">
    <cdr:from>
      <cdr:x>0.0439</cdr:x>
      <cdr:y>0.40851</cdr:y>
    </cdr:from>
    <cdr:to>
      <cdr:x>0.42716</cdr:x>
      <cdr:y>0.5235</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08197" y="2058203"/>
          <a:ext cx="1817446" cy="57936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baseline="0">
              <a:solidFill>
                <a:schemeClr val="accent1">
                  <a:lumMod val="75000"/>
                </a:schemeClr>
              </a:solidFill>
              <a:latin typeface="Arial" panose="020B0604020202020204" pitchFamily="34" charset="0"/>
              <a:cs typeface="Arial" panose="020B0604020202020204" pitchFamily="34" charset="0"/>
            </a:rPr>
            <a:t>0,6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0.51248</cdr:x>
      <cdr:y>0.40893</cdr:y>
    </cdr:from>
    <cdr:to>
      <cdr:x>0.89574</cdr:x>
      <cdr:y>0.52392</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30203" y="2060318"/>
          <a:ext cx="1817447" cy="57936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22%</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0.03567</cdr:x>
      <cdr:y>0.14868</cdr:y>
    </cdr:from>
    <cdr:to>
      <cdr:x>0.74036</cdr:x>
      <cdr:y>0.234</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169150" y="749115"/>
          <a:ext cx="3341690" cy="42987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Interest Expenses</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35.xml><?xml version="1.0" encoding="utf-8"?>
<c:userShapes xmlns:c="http://schemas.openxmlformats.org/drawingml/2006/chart">
  <cdr:relSizeAnchor xmlns:cdr="http://schemas.openxmlformats.org/drawingml/2006/chartDrawing">
    <cdr:from>
      <cdr:x>0.72236</cdr:x>
      <cdr:y>0.18915</cdr:y>
    </cdr:from>
    <cdr:to>
      <cdr:x>0.72236</cdr:x>
      <cdr:y>0.79779</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164508" y="127301"/>
          <a:ext cx="0" cy="409624"/>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6.xml><?xml version="1.0" encoding="utf-8"?>
<c:userShapes xmlns:c="http://schemas.openxmlformats.org/drawingml/2006/chart">
  <cdr:relSizeAnchor xmlns:cdr="http://schemas.openxmlformats.org/drawingml/2006/chartDrawing">
    <cdr:from>
      <cdr:x>0.00536</cdr:x>
      <cdr:y>0.35426</cdr:y>
    </cdr:from>
    <cdr:to>
      <cdr:x>0.38862</cdr:x>
      <cdr:y>0.46925</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5400" y="1536835"/>
          <a:ext cx="1817614" cy="4988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baseline="0">
              <a:solidFill>
                <a:schemeClr val="accent1">
                  <a:lumMod val="75000"/>
                </a:schemeClr>
              </a:solidFill>
              <a:latin typeface="Arial" panose="020B0604020202020204" pitchFamily="34" charset="0"/>
              <a:cs typeface="Arial" panose="020B0604020202020204" pitchFamily="34" charset="0"/>
            </a:rPr>
            <a:t>-1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0.52982</cdr:x>
      <cdr:y>0.34297</cdr:y>
    </cdr:from>
    <cdr:to>
      <cdr:x>0.91308</cdr:x>
      <cdr:y>0.45796</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512678" y="1487857"/>
          <a:ext cx="1817614" cy="4988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-42%</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0.01369</cdr:x>
      <cdr:y>0.06</cdr:y>
    </cdr:from>
    <cdr:to>
      <cdr:x>0.71838</cdr:x>
      <cdr:y>0.14532</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64943" y="260282"/>
          <a:ext cx="3341998" cy="37013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Tax Expenses</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37.xml><?xml version="1.0" encoding="utf-8"?>
<c:userShapes xmlns:c="http://schemas.openxmlformats.org/drawingml/2006/chart">
  <cdr:relSizeAnchor xmlns:cdr="http://schemas.openxmlformats.org/drawingml/2006/chartDrawing">
    <cdr:from>
      <cdr:x>0.53742</cdr:x>
      <cdr:y>0.20264</cdr:y>
    </cdr:from>
    <cdr:to>
      <cdr:x>0.53742</cdr:x>
      <cdr:y>0.81128</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2356586" y="139340"/>
          <a:ext cx="0" cy="418519"/>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4</xdr:col>
      <xdr:colOff>799874</xdr:colOff>
      <xdr:row>16</xdr:row>
      <xdr:rowOff>101139</xdr:rowOff>
    </xdr:from>
    <xdr:to>
      <xdr:col>5</xdr:col>
      <xdr:colOff>3359581</xdr:colOff>
      <xdr:row>27</xdr:row>
      <xdr:rowOff>148678</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685800</xdr:colOff>
      <xdr:row>2</xdr:row>
      <xdr:rowOff>101600</xdr:rowOff>
    </xdr:from>
    <xdr:to>
      <xdr:col>5</xdr:col>
      <xdr:colOff>3254275</xdr:colOff>
      <xdr:row>16</xdr:row>
      <xdr:rowOff>183036</xdr:rowOff>
    </xdr:to>
    <xdr:graphicFrame macro="">
      <xdr:nvGraphicFramePr>
        <xdr:cNvPr id="18" name="Chart 17">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1761214</xdr:colOff>
      <xdr:row>14</xdr:row>
      <xdr:rowOff>39928</xdr:rowOff>
    </xdr:from>
    <xdr:to>
      <xdr:col>5</xdr:col>
      <xdr:colOff>3116027</xdr:colOff>
      <xdr:row>15</xdr:row>
      <xdr:rowOff>253999</xdr:rowOff>
    </xdr:to>
    <mc:AlternateContent xmlns:mc="http://schemas.openxmlformats.org/markup-compatibility/2006">
      <mc:Choice xmlns:a14="http://schemas.microsoft.com/office/drawing/2010/main" Requires="a14">
        <xdr:graphicFrame macro="">
          <xdr:nvGraphicFramePr>
            <xdr:cNvPr id="19" name="Year 4">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23217530" y="4250981"/>
              <a:ext cx="6902708" cy="481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3695683</xdr:colOff>
      <xdr:row>2</xdr:row>
      <xdr:rowOff>206386</xdr:rowOff>
    </xdr:from>
    <xdr:to>
      <xdr:col>8</xdr:col>
      <xdr:colOff>39049</xdr:colOff>
      <xdr:row>15</xdr:row>
      <xdr:rowOff>70215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3580615</xdr:colOff>
      <xdr:row>16</xdr:row>
      <xdr:rowOff>48912</xdr:rowOff>
    </xdr:from>
    <xdr:to>
      <xdr:col>8</xdr:col>
      <xdr:colOff>508000</xdr:colOff>
      <xdr:row>28</xdr:row>
      <xdr:rowOff>152401</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4</xdr:col>
      <xdr:colOff>876416</xdr:colOff>
      <xdr:row>2</xdr:row>
      <xdr:rowOff>74782</xdr:rowOff>
    </xdr:from>
    <xdr:to>
      <xdr:col>13</xdr:col>
      <xdr:colOff>372531</xdr:colOff>
      <xdr:row>13</xdr:row>
      <xdr:rowOff>257681</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9690216" y="684382"/>
          <a:ext cx="16133115" cy="4348499"/>
          <a:chOff x="18744742" y="1179454"/>
          <a:chExt cx="13478347" cy="3493776"/>
        </a:xfrm>
      </xdr:grpSpPr>
      <xdr:grpSp>
        <xdr:nvGrpSpPr>
          <xdr:cNvPr id="8" name="Group 7">
            <a:extLst>
              <a:ext uri="{FF2B5EF4-FFF2-40B4-BE49-F238E27FC236}">
                <a16:creationId xmlns:a16="http://schemas.microsoft.com/office/drawing/2014/main" id="{00000000-0008-0000-0400-000008000000}"/>
              </a:ext>
            </a:extLst>
          </xdr:cNvPr>
          <xdr:cNvGrpSpPr/>
        </xdr:nvGrpSpPr>
        <xdr:grpSpPr>
          <a:xfrm>
            <a:off x="24919999" y="1534140"/>
            <a:ext cx="7303090" cy="2891673"/>
            <a:chOff x="27561141" y="1551779"/>
            <a:chExt cx="7252582" cy="2873203"/>
          </a:xfrm>
        </xdr:grpSpPr>
        <mc:AlternateContent xmlns:mc="http://schemas.openxmlformats.org/markup-compatibility/2006" xmlns:sle15="http://schemas.microsoft.com/office/drawing/2012/slicer">
          <mc:Choice Requires="sle15">
            <xdr:graphicFrame macro="">
              <xdr:nvGraphicFramePr>
                <xdr:cNvPr id="10" name="Ratio 1">
                  <a:extLst>
                    <a:ext uri="{FF2B5EF4-FFF2-40B4-BE49-F238E27FC236}">
                      <a16:creationId xmlns:a16="http://schemas.microsoft.com/office/drawing/2014/main" id="{00000000-0008-0000-0400-00000A000000}"/>
                    </a:ext>
                  </a:extLst>
                </xdr:cNvPr>
                <xdr:cNvGraphicFramePr/>
              </xdr:nvGraphicFramePr>
              <xdr:xfrm>
                <a:off x="27561749" y="1551779"/>
                <a:ext cx="7251974" cy="1444284"/>
              </xdr:xfrm>
              <a:graphic>
                <a:graphicData uri="http://schemas.microsoft.com/office/drawing/2010/slicer">
                  <sle:slicer xmlns:sle="http://schemas.microsoft.com/office/drawing/2010/slicer" name="Ratio 1"/>
                </a:graphicData>
              </a:graphic>
            </xdr:graphicFrame>
          </mc:Choice>
          <mc:Fallback xmlns="">
            <xdr:sp macro="" textlink="">
              <xdr:nvSpPr>
                <xdr:cNvPr id="0" name=""/>
                <xdr:cNvSpPr>
                  <a:spLocks noTextEdit="1"/>
                </xdr:cNvSpPr>
              </xdr:nvSpPr>
              <xdr:spPr>
                <a:xfrm>
                  <a:off x="17082518" y="1125839"/>
                  <a:ext cx="8740813" cy="18091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11" name="Type 1">
                  <a:extLst>
                    <a:ext uri="{FF2B5EF4-FFF2-40B4-BE49-F238E27FC236}">
                      <a16:creationId xmlns:a16="http://schemas.microsoft.com/office/drawing/2014/main" id="{00000000-0008-0000-0400-00000B000000}"/>
                    </a:ext>
                  </a:extLst>
                </xdr:cNvPr>
                <xdr:cNvGraphicFramePr/>
              </xdr:nvGraphicFramePr>
              <xdr:xfrm>
                <a:off x="27561141" y="2980699"/>
                <a:ext cx="7243823" cy="1444283"/>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7081785" y="2915765"/>
                  <a:ext cx="8730989" cy="180917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18744742" y="1179454"/>
          <a:ext cx="6144941" cy="3493776"/>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9</xdr:col>
      <xdr:colOff>190500</xdr:colOff>
      <xdr:row>13</xdr:row>
      <xdr:rowOff>233158</xdr:rowOff>
    </xdr:from>
    <xdr:to>
      <xdr:col>11</xdr:col>
      <xdr:colOff>1490870</xdr:colOff>
      <xdr:row>21</xdr:row>
      <xdr:rowOff>229278</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1591173</xdr:colOff>
      <xdr:row>15</xdr:row>
      <xdr:rowOff>79871</xdr:rowOff>
    </xdr:from>
    <xdr:to>
      <xdr:col>13</xdr:col>
      <xdr:colOff>286770</xdr:colOff>
      <xdr:row>18</xdr:row>
      <xdr:rowOff>15888</xdr:rowOff>
    </xdr:to>
    <mc:AlternateContent xmlns:mc="http://schemas.openxmlformats.org/markup-compatibility/2006" xmlns:a14="http://schemas.microsoft.com/office/drawing/2010/main">
      <mc:Choice Requires="a14">
        <xdr:graphicFrame macro="">
          <xdr:nvGraphicFramePr>
            <xdr:cNvPr id="13" name="Year 8">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microsoft.com/office/drawing/2010/slicer">
              <sle:slicer xmlns:sle="http://schemas.microsoft.com/office/drawing/2010/slicer" name="Year 8"/>
            </a:graphicData>
          </a:graphic>
        </xdr:graphicFrame>
      </mc:Choice>
      <mc:Fallback xmlns="">
        <xdr:sp macro="" textlink="">
          <xdr:nvSpPr>
            <xdr:cNvPr id="0" name=""/>
            <xdr:cNvSpPr>
              <a:spLocks noTextEdit="1"/>
            </xdr:cNvSpPr>
          </xdr:nvSpPr>
          <xdr:spPr>
            <a:xfrm>
              <a:off x="23892373" y="5667871"/>
              <a:ext cx="1845197" cy="1206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84172</xdr:colOff>
      <xdr:row>21</xdr:row>
      <xdr:rowOff>166406</xdr:rowOff>
    </xdr:from>
    <xdr:to>
      <xdr:col>13</xdr:col>
      <xdr:colOff>396458</xdr:colOff>
      <xdr:row>29</xdr:row>
      <xdr:rowOff>130498</xdr:rowOff>
    </xdr:to>
    <xdr:grpSp>
      <xdr:nvGrpSpPr>
        <xdr:cNvPr id="14" name="Group 13">
          <a:extLst>
            <a:ext uri="{FF2B5EF4-FFF2-40B4-BE49-F238E27FC236}">
              <a16:creationId xmlns:a16="http://schemas.microsoft.com/office/drawing/2014/main" id="{00000000-0008-0000-0400-00000E000000}"/>
            </a:ext>
          </a:extLst>
        </xdr:cNvPr>
        <xdr:cNvGrpSpPr/>
      </xdr:nvGrpSpPr>
      <xdr:grpSpPr>
        <a:xfrm>
          <a:off x="17152972" y="8243606"/>
          <a:ext cx="8694286" cy="2986692"/>
          <a:chOff x="12771809" y="9797788"/>
          <a:chExt cx="8661450" cy="2865156"/>
        </a:xfrm>
      </xdr:grpSpPr>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12771809" y="9797788"/>
          <a:ext cx="5933084" cy="2865156"/>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6" name="Company 1">
                <a:extLst>
                  <a:ext uri="{FF2B5EF4-FFF2-40B4-BE49-F238E27FC236}">
                    <a16:creationId xmlns:a16="http://schemas.microsoft.com/office/drawing/2014/main" id="{00000000-0008-0000-0400-000010000000}"/>
                  </a:ext>
                </a:extLst>
              </xdr:cNvPr>
              <xdr:cNvGraphicFramePr/>
            </xdr:nvGraphicFramePr>
            <xdr:xfrm>
              <a:off x="19519565" y="9980736"/>
              <a:ext cx="1913694" cy="914474"/>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23926309" y="8434314"/>
                <a:ext cx="1920949" cy="953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c:userShapes xmlns:c="http://schemas.openxmlformats.org/drawingml/2006/chart">
  <cdr:relSizeAnchor xmlns:cdr="http://schemas.openxmlformats.org/drawingml/2006/chartDrawing">
    <cdr:from>
      <cdr:x>0.87344</cdr:x>
      <cdr:y>0.20263</cdr:y>
    </cdr:from>
    <cdr:to>
      <cdr:x>0.87344</cdr:x>
      <cdr:y>0.81127</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4081050" y="145743"/>
          <a:ext cx="0" cy="437771"/>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40.xml><?xml version="1.0" encoding="utf-8"?>
<c:userShapes xmlns:c="http://schemas.openxmlformats.org/drawingml/2006/chart">
  <cdr:relSizeAnchor xmlns:cdr="http://schemas.openxmlformats.org/drawingml/2006/chartDrawing">
    <cdr:from>
      <cdr:x>0.14029</cdr:x>
      <cdr:y>0.12763</cdr:y>
    </cdr:from>
    <cdr:to>
      <cdr:x>0.40419</cdr:x>
      <cdr:y>0.20024</cdr:y>
    </cdr:to>
    <cdr:sp macro="" textlink="">
      <cdr:nvSpPr>
        <cdr:cNvPr id="3" name="TextBox 2">
          <a:extLst xmlns:a="http://schemas.openxmlformats.org/drawingml/2006/main">
            <a:ext uri="{FF2B5EF4-FFF2-40B4-BE49-F238E27FC236}">
              <a16:creationId xmlns:a16="http://schemas.microsoft.com/office/drawing/2014/main" id="{6C2D5E93-AEF0-BDFE-8E3D-257AC3A02D01}"/>
            </a:ext>
          </a:extLst>
        </cdr:cNvPr>
        <cdr:cNvSpPr txBox="1"/>
      </cdr:nvSpPr>
      <cdr:spPr>
        <a:xfrm xmlns:a="http://schemas.openxmlformats.org/drawingml/2006/main">
          <a:off x="830298" y="370328"/>
          <a:ext cx="1561863" cy="2106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a:solidFill>
                <a:schemeClr val="bg1">
                  <a:lumMod val="75000"/>
                </a:schemeClr>
              </a:solidFill>
            </a:rPr>
            <a:t>Element</a:t>
          </a:r>
          <a:r>
            <a:rPr lang="en-US" sz="1000" b="0" baseline="0">
              <a:solidFill>
                <a:schemeClr val="bg1">
                  <a:lumMod val="75000"/>
                </a:schemeClr>
              </a:solidFill>
            </a:rPr>
            <a:t> of ROE</a:t>
          </a:r>
          <a:endParaRPr lang="en-US" sz="1000" b="0">
            <a:solidFill>
              <a:schemeClr val="bg1">
                <a:lumMod val="75000"/>
              </a:schemeClr>
            </a:solidFill>
          </a:endParaRPr>
        </a:p>
      </cdr:txBody>
    </cdr:sp>
  </cdr:relSizeAnchor>
  <cdr:relSizeAnchor xmlns:cdr="http://schemas.openxmlformats.org/drawingml/2006/chartDrawing">
    <cdr:from>
      <cdr:x>0.32072</cdr:x>
      <cdr:y>0.15323</cdr:y>
    </cdr:from>
    <cdr:to>
      <cdr:x>0.32072</cdr:x>
      <cdr:y>0.1858</cdr:y>
    </cdr:to>
    <cdr:cxnSp macro="">
      <cdr:nvCxnSpPr>
        <cdr:cNvPr id="5" name="Straight Connector 4">
          <a:extLst xmlns:a="http://schemas.openxmlformats.org/drawingml/2006/main">
            <a:ext uri="{FF2B5EF4-FFF2-40B4-BE49-F238E27FC236}">
              <a16:creationId xmlns:a16="http://schemas.microsoft.com/office/drawing/2014/main" id="{CB8E3FB5-52F8-53B4-79BC-0A5F32AF6357}"/>
            </a:ext>
          </a:extLst>
        </cdr:cNvPr>
        <cdr:cNvCxnSpPr/>
      </cdr:nvCxnSpPr>
      <cdr:spPr>
        <a:xfrm xmlns:a="http://schemas.openxmlformats.org/drawingml/2006/main">
          <a:off x="1898131" y="444621"/>
          <a:ext cx="0" cy="94504"/>
        </a:xfrm>
        <a:prstGeom xmlns:a="http://schemas.openxmlformats.org/drawingml/2006/main" prst="line">
          <a:avLst/>
        </a:prstGeom>
        <a:ln xmlns:a="http://schemas.openxmlformats.org/drawingml/2006/main" w="12700">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0.31951</cdr:x>
      <cdr:y>0.12846</cdr:y>
    </cdr:from>
    <cdr:to>
      <cdr:x>0.58342</cdr:x>
      <cdr:y>0.20107</cdr:y>
    </cdr:to>
    <cdr:sp macro="" textlink="">
      <cdr:nvSpPr>
        <cdr:cNvPr id="8" name="TextBox 1">
          <a:extLst xmlns:a="http://schemas.openxmlformats.org/drawingml/2006/main">
            <a:ext uri="{FF2B5EF4-FFF2-40B4-BE49-F238E27FC236}">
              <a16:creationId xmlns:a16="http://schemas.microsoft.com/office/drawing/2014/main" id="{96FD5160-886D-B139-D7ED-AF074A5874D8}"/>
            </a:ext>
          </a:extLst>
        </cdr:cNvPr>
        <cdr:cNvSpPr txBox="1"/>
      </cdr:nvSpPr>
      <cdr:spPr>
        <a:xfrm xmlns:a="http://schemas.openxmlformats.org/drawingml/2006/main">
          <a:off x="1890957" y="372733"/>
          <a:ext cx="1561922" cy="2106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bg1">
                  <a:lumMod val="75000"/>
                </a:schemeClr>
              </a:solidFill>
            </a:rPr>
            <a:t>Value</a:t>
          </a:r>
        </a:p>
      </cdr:txBody>
    </cdr:sp>
  </cdr:relSizeAnchor>
</c:userShapes>
</file>

<file path=xl/drawings/drawing41.xml><?xml version="1.0" encoding="utf-8"?>
<xdr:wsDr xmlns:xdr="http://schemas.openxmlformats.org/drawingml/2006/spreadsheetDrawing" xmlns:a="http://schemas.openxmlformats.org/drawingml/2006/main">
  <xdr:twoCellAnchor>
    <xdr:from>
      <xdr:col>11</xdr:col>
      <xdr:colOff>797614</xdr:colOff>
      <xdr:row>6</xdr:row>
      <xdr:rowOff>296516</xdr:rowOff>
    </xdr:from>
    <xdr:to>
      <xdr:col>17</xdr:col>
      <xdr:colOff>364716</xdr:colOff>
      <xdr:row>18</xdr:row>
      <xdr:rowOff>151966</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801511</xdr:colOff>
      <xdr:row>18</xdr:row>
      <xdr:rowOff>138723</xdr:rowOff>
    </xdr:from>
    <xdr:to>
      <xdr:col>17</xdr:col>
      <xdr:colOff>361245</xdr:colOff>
      <xdr:row>27</xdr:row>
      <xdr:rowOff>68385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9</xdr:col>
      <xdr:colOff>390426</xdr:colOff>
      <xdr:row>1</xdr:row>
      <xdr:rowOff>99182</xdr:rowOff>
    </xdr:from>
    <xdr:to>
      <xdr:col>31</xdr:col>
      <xdr:colOff>771677</xdr:colOff>
      <xdr:row>62</xdr:row>
      <xdr:rowOff>12093</xdr:rowOff>
    </xdr:to>
    <xdr:grpSp>
      <xdr:nvGrpSpPr>
        <xdr:cNvPr id="36" name="Group 35">
          <a:extLst>
            <a:ext uri="{FF2B5EF4-FFF2-40B4-BE49-F238E27FC236}">
              <a16:creationId xmlns:a16="http://schemas.microsoft.com/office/drawing/2014/main" id="{00000000-0008-0000-0700-000024000000}"/>
            </a:ext>
          </a:extLst>
        </xdr:cNvPr>
        <xdr:cNvGrpSpPr/>
      </xdr:nvGrpSpPr>
      <xdr:grpSpPr>
        <a:xfrm>
          <a:off x="12860512" y="307199"/>
          <a:ext cx="24500303" cy="10718860"/>
          <a:chOff x="11675283" y="570896"/>
          <a:chExt cx="24656393" cy="11052626"/>
        </a:xfrm>
      </xdr:grpSpPr>
      <xdr:grpSp>
        <xdr:nvGrpSpPr>
          <xdr:cNvPr id="34" name="Group 33">
            <a:extLst>
              <a:ext uri="{FF2B5EF4-FFF2-40B4-BE49-F238E27FC236}">
                <a16:creationId xmlns:a16="http://schemas.microsoft.com/office/drawing/2014/main" id="{00000000-0008-0000-0700-000022000000}"/>
              </a:ext>
            </a:extLst>
          </xdr:cNvPr>
          <xdr:cNvGrpSpPr/>
        </xdr:nvGrpSpPr>
        <xdr:grpSpPr>
          <a:xfrm>
            <a:off x="11675283" y="570896"/>
            <a:ext cx="24656393" cy="11052626"/>
            <a:chOff x="27639788" y="2483349"/>
            <a:chExt cx="24735012" cy="10800850"/>
          </a:xfrm>
        </xdr:grpSpPr>
        <xdr:grpSp>
          <xdr:nvGrpSpPr>
            <xdr:cNvPr id="29" name="Group 28">
              <a:extLst>
                <a:ext uri="{FF2B5EF4-FFF2-40B4-BE49-F238E27FC236}">
                  <a16:creationId xmlns:a16="http://schemas.microsoft.com/office/drawing/2014/main" id="{00000000-0008-0000-0700-00001D000000}"/>
                </a:ext>
              </a:extLst>
            </xdr:cNvPr>
            <xdr:cNvGrpSpPr/>
          </xdr:nvGrpSpPr>
          <xdr:grpSpPr>
            <a:xfrm>
              <a:off x="27639788" y="2483349"/>
              <a:ext cx="24735012" cy="10800850"/>
              <a:chOff x="29443188" y="-3638051"/>
              <a:chExt cx="24735012" cy="10800850"/>
            </a:xfrm>
          </xdr:grpSpPr>
          <xdr:grpSp>
            <xdr:nvGrpSpPr>
              <xdr:cNvPr id="28" name="Group 27">
                <a:extLst>
                  <a:ext uri="{FF2B5EF4-FFF2-40B4-BE49-F238E27FC236}">
                    <a16:creationId xmlns:a16="http://schemas.microsoft.com/office/drawing/2014/main" id="{00000000-0008-0000-0700-00001C000000}"/>
                  </a:ext>
                </a:extLst>
              </xdr:cNvPr>
              <xdr:cNvGrpSpPr/>
            </xdr:nvGrpSpPr>
            <xdr:grpSpPr>
              <a:xfrm>
                <a:off x="29443188" y="-3638051"/>
                <a:ext cx="24735012" cy="10800850"/>
                <a:chOff x="29443188" y="-3638051"/>
                <a:chExt cx="24735012" cy="10800850"/>
              </a:xfrm>
            </xdr:grpSpPr>
            <xdr:grpSp>
              <xdr:nvGrpSpPr>
                <xdr:cNvPr id="12" name="Group 11">
                  <a:extLst>
                    <a:ext uri="{FF2B5EF4-FFF2-40B4-BE49-F238E27FC236}">
                      <a16:creationId xmlns:a16="http://schemas.microsoft.com/office/drawing/2014/main" id="{00000000-0008-0000-0700-00000C000000}"/>
                    </a:ext>
                  </a:extLst>
                </xdr:cNvPr>
                <xdr:cNvGrpSpPr/>
              </xdr:nvGrpSpPr>
              <xdr:grpSpPr>
                <a:xfrm>
                  <a:off x="29443188" y="-3638051"/>
                  <a:ext cx="24735012" cy="10800850"/>
                  <a:chOff x="26873197" y="-4106952"/>
                  <a:chExt cx="24268649" cy="11317803"/>
                </a:xfrm>
              </xdr:grpSpPr>
              <xdr:grpSp>
                <xdr:nvGrpSpPr>
                  <xdr:cNvPr id="10" name="Group 9">
                    <a:extLst>
                      <a:ext uri="{FF2B5EF4-FFF2-40B4-BE49-F238E27FC236}">
                        <a16:creationId xmlns:a16="http://schemas.microsoft.com/office/drawing/2014/main" id="{00000000-0008-0000-0700-00000A000000}"/>
                      </a:ext>
                    </a:extLst>
                  </xdr:cNvPr>
                  <xdr:cNvGrpSpPr/>
                </xdr:nvGrpSpPr>
                <xdr:grpSpPr>
                  <a:xfrm>
                    <a:off x="26873197" y="-4106952"/>
                    <a:ext cx="24268649" cy="11317803"/>
                    <a:chOff x="17668771" y="-4555483"/>
                    <a:chExt cx="24511322" cy="12358597"/>
                  </a:xfrm>
                </xdr:grpSpPr>
                <xdr:grpSp>
                  <xdr:nvGrpSpPr>
                    <xdr:cNvPr id="4" name="Group 3">
                      <a:extLst>
                        <a:ext uri="{FF2B5EF4-FFF2-40B4-BE49-F238E27FC236}">
                          <a16:creationId xmlns:a16="http://schemas.microsoft.com/office/drawing/2014/main" id="{00000000-0008-0000-0700-000004000000}"/>
                        </a:ext>
                      </a:extLst>
                    </xdr:cNvPr>
                    <xdr:cNvGrpSpPr/>
                  </xdr:nvGrpSpPr>
                  <xdr:grpSpPr>
                    <a:xfrm>
                      <a:off x="17668771" y="-4555483"/>
                      <a:ext cx="24511322" cy="12358597"/>
                      <a:chOff x="11533410" y="-3018868"/>
                      <a:chExt cx="24265319" cy="11333214"/>
                    </a:xfrm>
                  </xdr:grpSpPr>
                  <xdr:sp macro="" textlink="">
                    <xdr:nvSpPr>
                      <xdr:cNvPr id="7" name="Rectangle 6">
                        <a:extLst>
                          <a:ext uri="{FF2B5EF4-FFF2-40B4-BE49-F238E27FC236}">
                            <a16:creationId xmlns:a16="http://schemas.microsoft.com/office/drawing/2014/main" id="{00000000-0008-0000-0700-000007000000}"/>
                          </a:ext>
                        </a:extLst>
                      </xdr:cNvPr>
                      <xdr:cNvSpPr/>
                    </xdr:nvSpPr>
                    <xdr:spPr>
                      <a:xfrm>
                        <a:off x="11533410" y="-3018868"/>
                        <a:ext cx="24265319" cy="1133321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a:p>
                        <a:pPr algn="l"/>
                        <a:endParaRPr lang="en-US" sz="1100"/>
                      </a:p>
                      <a:p>
                        <a:pPr algn="l"/>
                        <a:endParaRPr lang="en-US" sz="1100"/>
                      </a:p>
                    </xdr:txBody>
                  </xdr:sp>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16762016" y="2607466"/>
                      <a:ext cx="4590918" cy="5616662"/>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6223749" y="4539351"/>
                        <a:ext cx="3275833" cy="561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75000"/>
                              </a:schemeClr>
                            </a:solidFill>
                            <a:latin typeface="Arial" panose="020B0604020202020204" pitchFamily="34" charset="0"/>
                            <a:cs typeface="Arial" panose="020B0604020202020204" pitchFamily="34" charset="0"/>
                          </a:rPr>
                          <a:t>-24,3</a:t>
                        </a:r>
                        <a:r>
                          <a:rPr lang="en-US" sz="1800" b="1" baseline="0">
                            <a:solidFill>
                              <a:schemeClr val="accent1">
                                <a:lumMod val="75000"/>
                              </a:schemeClr>
                            </a:solidFill>
                            <a:latin typeface="Arial" panose="020B0604020202020204" pitchFamily="34" charset="0"/>
                            <a:cs typeface="Arial" panose="020B0604020202020204" pitchFamily="34" charset="0"/>
                          </a:rPr>
                          <a:t> T</a:t>
                        </a:r>
                      </a:p>
                      <a:p>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xdr:txBody>
                  </xdr:sp>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6954175" y="3438602"/>
                        <a:ext cx="3222884" cy="4275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65000"/>
                                <a:lumOff val="35000"/>
                              </a:schemeClr>
                            </a:solidFill>
                            <a:latin typeface="Arial" panose="020B0604020202020204" pitchFamily="34" charset="0"/>
                            <a:cs typeface="Arial" panose="020B0604020202020204" pitchFamily="34" charset="0"/>
                          </a:rPr>
                          <a:t>Gross Profit (EBITDA)</a:t>
                        </a:r>
                      </a:p>
                      <a:p>
                        <a:r>
                          <a:rPr lang="en-US" sz="800">
                            <a:solidFill>
                              <a:schemeClr val="bg2">
                                <a:lumMod val="75000"/>
                              </a:schemeClr>
                            </a:solidFill>
                            <a:latin typeface="Arial" panose="020B0604020202020204" pitchFamily="34" charset="0"/>
                            <a:cs typeface="Arial" panose="020B0604020202020204" pitchFamily="34" charset="0"/>
                          </a:rPr>
                          <a:t>vs YTD PY</a:t>
                        </a:r>
                      </a:p>
                    </xdr:txBody>
                  </xdr:sp>
                </xdr:grpSp>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23159254" y="2873510"/>
                    <a:ext cx="4679397" cy="672327"/>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3" name="Group 2">
                    <a:extLst>
                      <a:ext uri="{FF2B5EF4-FFF2-40B4-BE49-F238E27FC236}">
                        <a16:creationId xmlns:a16="http://schemas.microsoft.com/office/drawing/2014/main" id="{00000000-0008-0000-0700-000003000000}"/>
                      </a:ext>
                    </a:extLst>
                  </xdr:cNvPr>
                  <xdr:cNvGrpSpPr/>
                </xdr:nvGrpSpPr>
                <xdr:grpSpPr>
                  <a:xfrm>
                    <a:off x="27451297" y="1527841"/>
                    <a:ext cx="4575249" cy="4445689"/>
                    <a:chOff x="27595230" y="1629441"/>
                    <a:chExt cx="4617583" cy="4835156"/>
                  </a:xfrm>
                </xdr:grpSpPr>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27595230" y="1629441"/>
                    <a:ext cx="4617583" cy="483515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a:extLst>
                        <a:ext uri="{FF2B5EF4-FFF2-40B4-BE49-F238E27FC236}">
                          <a16:creationId xmlns:a16="http://schemas.microsoft.com/office/drawing/2014/main" id="{00000000-0008-0000-0700-00000B000000}"/>
                        </a:ext>
                      </a:extLst>
                    </xdr:cNvPr>
                    <xdr:cNvGraphicFramePr>
                      <a:graphicFrameLocks/>
                    </xdr:cNvGraphicFramePr>
                  </xdr:nvGraphicFramePr>
                  <xdr:xfrm>
                    <a:off x="27609447" y="2861184"/>
                    <a:ext cx="4271563" cy="759661"/>
                  </xdr:xfrm>
                  <a:graphic>
                    <a:graphicData uri="http://schemas.openxmlformats.org/drawingml/2006/chart">
                      <c:chart xmlns:c="http://schemas.openxmlformats.org/drawingml/2006/chart" xmlns:r="http://schemas.openxmlformats.org/officeDocument/2006/relationships" r:id="rId4"/>
                    </a:graphicData>
                  </a:graphic>
                </xdr:graphicFrame>
              </xdr:grpSp>
            </xdr:grpSp>
            <xdr:grpSp>
              <xdr:nvGrpSpPr>
                <xdr:cNvPr id="24" name="Group 23">
                  <a:extLst>
                    <a:ext uri="{FF2B5EF4-FFF2-40B4-BE49-F238E27FC236}">
                      <a16:creationId xmlns:a16="http://schemas.microsoft.com/office/drawing/2014/main" id="{00000000-0008-0000-0700-000018000000}"/>
                    </a:ext>
                  </a:extLst>
                </xdr:cNvPr>
                <xdr:cNvGrpSpPr/>
              </xdr:nvGrpSpPr>
              <xdr:grpSpPr>
                <a:xfrm>
                  <a:off x="39962668" y="1723328"/>
                  <a:ext cx="13746535" cy="4246968"/>
                  <a:chOff x="39751001" y="1782595"/>
                  <a:chExt cx="13602602" cy="4450168"/>
                </a:xfrm>
              </xdr:grpSpPr>
              <xdr:grpSp>
                <xdr:nvGrpSpPr>
                  <xdr:cNvPr id="16" name="Group 15">
                    <a:extLst>
                      <a:ext uri="{FF2B5EF4-FFF2-40B4-BE49-F238E27FC236}">
                        <a16:creationId xmlns:a16="http://schemas.microsoft.com/office/drawing/2014/main" id="{00000000-0008-0000-0700-000010000000}"/>
                      </a:ext>
                    </a:extLst>
                  </xdr:cNvPr>
                  <xdr:cNvGrpSpPr/>
                </xdr:nvGrpSpPr>
                <xdr:grpSpPr>
                  <a:xfrm>
                    <a:off x="39751001" y="1786467"/>
                    <a:ext cx="4552854" cy="4446296"/>
                    <a:chOff x="19439557" y="6933090"/>
                    <a:chExt cx="4602816" cy="4852696"/>
                  </a:xfrm>
                </xdr:grpSpPr>
                <xdr:graphicFrame macro="">
                  <xdr:nvGraphicFramePr>
                    <xdr:cNvPr id="14" name="Chart 13">
                      <a:extLst>
                        <a:ext uri="{FF2B5EF4-FFF2-40B4-BE49-F238E27FC236}">
                          <a16:creationId xmlns:a16="http://schemas.microsoft.com/office/drawing/2014/main" id="{00000000-0008-0000-0700-00000E000000}"/>
                        </a:ext>
                      </a:extLst>
                    </xdr:cNvPr>
                    <xdr:cNvGraphicFramePr>
                      <a:graphicFrameLocks/>
                    </xdr:cNvGraphicFramePr>
                  </xdr:nvGraphicFramePr>
                  <xdr:xfrm>
                    <a:off x="19439557" y="6933090"/>
                    <a:ext cx="4602816" cy="485269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19440429" y="8178639"/>
                    <a:ext cx="4363553" cy="765329"/>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18" name="Group 17">
                    <a:extLst>
                      <a:ext uri="{FF2B5EF4-FFF2-40B4-BE49-F238E27FC236}">
                        <a16:creationId xmlns:a16="http://schemas.microsoft.com/office/drawing/2014/main" id="{00000000-0008-0000-0700-000012000000}"/>
                      </a:ext>
                    </a:extLst>
                  </xdr:cNvPr>
                  <xdr:cNvGrpSpPr/>
                </xdr:nvGrpSpPr>
                <xdr:grpSpPr>
                  <a:xfrm>
                    <a:off x="44326045" y="1785569"/>
                    <a:ext cx="4550680" cy="4446296"/>
                    <a:chOff x="19439557" y="6933091"/>
                    <a:chExt cx="4602816" cy="4852696"/>
                  </a:xfrm>
                </xdr:grpSpPr>
                <xdr:graphicFrame macro="">
                  <xdr:nvGraphicFramePr>
                    <xdr:cNvPr id="19" name="Chart 18">
                      <a:extLst>
                        <a:ext uri="{FF2B5EF4-FFF2-40B4-BE49-F238E27FC236}">
                          <a16:creationId xmlns:a16="http://schemas.microsoft.com/office/drawing/2014/main" id="{00000000-0008-0000-0700-000013000000}"/>
                        </a:ext>
                      </a:extLst>
                    </xdr:cNvPr>
                    <xdr:cNvGraphicFramePr>
                      <a:graphicFrameLocks/>
                    </xdr:cNvGraphicFramePr>
                  </xdr:nvGraphicFramePr>
                  <xdr:xfrm>
                    <a:off x="19439557" y="6933091"/>
                    <a:ext cx="4602816" cy="485269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0" name="Chart 19">
                      <a:extLst>
                        <a:ext uri="{FF2B5EF4-FFF2-40B4-BE49-F238E27FC236}">
                          <a16:creationId xmlns:a16="http://schemas.microsoft.com/office/drawing/2014/main" id="{00000000-0008-0000-0700-000014000000}"/>
                        </a:ext>
                      </a:extLst>
                    </xdr:cNvPr>
                    <xdr:cNvGraphicFramePr>
                      <a:graphicFrameLocks/>
                    </xdr:cNvGraphicFramePr>
                  </xdr:nvGraphicFramePr>
                  <xdr:xfrm>
                    <a:off x="19440429" y="8178639"/>
                    <a:ext cx="4543355" cy="765329"/>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21" name="Group 20">
                    <a:extLst>
                      <a:ext uri="{FF2B5EF4-FFF2-40B4-BE49-F238E27FC236}">
                        <a16:creationId xmlns:a16="http://schemas.microsoft.com/office/drawing/2014/main" id="{00000000-0008-0000-0700-000015000000}"/>
                      </a:ext>
                    </a:extLst>
                  </xdr:cNvPr>
                  <xdr:cNvGrpSpPr/>
                </xdr:nvGrpSpPr>
                <xdr:grpSpPr>
                  <a:xfrm>
                    <a:off x="48721610" y="1782595"/>
                    <a:ext cx="4631993" cy="4446296"/>
                    <a:chOff x="19439557" y="6933091"/>
                    <a:chExt cx="4673157" cy="4852696"/>
                  </a:xfrm>
                </xdr:grpSpPr>
                <xdr:graphicFrame macro="">
                  <xdr:nvGraphicFramePr>
                    <xdr:cNvPr id="22" name="Chart 21">
                      <a:extLst>
                        <a:ext uri="{FF2B5EF4-FFF2-40B4-BE49-F238E27FC236}">
                          <a16:creationId xmlns:a16="http://schemas.microsoft.com/office/drawing/2014/main" id="{00000000-0008-0000-0700-000016000000}"/>
                        </a:ext>
                      </a:extLst>
                    </xdr:cNvPr>
                    <xdr:cNvGraphicFramePr>
                      <a:graphicFrameLocks/>
                    </xdr:cNvGraphicFramePr>
                  </xdr:nvGraphicFramePr>
                  <xdr:xfrm>
                    <a:off x="19439557" y="6933091"/>
                    <a:ext cx="4602816" cy="485269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3" name="Chart 22">
                      <a:extLst>
                        <a:ext uri="{FF2B5EF4-FFF2-40B4-BE49-F238E27FC236}">
                          <a16:creationId xmlns:a16="http://schemas.microsoft.com/office/drawing/2014/main" id="{00000000-0008-0000-0700-000017000000}"/>
                        </a:ext>
                      </a:extLst>
                    </xdr:cNvPr>
                    <xdr:cNvGraphicFramePr>
                      <a:graphicFrameLocks/>
                    </xdr:cNvGraphicFramePr>
                  </xdr:nvGraphicFramePr>
                  <xdr:xfrm>
                    <a:off x="19440428" y="8178639"/>
                    <a:ext cx="4672286" cy="765329"/>
                  </xdr:xfrm>
                  <a:graphic>
                    <a:graphicData uri="http://schemas.openxmlformats.org/drawingml/2006/chart">
                      <c:chart xmlns:c="http://schemas.openxmlformats.org/drawingml/2006/chart" xmlns:r="http://schemas.openxmlformats.org/officeDocument/2006/relationships" r:id="rId10"/>
                    </a:graphicData>
                  </a:graphic>
                </xdr:graphicFrame>
              </xdr:grpSp>
            </xdr:grpSp>
          </xdr:grpSp>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29997400" y="1930400"/>
                <a:ext cx="43942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65000"/>
                        <a:lumOff val="35000"/>
                      </a:schemeClr>
                    </a:solidFill>
                  </a:rPr>
                  <a:t>VERTICAL ANALYSIS</a:t>
                </a:r>
              </a:p>
            </xdr:txBody>
          </xdr:sp>
        </xdr:grpSp>
        <xdr:graphicFrame macro="">
          <xdr:nvGraphicFramePr>
            <xdr:cNvPr id="13" name="Chart 12">
              <a:extLst>
                <a:ext uri="{FF2B5EF4-FFF2-40B4-BE49-F238E27FC236}">
                  <a16:creationId xmlns:a16="http://schemas.microsoft.com/office/drawing/2014/main" id="{00000000-0008-0000-0700-00000D000000}"/>
                </a:ext>
              </a:extLst>
            </xdr:cNvPr>
            <xdr:cNvGraphicFramePr/>
          </xdr:nvGraphicFramePr>
          <xdr:xfrm>
            <a:off x="28101666" y="3185873"/>
            <a:ext cx="5189175" cy="3893474"/>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28311298" y="3218162"/>
              <a:ext cx="43942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65000"/>
                      <a:lumOff val="35000"/>
                    </a:schemeClr>
                  </a:solidFill>
                </a:rPr>
                <a:t>COMMON SIZE ANALYSIS</a:t>
              </a:r>
            </a:p>
          </xdr:txBody>
        </xdr:sp>
      </xdr:grpSp>
      <xdr:graphicFrame macro="">
        <xdr:nvGraphicFramePr>
          <xdr:cNvPr id="30" name="Chart 29">
            <a:extLst>
              <a:ext uri="{FF2B5EF4-FFF2-40B4-BE49-F238E27FC236}">
                <a16:creationId xmlns:a16="http://schemas.microsoft.com/office/drawing/2014/main" id="{00000000-0008-0000-0700-00001E000000}"/>
              </a:ext>
            </a:extLst>
          </xdr:cNvPr>
          <xdr:cNvGraphicFramePr>
            <a:graphicFrameLocks/>
          </xdr:cNvGraphicFramePr>
        </xdr:nvGraphicFramePr>
        <xdr:xfrm>
          <a:off x="17534205" y="1548254"/>
          <a:ext cx="9812775" cy="3523100"/>
        </xdr:xfrm>
        <a:graphic>
          <a:graphicData uri="http://schemas.openxmlformats.org/drawingml/2006/chart">
            <c:chart xmlns:c="http://schemas.openxmlformats.org/drawingml/2006/chart" xmlns:r="http://schemas.openxmlformats.org/officeDocument/2006/relationships" r:id="rId12"/>
          </a:graphicData>
        </a:graphic>
      </xdr:graphicFrame>
      <mc:AlternateContent xmlns:mc="http://schemas.openxmlformats.org/markup-compatibility/2006" xmlns:a14="http://schemas.microsoft.com/office/drawing/2010/main">
        <mc:Choice Requires="a14">
          <xdr:graphicFrame macro="">
            <xdr:nvGraphicFramePr>
              <xdr:cNvPr id="31" name="Year 6">
                <a:extLst>
                  <a:ext uri="{FF2B5EF4-FFF2-40B4-BE49-F238E27FC236}">
                    <a16:creationId xmlns:a16="http://schemas.microsoft.com/office/drawing/2014/main" id="{00000000-0008-0000-0700-00001F000000}"/>
                  </a:ext>
                </a:extLst>
              </xdr:cNvPr>
              <xdr:cNvGraphicFramePr/>
            </xdr:nvGraphicFramePr>
            <xdr:xfrm>
              <a:off x="18299190" y="5055281"/>
              <a:ext cx="7245954" cy="924605"/>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17760306" y="4872954"/>
                <a:ext cx="7192323" cy="945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45</xdr:col>
      <xdr:colOff>101600</xdr:colOff>
      <xdr:row>7</xdr:row>
      <xdr:rowOff>25400</xdr:rowOff>
    </xdr:from>
    <xdr:to>
      <xdr:col>48</xdr:col>
      <xdr:colOff>957471</xdr:colOff>
      <xdr:row>31</xdr:row>
      <xdr:rowOff>159447</xdr:rowOff>
    </xdr:to>
    <xdr:graphicFrame macro="">
      <xdr:nvGraphicFramePr>
        <xdr:cNvPr id="35" name="Chart 34">
          <a:extLst>
            <a:ext uri="{FF2B5EF4-FFF2-40B4-BE49-F238E27FC236}">
              <a16:creationId xmlns:a16="http://schemas.microsoft.com/office/drawing/2014/main" id="{D34641F0-1AFF-D144-AD71-CA25EE8A3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45</xdr:col>
      <xdr:colOff>116278</xdr:colOff>
      <xdr:row>13</xdr:row>
      <xdr:rowOff>79806</xdr:rowOff>
    </xdr:from>
    <xdr:to>
      <xdr:col>48</xdr:col>
      <xdr:colOff>614897</xdr:colOff>
      <xdr:row>17</xdr:row>
      <xdr:rowOff>60095</xdr:rowOff>
    </xdr:to>
    <xdr:graphicFrame macro="">
      <xdr:nvGraphicFramePr>
        <xdr:cNvPr id="37" name="Chart 36">
          <a:extLst>
            <a:ext uri="{FF2B5EF4-FFF2-40B4-BE49-F238E27FC236}">
              <a16:creationId xmlns:a16="http://schemas.microsoft.com/office/drawing/2014/main" id="{67E738FC-6DEF-F948-ADAA-08CE228A9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0.58526</cdr:x>
      <cdr:y>0.34635</cdr:y>
    </cdr:from>
    <cdr:to>
      <cdr:x>0.98773</cdr:x>
      <cdr:y>0.43095</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676935" y="1968489"/>
          <a:ext cx="1840867" cy="48082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-59</a:t>
          </a:r>
          <a:r>
            <a:rPr lang="en-US" sz="1800" b="1" baseline="0">
              <a:solidFill>
                <a:schemeClr val="accent1">
                  <a:lumMod val="75000"/>
                </a:schemeClr>
              </a:solidFill>
              <a:latin typeface="Arial" panose="020B0604020202020204" pitchFamily="34" charset="0"/>
              <a:cs typeface="Arial" panose="020B0604020202020204" pitchFamily="34" charset="0"/>
            </a:rPr>
            <a:t> %</a:t>
          </a:r>
        </a:p>
        <a:p xmlns:a="http://schemas.openxmlformats.org/drawingml/2006/main">
          <a:pPr algn="ctr"/>
          <a:r>
            <a:rPr lang="en-US" sz="800" b="0" i="1" baseline="0">
              <a:solidFill>
                <a:schemeClr val="bg2">
                  <a:lumMod val="75000"/>
                </a:schemeClr>
              </a:solidFill>
              <a:latin typeface="Arial" panose="020B0604020202020204" pitchFamily="34" charset="0"/>
              <a:cs typeface="Arial" panose="020B0604020202020204" pitchFamily="34" charset="0"/>
            </a:rPr>
            <a:t>%</a:t>
          </a:r>
          <a:r>
            <a:rPr lang="en-US" sz="1000" b="0" i="1" baseline="0">
              <a:solidFill>
                <a:schemeClr val="bg2">
                  <a:lumMod val="75000"/>
                </a:schemeClr>
              </a:solidFill>
              <a:latin typeface="Symbol" pitchFamily="2" charset="2"/>
              <a:cs typeface="Arial" panose="020B0604020202020204" pitchFamily="34" charset="0"/>
            </a:rPr>
            <a:t>D </a:t>
          </a:r>
          <a:r>
            <a:rPr lang="en-US" sz="800" b="0" i="1" baseline="0">
              <a:solidFill>
                <a:schemeClr val="bg2">
                  <a:lumMod val="75000"/>
                </a:schemeClr>
              </a:solidFill>
              <a:latin typeface="Arial" panose="020B0604020202020204" pitchFamily="34" charset="0"/>
              <a:cs typeface="Arial" panose="020B0604020202020204" pitchFamily="34" charset="0"/>
            </a:rPr>
            <a:t>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0.88978</cdr:x>
      <cdr:y>0.15502</cdr:y>
    </cdr:from>
    <cdr:to>
      <cdr:x>0.88983</cdr:x>
      <cdr:y>0.8769</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4151528" y="91368"/>
          <a:ext cx="247" cy="425470"/>
        </a:xfrm>
        <a:prstGeom xmlns:a="http://schemas.openxmlformats.org/drawingml/2006/main" prst="line">
          <a:avLst/>
        </a:prstGeom>
        <a:ln xmlns:a="http://schemas.openxmlformats.org/drawingml/2006/main" w="254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45.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-8,3</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-6%</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0.03567</cdr:x>
      <cdr:y>0.18174</cdr:y>
    </cdr:from>
    <cdr:to>
      <cdr:x>0.74036</cdr:x>
      <cdr:y>0.26706</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163689" y="855133"/>
          <a:ext cx="3234072" cy="40149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Revenue</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46.xml><?xml version="1.0" encoding="utf-8"?>
<c:userShapes xmlns:c="http://schemas.openxmlformats.org/drawingml/2006/chart">
  <cdr:relSizeAnchor xmlns:cdr="http://schemas.openxmlformats.org/drawingml/2006/chartDrawing">
    <cdr:from>
      <cdr:x>0.91014</cdr:x>
      <cdr:y>0.18915</cdr:y>
    </cdr:from>
    <cdr:to>
      <cdr:x>0.91014</cdr:x>
      <cdr:y>0.79779</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925505" y="154345"/>
          <a:ext cx="0" cy="496644"/>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47.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-24,6</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-65%</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0.18174</cdr:y>
    </cdr:from>
    <cdr:to>
      <cdr:x>0.74036</cdr:x>
      <cdr:y>0.29391</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0" y="747887"/>
          <a:ext cx="3376313" cy="46159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EBIT</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48.xml><?xml version="1.0" encoding="utf-8"?>
<c:userShapes xmlns:c="http://schemas.openxmlformats.org/drawingml/2006/chart">
  <cdr:relSizeAnchor xmlns:cdr="http://schemas.openxmlformats.org/drawingml/2006/chartDrawing">
    <cdr:from>
      <cdr:x>0.91535</cdr:x>
      <cdr:y>0.19844</cdr:y>
    </cdr:from>
    <cdr:to>
      <cdr:x>0.91535</cdr:x>
      <cdr:y>0.80708</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959828" y="133141"/>
          <a:ext cx="0" cy="408358"/>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49.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-25,1</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-72%</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0.18174</cdr:y>
    </cdr:from>
    <cdr:to>
      <cdr:x>0.74036</cdr:x>
      <cdr:y>0.29391</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0" y="747887"/>
          <a:ext cx="3376313" cy="46159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EBT</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-13,6</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-14%</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0.01246</cdr:x>
      <cdr:y>0.16876</cdr:y>
    </cdr:from>
    <cdr:to>
      <cdr:x>0.42875</cdr:x>
      <cdr:y>0.28357</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58167" y="630083"/>
          <a:ext cx="1942697" cy="42867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Current Assets</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50.xml><?xml version="1.0" encoding="utf-8"?>
<c:userShapes xmlns:c="http://schemas.openxmlformats.org/drawingml/2006/chart">
  <cdr:relSizeAnchor xmlns:cdr="http://schemas.openxmlformats.org/drawingml/2006/chartDrawing">
    <cdr:from>
      <cdr:x>0.86202</cdr:x>
      <cdr:y>0.1994</cdr:y>
    </cdr:from>
    <cdr:to>
      <cdr:x>0.86202</cdr:x>
      <cdr:y>0.80803</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872096" y="133433"/>
          <a:ext cx="0" cy="407294"/>
        </a:xfrm>
        <a:prstGeom xmlns:a="http://schemas.openxmlformats.org/drawingml/2006/main" prst="line">
          <a:avLst/>
        </a:prstGeom>
        <a:ln xmlns:a="http://schemas.openxmlformats.org/drawingml/2006/main" w="254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51.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-26,1</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-76%</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0.18174</cdr:y>
    </cdr:from>
    <cdr:to>
      <cdr:x>0.74036</cdr:x>
      <cdr:y>0.29391</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0" y="747887"/>
          <a:ext cx="3376313" cy="46159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Net Profit</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52.xml><?xml version="1.0" encoding="utf-8"?>
<c:userShapes xmlns:c="http://schemas.openxmlformats.org/drawingml/2006/chart">
  <cdr:relSizeAnchor xmlns:cdr="http://schemas.openxmlformats.org/drawingml/2006/chartDrawing">
    <cdr:from>
      <cdr:x>0.84694</cdr:x>
      <cdr:y>0.2247</cdr:y>
    </cdr:from>
    <cdr:to>
      <cdr:x>0.84694</cdr:x>
      <cdr:y>0.83334</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914099" y="160553"/>
          <a:ext cx="0" cy="434891"/>
        </a:xfrm>
        <a:prstGeom xmlns:a="http://schemas.openxmlformats.org/drawingml/2006/main" prst="line">
          <a:avLst/>
        </a:prstGeom>
        <a:ln xmlns:a="http://schemas.openxmlformats.org/drawingml/2006/main" w="254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53.xml><?xml version="1.0" encoding="utf-8"?>
<c:userShapes xmlns:c="http://schemas.openxmlformats.org/drawingml/2006/chart">
  <cdr:relSizeAnchor xmlns:cdr="http://schemas.openxmlformats.org/drawingml/2006/chartDrawing">
    <cdr:from>
      <cdr:x>0.04646</cdr:x>
      <cdr:y>0.24299</cdr:y>
    </cdr:from>
    <cdr:to>
      <cdr:x>0.44952</cdr:x>
      <cdr:y>0.32163</cdr:y>
    </cdr:to>
    <cdr:sp macro="" textlink="">
      <cdr:nvSpPr>
        <cdr:cNvPr id="2" name="TextBox 1">
          <a:extLst xmlns:a="http://schemas.openxmlformats.org/drawingml/2006/main">
            <a:ext uri="{FF2B5EF4-FFF2-40B4-BE49-F238E27FC236}">
              <a16:creationId xmlns:a16="http://schemas.microsoft.com/office/drawing/2014/main" id="{F3E22081-467D-7C05-47F3-049857DD6926}"/>
            </a:ext>
          </a:extLst>
        </cdr:cNvPr>
        <cdr:cNvSpPr txBox="1"/>
      </cdr:nvSpPr>
      <cdr:spPr>
        <a:xfrm xmlns:a="http://schemas.openxmlformats.org/drawingml/2006/main">
          <a:off x="233164" y="755805"/>
          <a:ext cx="2022593" cy="2445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solidFill>
                <a:schemeClr val="bg1">
                  <a:lumMod val="75000"/>
                </a:schemeClr>
              </a:solidFill>
            </a:rPr>
            <a:t>Persentage per Revenue</a:t>
          </a:r>
        </a:p>
      </cdr:txBody>
    </cdr:sp>
  </cdr:relSizeAnchor>
  <cdr:relSizeAnchor xmlns:cdr="http://schemas.openxmlformats.org/drawingml/2006/chartDrawing">
    <cdr:from>
      <cdr:x>0.04459</cdr:x>
      <cdr:y>0.19763</cdr:y>
    </cdr:from>
    <cdr:to>
      <cdr:x>0.99257</cdr:x>
      <cdr:y>0.25812</cdr:y>
    </cdr:to>
    <cdr:sp macro="" textlink="">
      <cdr:nvSpPr>
        <cdr:cNvPr id="3" name="TextBox 2">
          <a:extLst xmlns:a="http://schemas.openxmlformats.org/drawingml/2006/main">
            <a:ext uri="{FF2B5EF4-FFF2-40B4-BE49-F238E27FC236}">
              <a16:creationId xmlns:a16="http://schemas.microsoft.com/office/drawing/2014/main" id="{C5B6FF0C-DA9C-D17A-C4CA-F0D87DDFFC94}"/>
            </a:ext>
          </a:extLst>
        </cdr:cNvPr>
        <cdr:cNvSpPr txBox="1"/>
      </cdr:nvSpPr>
      <cdr:spPr>
        <a:xfrm xmlns:a="http://schemas.openxmlformats.org/drawingml/2006/main">
          <a:off x="223718" y="615457"/>
          <a:ext cx="4756337" cy="1883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solidFill>
                <a:schemeClr val="accent1">
                  <a:lumMod val="50000"/>
                </a:schemeClr>
              </a:solidFill>
            </a:rPr>
            <a:t>Cost of Sales</a:t>
          </a:r>
          <a:r>
            <a:rPr lang="en-US" sz="800" b="1" baseline="0">
              <a:solidFill>
                <a:schemeClr val="accent1">
                  <a:lumMod val="50000"/>
                </a:schemeClr>
              </a:solidFill>
            </a:rPr>
            <a:t>        </a:t>
          </a:r>
          <a:r>
            <a:rPr lang="en-US" sz="800" b="1">
              <a:solidFill>
                <a:schemeClr val="accent1">
                  <a:lumMod val="60000"/>
                  <a:lumOff val="40000"/>
                </a:schemeClr>
              </a:solidFill>
            </a:rPr>
            <a:t>Operating Expenses</a:t>
          </a:r>
          <a:r>
            <a:rPr lang="en-US" sz="800"/>
            <a:t>        </a:t>
          </a:r>
          <a:r>
            <a:rPr lang="en-US" sz="800" b="1">
              <a:solidFill>
                <a:schemeClr val="accent1">
                  <a:lumMod val="40000"/>
                  <a:lumOff val="60000"/>
                </a:schemeClr>
              </a:solidFill>
            </a:rPr>
            <a:t>Interest Expenses</a:t>
          </a:r>
          <a:r>
            <a:rPr lang="en-US" sz="800" b="1" baseline="0">
              <a:solidFill>
                <a:schemeClr val="accent1">
                  <a:lumMod val="40000"/>
                  <a:lumOff val="60000"/>
                </a:schemeClr>
              </a:solidFill>
            </a:rPr>
            <a:t>        </a:t>
          </a:r>
          <a:r>
            <a:rPr lang="en-US" sz="800" b="1">
              <a:solidFill>
                <a:schemeClr val="accent1">
                  <a:lumMod val="20000"/>
                  <a:lumOff val="80000"/>
                </a:schemeClr>
              </a:solidFill>
            </a:rPr>
            <a:t>Tax Expenses</a:t>
          </a:r>
          <a:r>
            <a:rPr lang="en-US" sz="800" b="0" baseline="0">
              <a:solidFill>
                <a:sysClr val="windowText" lastClr="000000"/>
              </a:solidFill>
            </a:rPr>
            <a:t>        </a:t>
          </a:r>
          <a:r>
            <a:rPr lang="en-US" sz="800" b="1">
              <a:solidFill>
                <a:schemeClr val="accent1">
                  <a:lumMod val="75000"/>
                </a:schemeClr>
              </a:solidFill>
            </a:rPr>
            <a:t>Net Profit</a:t>
          </a:r>
        </a:p>
      </cdr:txBody>
    </cdr:sp>
  </cdr:relSizeAnchor>
</c:userShapes>
</file>

<file path=xl/drawings/drawing54.xml><?xml version="1.0" encoding="utf-8"?>
<c:userShapes xmlns:c="http://schemas.openxmlformats.org/drawingml/2006/chart">
  <cdr:relSizeAnchor xmlns:cdr="http://schemas.openxmlformats.org/drawingml/2006/chartDrawing">
    <cdr:from>
      <cdr:x>0.10495</cdr:x>
      <cdr:y>0.91196</cdr:y>
    </cdr:from>
    <cdr:to>
      <cdr:x>0.20433</cdr:x>
      <cdr:y>0.9841</cdr:y>
    </cdr:to>
    <cdr:sp macro="" textlink="">
      <cdr:nvSpPr>
        <cdr:cNvPr id="2" name="TextBox 1">
          <a:extLst xmlns:a="http://schemas.openxmlformats.org/drawingml/2006/main">
            <a:ext uri="{FF2B5EF4-FFF2-40B4-BE49-F238E27FC236}">
              <a16:creationId xmlns:a16="http://schemas.microsoft.com/office/drawing/2014/main" id="{03F009D4-ED58-3AF5-0937-469F4BB83D33}"/>
            </a:ext>
          </a:extLst>
        </cdr:cNvPr>
        <cdr:cNvSpPr txBox="1"/>
      </cdr:nvSpPr>
      <cdr:spPr>
        <a:xfrm xmlns:a="http://schemas.openxmlformats.org/drawingml/2006/main">
          <a:off x="1025547" y="3305386"/>
          <a:ext cx="971176" cy="2614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0.09947</cdr:x>
      <cdr:y>0.88696</cdr:y>
    </cdr:from>
    <cdr:to>
      <cdr:x>0.17872</cdr:x>
      <cdr:y>0.96109</cdr:y>
    </cdr:to>
    <cdr:sp macro="" textlink="">
      <cdr:nvSpPr>
        <cdr:cNvPr id="3" name="TextBox 2">
          <a:extLst xmlns:a="http://schemas.openxmlformats.org/drawingml/2006/main">
            <a:ext uri="{FF2B5EF4-FFF2-40B4-BE49-F238E27FC236}">
              <a16:creationId xmlns:a16="http://schemas.microsoft.com/office/drawing/2014/main" id="{106467D0-E5E0-1F27-5D70-75B8EF18F867}"/>
            </a:ext>
          </a:extLst>
        </cdr:cNvPr>
        <cdr:cNvSpPr txBox="1"/>
      </cdr:nvSpPr>
      <cdr:spPr>
        <a:xfrm xmlns:a="http://schemas.openxmlformats.org/drawingml/2006/main">
          <a:off x="973158" y="3091601"/>
          <a:ext cx="775348" cy="2584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Revenue</a:t>
          </a:r>
        </a:p>
      </cdr:txBody>
    </cdr:sp>
  </cdr:relSizeAnchor>
  <cdr:relSizeAnchor xmlns:cdr="http://schemas.openxmlformats.org/drawingml/2006/chartDrawing">
    <cdr:from>
      <cdr:x>0.72088</cdr:x>
      <cdr:y>0.88205</cdr:y>
    </cdr:from>
    <cdr:to>
      <cdr:x>0.80013</cdr:x>
      <cdr:y>0.95619</cdr:y>
    </cdr:to>
    <cdr:sp macro="" textlink="">
      <cdr:nvSpPr>
        <cdr:cNvPr id="4" name="TextBox 1">
          <a:extLst xmlns:a="http://schemas.openxmlformats.org/drawingml/2006/main">
            <a:ext uri="{FF2B5EF4-FFF2-40B4-BE49-F238E27FC236}">
              <a16:creationId xmlns:a16="http://schemas.microsoft.com/office/drawing/2014/main" id="{44988E95-83A9-D6B5-BEAA-6CA54C72D114}"/>
            </a:ext>
          </a:extLst>
        </cdr:cNvPr>
        <cdr:cNvSpPr txBox="1"/>
      </cdr:nvSpPr>
      <cdr:spPr>
        <a:xfrm xmlns:a="http://schemas.openxmlformats.org/drawingml/2006/main">
          <a:off x="7052809" y="3074497"/>
          <a:ext cx="775349" cy="258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1"/>
            <a:t>Net Sale</a:t>
          </a:r>
        </a:p>
      </cdr:txBody>
    </cdr:sp>
  </cdr:relSizeAnchor>
</c:userShapes>
</file>

<file path=xl/drawings/drawing55.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baseline="0">
              <a:solidFill>
                <a:schemeClr val="accent1">
                  <a:lumMod val="75000"/>
                </a:schemeClr>
              </a:solidFill>
              <a:latin typeface="Arial" panose="020B0604020202020204" pitchFamily="34" charset="0"/>
              <a:cs typeface="Arial" panose="020B0604020202020204" pitchFamily="34" charset="0"/>
            </a:rPr>
            <a:t>-1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-42%</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0.00566</cdr:x>
      <cdr:y>0.17417</cdr:y>
    </cdr:from>
    <cdr:to>
      <cdr:x>0.71035</cdr:x>
      <cdr:y>0.25949</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26838" y="755577"/>
          <a:ext cx="3341999" cy="37013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Tax Expenses</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56.xml><?xml version="1.0" encoding="utf-8"?>
<c:userShapes xmlns:c="http://schemas.openxmlformats.org/drawingml/2006/chart">
  <cdr:relSizeAnchor xmlns:cdr="http://schemas.openxmlformats.org/drawingml/2006/chartDrawing">
    <cdr:from>
      <cdr:x>0.53742</cdr:x>
      <cdr:y>0.20264</cdr:y>
    </cdr:from>
    <cdr:to>
      <cdr:x>0.53742</cdr:x>
      <cdr:y>0.81128</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2356586" y="139340"/>
          <a:ext cx="0" cy="418519"/>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590550</xdr:colOff>
      <xdr:row>3</xdr:row>
      <xdr:rowOff>85725</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94360" cy="596104"/>
        </a:xfrm>
        <a:prstGeom prst="rect">
          <a:avLst/>
        </a:prstGeom>
      </xdr:spPr>
    </xdr:pic>
    <xdr:clientData/>
  </xdr:twoCellAnchor>
  <xdr:twoCellAnchor>
    <xdr:from>
      <xdr:col>16</xdr:col>
      <xdr:colOff>506268</xdr:colOff>
      <xdr:row>4</xdr:row>
      <xdr:rowOff>140558</xdr:rowOff>
    </xdr:from>
    <xdr:to>
      <xdr:col>30</xdr:col>
      <xdr:colOff>297296</xdr:colOff>
      <xdr:row>113</xdr:row>
      <xdr:rowOff>63498</xdr:rowOff>
    </xdr:to>
    <xdr:grpSp>
      <xdr:nvGrpSpPr>
        <xdr:cNvPr id="37" name="Group 36">
          <a:extLst>
            <a:ext uri="{FF2B5EF4-FFF2-40B4-BE49-F238E27FC236}">
              <a16:creationId xmlns:a16="http://schemas.microsoft.com/office/drawing/2014/main" id="{00000000-0008-0000-0800-000025000000}"/>
            </a:ext>
          </a:extLst>
        </xdr:cNvPr>
        <xdr:cNvGrpSpPr/>
      </xdr:nvGrpSpPr>
      <xdr:grpSpPr>
        <a:xfrm>
          <a:off x="22818854" y="709868"/>
          <a:ext cx="17636718" cy="16531475"/>
          <a:chOff x="20999450" y="2247604"/>
          <a:chExt cx="17576800" cy="15532395"/>
        </a:xfrm>
      </xdr:grpSpPr>
      <xdr:grpSp>
        <xdr:nvGrpSpPr>
          <xdr:cNvPr id="36" name="Group 35">
            <a:extLst>
              <a:ext uri="{FF2B5EF4-FFF2-40B4-BE49-F238E27FC236}">
                <a16:creationId xmlns:a16="http://schemas.microsoft.com/office/drawing/2014/main" id="{00000000-0008-0000-0800-000024000000}"/>
              </a:ext>
            </a:extLst>
          </xdr:cNvPr>
          <xdr:cNvGrpSpPr/>
        </xdr:nvGrpSpPr>
        <xdr:grpSpPr>
          <a:xfrm>
            <a:off x="20999450" y="2247604"/>
            <a:ext cx="17576800" cy="15532395"/>
            <a:chOff x="20999450" y="2247604"/>
            <a:chExt cx="17576800" cy="15532395"/>
          </a:xfrm>
        </xdr:grpSpPr>
        <xdr:sp macro="" textlink="">
          <xdr:nvSpPr>
            <xdr:cNvPr id="32" name="Rectangle 31">
              <a:extLst>
                <a:ext uri="{FF2B5EF4-FFF2-40B4-BE49-F238E27FC236}">
                  <a16:creationId xmlns:a16="http://schemas.microsoft.com/office/drawing/2014/main" id="{00000000-0008-0000-0800-000020000000}"/>
                </a:ext>
              </a:extLst>
            </xdr:cNvPr>
            <xdr:cNvSpPr/>
          </xdr:nvSpPr>
          <xdr:spPr>
            <a:xfrm>
              <a:off x="20999450" y="2247604"/>
              <a:ext cx="17576800" cy="1553239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3" name="Group 32">
              <a:extLst>
                <a:ext uri="{FF2B5EF4-FFF2-40B4-BE49-F238E27FC236}">
                  <a16:creationId xmlns:a16="http://schemas.microsoft.com/office/drawing/2014/main" id="{00000000-0008-0000-0800-000021000000}"/>
                </a:ext>
              </a:extLst>
            </xdr:cNvPr>
            <xdr:cNvGrpSpPr/>
          </xdr:nvGrpSpPr>
          <xdr:grpSpPr>
            <a:xfrm>
              <a:off x="22697888" y="9299685"/>
              <a:ext cx="13649513" cy="8011304"/>
              <a:chOff x="22640738" y="9801335"/>
              <a:chExt cx="13833663" cy="9135254"/>
            </a:xfrm>
          </xdr:grpSpPr>
          <xdr:grpSp>
            <xdr:nvGrpSpPr>
              <xdr:cNvPr id="4" name="Group 3">
                <a:extLst>
                  <a:ext uri="{FF2B5EF4-FFF2-40B4-BE49-F238E27FC236}">
                    <a16:creationId xmlns:a16="http://schemas.microsoft.com/office/drawing/2014/main" id="{00000000-0008-0000-0800-000004000000}"/>
                  </a:ext>
                </a:extLst>
              </xdr:cNvPr>
              <xdr:cNvGrpSpPr/>
            </xdr:nvGrpSpPr>
            <xdr:grpSpPr>
              <a:xfrm>
                <a:off x="22694901" y="9817100"/>
                <a:ext cx="4555377" cy="4582911"/>
                <a:chOff x="19439558" y="6933091"/>
                <a:chExt cx="4602816" cy="4852696"/>
              </a:xfrm>
            </xdr:grpSpPr>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19439558" y="6933091"/>
                <a:ext cx="4602816" cy="485269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19445016" y="8236717"/>
                <a:ext cx="4320058" cy="765329"/>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7" name="Group 6">
                <a:extLst>
                  <a:ext uri="{FF2B5EF4-FFF2-40B4-BE49-F238E27FC236}">
                    <a16:creationId xmlns:a16="http://schemas.microsoft.com/office/drawing/2014/main" id="{00000000-0008-0000-0800-000007000000}"/>
                  </a:ext>
                </a:extLst>
              </xdr:cNvPr>
              <xdr:cNvGrpSpPr/>
            </xdr:nvGrpSpPr>
            <xdr:grpSpPr>
              <a:xfrm>
                <a:off x="27019978" y="9807407"/>
                <a:ext cx="4710942" cy="4638890"/>
                <a:chOff x="19496462" y="6955084"/>
                <a:chExt cx="4734469" cy="4904401"/>
              </a:xfrm>
            </xdr:grpSpPr>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19496462" y="6955084"/>
                <a:ext cx="4734469" cy="490440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19555472" y="8236717"/>
                <a:ext cx="4209598" cy="800061"/>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16" name="Group 15">
                <a:extLst>
                  <a:ext uri="{FF2B5EF4-FFF2-40B4-BE49-F238E27FC236}">
                    <a16:creationId xmlns:a16="http://schemas.microsoft.com/office/drawing/2014/main" id="{00000000-0008-0000-0800-000010000000}"/>
                  </a:ext>
                </a:extLst>
              </xdr:cNvPr>
              <xdr:cNvGrpSpPr/>
            </xdr:nvGrpSpPr>
            <xdr:grpSpPr>
              <a:xfrm>
                <a:off x="22640738" y="14395894"/>
                <a:ext cx="4688731" cy="4540695"/>
                <a:chOff x="19496460" y="7301597"/>
                <a:chExt cx="4734469" cy="4545536"/>
              </a:xfrm>
            </xdr:grpSpPr>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19496460" y="7301597"/>
                <a:ext cx="4734469" cy="4545536"/>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8" name="Chart 17">
                  <a:extLst>
                    <a:ext uri="{FF2B5EF4-FFF2-40B4-BE49-F238E27FC236}">
                      <a16:creationId xmlns:a16="http://schemas.microsoft.com/office/drawing/2014/main" id="{00000000-0008-0000-0800-000012000000}"/>
                    </a:ext>
                  </a:extLst>
                </xdr:cNvPr>
                <xdr:cNvGraphicFramePr>
                  <a:graphicFrameLocks/>
                </xdr:cNvGraphicFramePr>
              </xdr:nvGraphicFramePr>
              <xdr:xfrm>
                <a:off x="19555470" y="8175220"/>
                <a:ext cx="4311923" cy="762740"/>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13" name="Group 12">
                <a:extLst>
                  <a:ext uri="{FF2B5EF4-FFF2-40B4-BE49-F238E27FC236}">
                    <a16:creationId xmlns:a16="http://schemas.microsoft.com/office/drawing/2014/main" id="{00000000-0008-0000-0800-00000D000000}"/>
                  </a:ext>
                </a:extLst>
              </xdr:cNvPr>
              <xdr:cNvGrpSpPr/>
            </xdr:nvGrpSpPr>
            <xdr:grpSpPr>
              <a:xfrm>
                <a:off x="31631464" y="9801335"/>
                <a:ext cx="4699556" cy="4638890"/>
                <a:chOff x="19496460" y="6955083"/>
                <a:chExt cx="4734469" cy="4904401"/>
              </a:xfrm>
            </xdr:grpSpPr>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19496460" y="6955083"/>
                <a:ext cx="4734469" cy="4904401"/>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19555472" y="8236717"/>
                <a:ext cx="4436097" cy="800061"/>
              </xdr:xfrm>
              <a:graphic>
                <a:graphicData uri="http://schemas.openxmlformats.org/drawingml/2006/chart">
                  <c:chart xmlns:c="http://schemas.openxmlformats.org/drawingml/2006/chart" xmlns:r="http://schemas.openxmlformats.org/officeDocument/2006/relationships" r:id="rId9"/>
                </a:graphicData>
              </a:graphic>
            </xdr:graphicFrame>
          </xdr:grpSp>
          <xdr:grpSp>
            <xdr:nvGrpSpPr>
              <xdr:cNvPr id="22" name="Group 21">
                <a:extLst>
                  <a:ext uri="{FF2B5EF4-FFF2-40B4-BE49-F238E27FC236}">
                    <a16:creationId xmlns:a16="http://schemas.microsoft.com/office/drawing/2014/main" id="{00000000-0008-0000-0800-000016000000}"/>
                  </a:ext>
                </a:extLst>
              </xdr:cNvPr>
              <xdr:cNvGrpSpPr/>
            </xdr:nvGrpSpPr>
            <xdr:grpSpPr>
              <a:xfrm>
                <a:off x="27215524" y="14390255"/>
                <a:ext cx="4712977" cy="4540695"/>
                <a:chOff x="19496461" y="7301597"/>
                <a:chExt cx="4734469" cy="4545536"/>
              </a:xfrm>
            </xdr:grpSpPr>
            <xdr:graphicFrame macro="">
              <xdr:nvGraphicFramePr>
                <xdr:cNvPr id="23" name="Chart 22">
                  <a:extLst>
                    <a:ext uri="{FF2B5EF4-FFF2-40B4-BE49-F238E27FC236}">
                      <a16:creationId xmlns:a16="http://schemas.microsoft.com/office/drawing/2014/main" id="{00000000-0008-0000-0800-000017000000}"/>
                    </a:ext>
                  </a:extLst>
                </xdr:cNvPr>
                <xdr:cNvGraphicFramePr>
                  <a:graphicFrameLocks/>
                </xdr:cNvGraphicFramePr>
              </xdr:nvGraphicFramePr>
              <xdr:xfrm>
                <a:off x="19496461" y="7301597"/>
                <a:ext cx="4734469" cy="4545536"/>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4" name="Chart 23">
                  <a:extLst>
                    <a:ext uri="{FF2B5EF4-FFF2-40B4-BE49-F238E27FC236}">
                      <a16:creationId xmlns:a16="http://schemas.microsoft.com/office/drawing/2014/main" id="{00000000-0008-0000-0800-000018000000}"/>
                    </a:ext>
                  </a:extLst>
                </xdr:cNvPr>
                <xdr:cNvGraphicFramePr>
                  <a:graphicFrameLocks/>
                </xdr:cNvGraphicFramePr>
              </xdr:nvGraphicFramePr>
              <xdr:xfrm>
                <a:off x="19555470" y="8175220"/>
                <a:ext cx="4266937" cy="762740"/>
              </xdr:xfrm>
              <a:graphic>
                <a:graphicData uri="http://schemas.openxmlformats.org/drawingml/2006/chart">
                  <c:chart xmlns:c="http://schemas.openxmlformats.org/drawingml/2006/chart" xmlns:r="http://schemas.openxmlformats.org/officeDocument/2006/relationships" r:id="rId11"/>
                </a:graphicData>
              </a:graphic>
            </xdr:graphicFrame>
          </xdr:grpSp>
          <xdr:grpSp>
            <xdr:nvGrpSpPr>
              <xdr:cNvPr id="25" name="Group 24">
                <a:extLst>
                  <a:ext uri="{FF2B5EF4-FFF2-40B4-BE49-F238E27FC236}">
                    <a16:creationId xmlns:a16="http://schemas.microsoft.com/office/drawing/2014/main" id="{00000000-0008-0000-0800-000019000000}"/>
                  </a:ext>
                </a:extLst>
              </xdr:cNvPr>
              <xdr:cNvGrpSpPr/>
            </xdr:nvGrpSpPr>
            <xdr:grpSpPr>
              <a:xfrm>
                <a:off x="31621391" y="14386561"/>
                <a:ext cx="4853010" cy="4540695"/>
                <a:chOff x="19484499" y="7301602"/>
                <a:chExt cx="4879331" cy="4545539"/>
              </a:xfrm>
            </xdr:grpSpPr>
            <xdr:graphicFrame macro="">
              <xdr:nvGraphicFramePr>
                <xdr:cNvPr id="26" name="Chart 25">
                  <a:extLst>
                    <a:ext uri="{FF2B5EF4-FFF2-40B4-BE49-F238E27FC236}">
                      <a16:creationId xmlns:a16="http://schemas.microsoft.com/office/drawing/2014/main" id="{00000000-0008-0000-0800-00001A000000}"/>
                    </a:ext>
                  </a:extLst>
                </xdr:cNvPr>
                <xdr:cNvGraphicFramePr>
                  <a:graphicFrameLocks/>
                </xdr:cNvGraphicFramePr>
              </xdr:nvGraphicFramePr>
              <xdr:xfrm>
                <a:off x="19496460" y="7301602"/>
                <a:ext cx="4734469" cy="4545539"/>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27" name="Chart 26">
                  <a:extLst>
                    <a:ext uri="{FF2B5EF4-FFF2-40B4-BE49-F238E27FC236}">
                      <a16:creationId xmlns:a16="http://schemas.microsoft.com/office/drawing/2014/main" id="{00000000-0008-0000-0800-00001B000000}"/>
                    </a:ext>
                  </a:extLst>
                </xdr:cNvPr>
                <xdr:cNvGraphicFramePr>
                  <a:graphicFrameLocks/>
                </xdr:cNvGraphicFramePr>
              </xdr:nvGraphicFramePr>
              <xdr:xfrm>
                <a:off x="19484499" y="8182096"/>
                <a:ext cx="4879331" cy="762740"/>
              </xdr:xfrm>
              <a:graphic>
                <a:graphicData uri="http://schemas.openxmlformats.org/drawingml/2006/chart">
                  <c:chart xmlns:c="http://schemas.openxmlformats.org/drawingml/2006/chart" xmlns:r="http://schemas.openxmlformats.org/officeDocument/2006/relationships" r:id="rId13"/>
                </a:graphicData>
              </a:graphic>
            </xdr:graphicFrame>
          </xdr:grpSp>
        </xdr:grpSp>
        <xdr:grpSp>
          <xdr:nvGrpSpPr>
            <xdr:cNvPr id="31" name="Group 30">
              <a:extLst>
                <a:ext uri="{FF2B5EF4-FFF2-40B4-BE49-F238E27FC236}">
                  <a16:creationId xmlns:a16="http://schemas.microsoft.com/office/drawing/2014/main" id="{00000000-0008-0000-0800-00001F000000}"/>
                </a:ext>
              </a:extLst>
            </xdr:cNvPr>
            <xdr:cNvGrpSpPr/>
          </xdr:nvGrpSpPr>
          <xdr:grpSpPr>
            <a:xfrm>
              <a:off x="22484873" y="2776213"/>
              <a:ext cx="13688502" cy="6340031"/>
              <a:chOff x="22504148" y="1091812"/>
              <a:chExt cx="13755235" cy="6386571"/>
            </a:xfrm>
          </xdr:grpSpPr>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22505814" y="1091812"/>
              <a:ext cx="6232543" cy="2924814"/>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28678439" y="1128264"/>
              <a:ext cx="5754154" cy="2879149"/>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12" name="Chart 11">
                <a:extLst>
                  <a:ext uri="{FF2B5EF4-FFF2-40B4-BE49-F238E27FC236}">
                    <a16:creationId xmlns:a16="http://schemas.microsoft.com/office/drawing/2014/main" id="{00000000-0008-0000-0800-00000C000000}"/>
                  </a:ext>
                </a:extLst>
              </xdr:cNvPr>
              <xdr:cNvGraphicFramePr/>
            </xdr:nvGraphicFramePr>
            <xdr:xfrm>
              <a:off x="22504148" y="4174359"/>
              <a:ext cx="6195943" cy="3304024"/>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28642691" y="4204318"/>
              <a:ext cx="5763086" cy="3257095"/>
            </xdr:xfrm>
            <a:graphic>
              <a:graphicData uri="http://schemas.openxmlformats.org/drawingml/2006/chart">
                <c:chart xmlns:c="http://schemas.openxmlformats.org/drawingml/2006/chart" xmlns:r="http://schemas.openxmlformats.org/officeDocument/2006/relationships" r:id="rId17"/>
              </a:graphicData>
            </a:graphic>
          </xdr:graphicFrame>
          <mc:AlternateContent xmlns:mc="http://schemas.openxmlformats.org/markup-compatibility/2006" xmlns:sle15="http://schemas.microsoft.com/office/drawing/2012/slicer">
            <mc:Choice Requires="sle15">
              <xdr:graphicFrame macro="">
                <xdr:nvGraphicFramePr>
                  <xdr:cNvPr id="30" name="YEAR 1">
                    <a:extLst>
                      <a:ext uri="{FF2B5EF4-FFF2-40B4-BE49-F238E27FC236}">
                        <a16:creationId xmlns:a16="http://schemas.microsoft.com/office/drawing/2014/main" id="{00000000-0008-0000-0800-00001E000000}"/>
                      </a:ext>
                    </a:extLst>
                  </xdr:cNvPr>
                  <xdr:cNvGraphicFramePr/>
                </xdr:nvGraphicFramePr>
                <xdr:xfrm>
                  <a:off x="34434519" y="1190834"/>
                  <a:ext cx="1824864" cy="1133765"/>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266057" y="1396232"/>
                    <a:ext cx="1824361" cy="244000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grpSp>
      <xdr:sp macro="" textlink="">
        <xdr:nvSpPr>
          <xdr:cNvPr id="34" name="TextBox 33">
            <a:extLst>
              <a:ext uri="{FF2B5EF4-FFF2-40B4-BE49-F238E27FC236}">
                <a16:creationId xmlns:a16="http://schemas.microsoft.com/office/drawing/2014/main" id="{00000000-0008-0000-0800-000022000000}"/>
              </a:ext>
            </a:extLst>
          </xdr:cNvPr>
          <xdr:cNvSpPr txBox="1"/>
        </xdr:nvSpPr>
        <xdr:spPr>
          <a:xfrm>
            <a:off x="22629284" y="2429933"/>
            <a:ext cx="5444067" cy="4656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65000"/>
                    <a:lumOff val="35000"/>
                  </a:schemeClr>
                </a:solidFill>
              </a:rPr>
              <a:t>COMMON SIZE ANALYSIS</a:t>
            </a:r>
          </a:p>
        </xdr:txBody>
      </xdr:sp>
      <xdr:sp macro="" textlink="">
        <xdr:nvSpPr>
          <xdr:cNvPr id="35" name="TextBox 34">
            <a:extLst>
              <a:ext uri="{FF2B5EF4-FFF2-40B4-BE49-F238E27FC236}">
                <a16:creationId xmlns:a16="http://schemas.microsoft.com/office/drawing/2014/main" id="{00000000-0008-0000-0800-000023000000}"/>
              </a:ext>
            </a:extLst>
          </xdr:cNvPr>
          <xdr:cNvSpPr txBox="1"/>
        </xdr:nvSpPr>
        <xdr:spPr>
          <a:xfrm>
            <a:off x="22758364" y="9526471"/>
            <a:ext cx="5444067" cy="4212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65000"/>
                    <a:lumOff val="35000"/>
                  </a:schemeClr>
                </a:solidFill>
              </a:rPr>
              <a:t>VERTICAL ANALYSIS</a:t>
            </a:r>
          </a:p>
        </xdr:txBody>
      </xdr:sp>
    </xdr:grpSp>
    <xdr:clientData/>
  </xdr:twoCellAnchor>
</xdr:wsDr>
</file>

<file path=xl/drawings/drawing58.xml><?xml version="1.0" encoding="utf-8"?>
<c:userShapes xmlns:c="http://schemas.openxmlformats.org/drawingml/2006/chart">
  <cdr:relSizeAnchor xmlns:cdr="http://schemas.openxmlformats.org/drawingml/2006/chartDrawing">
    <cdr:from>
      <cdr:x>0</cdr:x>
      <cdr:y>0.4333</cdr:y>
    </cdr:from>
    <cdr:to>
      <cdr:x>0.38326</cdr:x>
      <cdr:y>0.56243</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642622"/>
          <a:ext cx="1734874" cy="48954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-7,9</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1">
                  <a:lumMod val="65000"/>
                </a:schemeClr>
              </a:solidFill>
              <a:latin typeface="Symbol" pitchFamily="2" charset="2"/>
              <a:cs typeface="Arial" panose="020B0604020202020204" pitchFamily="34" charset="0"/>
            </a:rPr>
            <a:t>D</a:t>
          </a:r>
          <a:r>
            <a:rPr lang="en-US" sz="800" b="0" i="1" baseline="0">
              <a:solidFill>
                <a:schemeClr val="bg1">
                  <a:lumMod val="65000"/>
                </a:schemeClr>
              </a:solidFill>
              <a:latin typeface="Arial" panose="020B0604020202020204" pitchFamily="34" charset="0"/>
              <a:cs typeface="Arial" panose="020B0604020202020204" pitchFamily="34" charset="0"/>
            </a:rPr>
            <a:t> from prior year</a:t>
          </a:r>
          <a:endParaRPr lang="en-US" sz="800" b="0" i="1">
            <a:solidFill>
              <a:schemeClr val="bg1">
                <a:lumMod val="6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- 4%</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0.00214</cdr:x>
      <cdr:y>0.17135</cdr:y>
    </cdr:from>
    <cdr:to>
      <cdr:x>0.7425</cdr:x>
      <cdr:y>0.26799</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9694" y="639775"/>
          <a:ext cx="3348215" cy="36080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Total</a:t>
          </a:r>
          <a:r>
            <a:rPr lang="en-US" sz="1200" b="1" baseline="0">
              <a:solidFill>
                <a:schemeClr val="tx1">
                  <a:lumMod val="65000"/>
                  <a:lumOff val="35000"/>
                </a:schemeClr>
              </a:solidFill>
              <a:latin typeface="Arial" panose="020B0604020202020204" pitchFamily="34" charset="0"/>
              <a:cs typeface="Arial" panose="020B0604020202020204" pitchFamily="34" charset="0"/>
            </a:rPr>
            <a:t> Assets</a:t>
          </a:r>
          <a:endParaRPr lang="en-US" sz="1200" b="1">
            <a:solidFill>
              <a:schemeClr val="tx1">
                <a:lumMod val="65000"/>
                <a:lumOff val="35000"/>
              </a:schemeClr>
            </a:solidFill>
            <a:latin typeface="Arial" panose="020B0604020202020204" pitchFamily="34" charset="0"/>
            <a:cs typeface="Arial" panose="020B0604020202020204" pitchFamily="34" charset="0"/>
          </a:endParaRP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59.xml><?xml version="1.0" encoding="utf-8"?>
<c:userShapes xmlns:c="http://schemas.openxmlformats.org/drawingml/2006/chart">
  <cdr:relSizeAnchor xmlns:cdr="http://schemas.openxmlformats.org/drawingml/2006/chartDrawing">
    <cdr:from>
      <cdr:x>0.87344</cdr:x>
      <cdr:y>0.20263</cdr:y>
    </cdr:from>
    <cdr:to>
      <cdr:x>0.87344</cdr:x>
      <cdr:y>0.81127</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4081050" y="145743"/>
          <a:ext cx="0" cy="437771"/>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0.91432</cdr:x>
      <cdr:y>0.18944</cdr:y>
    </cdr:from>
    <cdr:to>
      <cdr:x>0.91432</cdr:x>
      <cdr:y>0.79808</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788052" y="134653"/>
          <a:ext cx="0" cy="432614"/>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60.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-13,6</a:t>
          </a:r>
          <a:r>
            <a:rPr lang="en-US" sz="1800" b="1" baseline="0">
              <a:solidFill>
                <a:schemeClr val="accent1">
                  <a:lumMod val="75000"/>
                </a:schemeClr>
              </a:solidFill>
              <a:latin typeface="Arial" panose="020B0604020202020204" pitchFamily="34" charset="0"/>
              <a:cs typeface="Arial" panose="020B0604020202020204" pitchFamily="34" charset="0"/>
            </a:rPr>
            <a:t>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-14%</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0.01246</cdr:x>
      <cdr:y>0.16876</cdr:y>
    </cdr:from>
    <cdr:to>
      <cdr:x>0.42875</cdr:x>
      <cdr:y>0.28357</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58167" y="630083"/>
          <a:ext cx="1942697" cy="42867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Current Assets</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61.xml><?xml version="1.0" encoding="utf-8"?>
<c:userShapes xmlns:c="http://schemas.openxmlformats.org/drawingml/2006/chart">
  <cdr:relSizeAnchor xmlns:cdr="http://schemas.openxmlformats.org/drawingml/2006/chartDrawing">
    <cdr:from>
      <cdr:x>0.91432</cdr:x>
      <cdr:y>0.18944</cdr:y>
    </cdr:from>
    <cdr:to>
      <cdr:x>0.91432</cdr:x>
      <cdr:y>0.79808</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788052" y="134653"/>
          <a:ext cx="0" cy="432614"/>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62.xml><?xml version="1.0" encoding="utf-8"?>
<c:userShapes xmlns:c="http://schemas.openxmlformats.org/drawingml/2006/chart">
  <cdr:relSizeAnchor xmlns:cdr="http://schemas.openxmlformats.org/drawingml/2006/chartDrawing">
    <cdr:from>
      <cdr:x>0</cdr:x>
      <cdr:y>0.3545</cdr:y>
    </cdr:from>
    <cdr:to>
      <cdr:x>0.38326</cdr:x>
      <cdr:y>0.46949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392245"/>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baseline="0">
              <a:solidFill>
                <a:schemeClr val="accent1">
                  <a:lumMod val="75000"/>
                </a:schemeClr>
              </a:solidFill>
              <a:latin typeface="Arial" panose="020B0604020202020204" pitchFamily="34" charset="0"/>
              <a:cs typeface="Arial" panose="020B0604020202020204" pitchFamily="34" charset="0"/>
            </a:rPr>
            <a:t>-11,1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0.36035</cdr:y>
    </cdr:from>
    <cdr:to>
      <cdr:x>0.92647</cdr:x>
      <cdr:y>0.47534</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531738" y="1415238"/>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-15%</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0.01017</cdr:x>
      <cdr:y>0.09816</cdr:y>
    </cdr:from>
    <cdr:to>
      <cdr:x>0.42646</cdr:x>
      <cdr:y>0.18386</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47376" y="401830"/>
          <a:ext cx="1939183" cy="350836"/>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Current Liabilities</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63.xml><?xml version="1.0" encoding="utf-8"?>
<c:userShapes xmlns:c="http://schemas.openxmlformats.org/drawingml/2006/chart">
  <cdr:relSizeAnchor xmlns:cdr="http://schemas.openxmlformats.org/drawingml/2006/chartDrawing">
    <cdr:from>
      <cdr:x>0.89576</cdr:x>
      <cdr:y>0.18567</cdr:y>
    </cdr:from>
    <cdr:to>
      <cdr:x>0.89576</cdr:x>
      <cdr:y>0.79431</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805734" y="131251"/>
          <a:ext cx="0" cy="430240"/>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64.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baseline="0">
              <a:solidFill>
                <a:schemeClr val="accent1">
                  <a:lumMod val="75000"/>
                </a:schemeClr>
              </a:solidFill>
              <a:latin typeface="Arial" panose="020B0604020202020204" pitchFamily="34" charset="0"/>
              <a:cs typeface="Arial" panose="020B0604020202020204" pitchFamily="34" charset="0"/>
            </a:rPr>
            <a:t>5,7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7%</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0.01246</cdr:x>
      <cdr:y>0.16876</cdr:y>
    </cdr:from>
    <cdr:to>
      <cdr:x>0.42875</cdr:x>
      <cdr:y>0.28357</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58167" y="630083"/>
          <a:ext cx="1942697" cy="42867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Long-term Assets</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65.xml><?xml version="1.0" encoding="utf-8"?>
<c:userShapes xmlns:c="http://schemas.openxmlformats.org/drawingml/2006/chart">
  <cdr:relSizeAnchor xmlns:cdr="http://schemas.openxmlformats.org/drawingml/2006/chartDrawing">
    <cdr:from>
      <cdr:x>0.8281</cdr:x>
      <cdr:y>0.18067</cdr:y>
    </cdr:from>
    <cdr:to>
      <cdr:x>0.8281</cdr:x>
      <cdr:y>0.78931</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619922" y="120097"/>
          <a:ext cx="0" cy="404583"/>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66.xml><?xml version="1.0" encoding="utf-8"?>
<c:userShapes xmlns:c="http://schemas.openxmlformats.org/drawingml/2006/chart">
  <cdr:relSizeAnchor xmlns:cdr="http://schemas.openxmlformats.org/drawingml/2006/chartDrawing">
    <cdr:from>
      <cdr:x>0</cdr:x>
      <cdr:y>0.3545</cdr:y>
    </cdr:from>
    <cdr:to>
      <cdr:x>0.38326</cdr:x>
      <cdr:y>0.46949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392245"/>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baseline="0">
              <a:solidFill>
                <a:schemeClr val="accent1">
                  <a:lumMod val="75000"/>
                </a:schemeClr>
              </a:solidFill>
              <a:latin typeface="Arial" panose="020B0604020202020204" pitchFamily="34" charset="0"/>
              <a:cs typeface="Arial" panose="020B0604020202020204" pitchFamily="34" charset="0"/>
            </a:rPr>
            <a:t>-2,2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0.36035</cdr:y>
    </cdr:from>
    <cdr:to>
      <cdr:x>0.92647</cdr:x>
      <cdr:y>0.47534</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531738" y="1415238"/>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-15%</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0.01017</cdr:x>
      <cdr:y>0.09816</cdr:y>
    </cdr:from>
    <cdr:to>
      <cdr:x>0.42646</cdr:x>
      <cdr:y>0.18386</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47376" y="401830"/>
          <a:ext cx="1939183" cy="350836"/>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Long-term Liabilities</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67.xml><?xml version="1.0" encoding="utf-8"?>
<c:userShapes xmlns:c="http://schemas.openxmlformats.org/drawingml/2006/chart">
  <cdr:relSizeAnchor xmlns:cdr="http://schemas.openxmlformats.org/drawingml/2006/chartDrawing">
    <cdr:from>
      <cdr:x>0.91249</cdr:x>
      <cdr:y>0.18418</cdr:y>
    </cdr:from>
    <cdr:to>
      <cdr:x>0.91249</cdr:x>
      <cdr:y>0.79282</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843309" y="121218"/>
          <a:ext cx="0" cy="400573"/>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68.xml><?xml version="1.0" encoding="utf-8"?>
<c:userShapes xmlns:c="http://schemas.openxmlformats.org/drawingml/2006/chart">
  <cdr:relSizeAnchor xmlns:cdr="http://schemas.openxmlformats.org/drawingml/2006/chartDrawing">
    <cdr:from>
      <cdr:x>0</cdr:x>
      <cdr:y>0.3545</cdr:y>
    </cdr:from>
    <cdr:to>
      <cdr:x>0.38326</cdr:x>
      <cdr:y>0.46949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392245"/>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baseline="0">
              <a:solidFill>
                <a:schemeClr val="accent1">
                  <a:lumMod val="75000"/>
                </a:schemeClr>
              </a:solidFill>
              <a:latin typeface="Arial" panose="020B0604020202020204" pitchFamily="34" charset="0"/>
              <a:cs typeface="Arial" panose="020B0604020202020204" pitchFamily="34" charset="0"/>
            </a:rPr>
            <a:t>5,3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0.36035</cdr:y>
    </cdr:from>
    <cdr:to>
      <cdr:x>0.92647</cdr:x>
      <cdr:y>0.47534</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531738" y="1415238"/>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6%</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0.01017</cdr:x>
      <cdr:y>0.09816</cdr:y>
    </cdr:from>
    <cdr:to>
      <cdr:x>0.42646</cdr:x>
      <cdr:y>0.18386</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47376" y="401830"/>
          <a:ext cx="1939183" cy="350836"/>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Owner's Equity</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69.xml><?xml version="1.0" encoding="utf-8"?>
<c:userShapes xmlns:c="http://schemas.openxmlformats.org/drawingml/2006/chart">
  <cdr:relSizeAnchor xmlns:cdr="http://schemas.openxmlformats.org/drawingml/2006/chartDrawing">
    <cdr:from>
      <cdr:x>0.77851</cdr:x>
      <cdr:y>0.18772</cdr:y>
    </cdr:from>
    <cdr:to>
      <cdr:x>0.77851</cdr:x>
      <cdr:y>0.79636</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742123" y="131875"/>
          <a:ext cx="0" cy="427571"/>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cdr:x>
      <cdr:y>0.3545</cdr:y>
    </cdr:from>
    <cdr:to>
      <cdr:x>0.38326</cdr:x>
      <cdr:y>0.46949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392245"/>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baseline="0">
              <a:solidFill>
                <a:schemeClr val="accent1">
                  <a:lumMod val="75000"/>
                </a:schemeClr>
              </a:solidFill>
              <a:latin typeface="Arial" panose="020B0604020202020204" pitchFamily="34" charset="0"/>
              <a:cs typeface="Arial" panose="020B0604020202020204" pitchFamily="34" charset="0"/>
            </a:rPr>
            <a:t>-11,1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0.36035</cdr:y>
    </cdr:from>
    <cdr:to>
      <cdr:x>0.92647</cdr:x>
      <cdr:y>0.47534</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531738" y="1415238"/>
          <a:ext cx="1786259" cy="4516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-15%</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0.09993</cdr:y>
    </cdr:from>
    <cdr:to>
      <cdr:x>0.41629</cdr:x>
      <cdr:y>0.18563</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0" y="401777"/>
          <a:ext cx="1912469" cy="3445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Current Liabilities</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drawings/drawing70.xml><?xml version="1.0" encoding="utf-8"?>
<c:userShapes xmlns:c="http://schemas.openxmlformats.org/drawingml/2006/chart">
  <cdr:relSizeAnchor xmlns:cdr="http://schemas.openxmlformats.org/drawingml/2006/chartDrawing">
    <cdr:from>
      <cdr:x>0.91145</cdr:x>
      <cdr:y>0.46089</cdr:y>
    </cdr:from>
    <cdr:to>
      <cdr:x>1</cdr:x>
      <cdr:y>0.54397</cdr:y>
    </cdr:to>
    <cdr:sp macro="" textlink="">
      <cdr:nvSpPr>
        <cdr:cNvPr id="4" name="TextBox 1">
          <a:extLst xmlns:a="http://schemas.openxmlformats.org/drawingml/2006/main">
            <a:ext uri="{FF2B5EF4-FFF2-40B4-BE49-F238E27FC236}">
              <a16:creationId xmlns:a16="http://schemas.microsoft.com/office/drawing/2014/main" id="{48B08BB2-9CFD-6139-B260-52A2F61072D2}"/>
            </a:ext>
          </a:extLst>
        </cdr:cNvPr>
        <cdr:cNvSpPr txBox="1"/>
      </cdr:nvSpPr>
      <cdr:spPr>
        <a:xfrm xmlns:a="http://schemas.openxmlformats.org/drawingml/2006/main">
          <a:off x="4012308" y="1187893"/>
          <a:ext cx="389807" cy="2141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p>
      </cdr:txBody>
    </cdr:sp>
  </cdr:relSizeAnchor>
  <cdr:relSizeAnchor xmlns:cdr="http://schemas.openxmlformats.org/drawingml/2006/chartDrawing">
    <cdr:from>
      <cdr:x>0.80809</cdr:x>
      <cdr:y>0.50978</cdr:y>
    </cdr:from>
    <cdr:to>
      <cdr:x>0.9982</cdr:x>
      <cdr:y>0.57479</cdr:y>
    </cdr:to>
    <cdr:sp macro="" textlink="">
      <cdr:nvSpPr>
        <cdr:cNvPr id="5" name="TextBox 4">
          <a:extLst xmlns:a="http://schemas.openxmlformats.org/drawingml/2006/main">
            <a:ext uri="{FF2B5EF4-FFF2-40B4-BE49-F238E27FC236}">
              <a16:creationId xmlns:a16="http://schemas.microsoft.com/office/drawing/2014/main" id="{4846B774-1123-A507-0577-3071687F42A5}"/>
            </a:ext>
          </a:extLst>
        </cdr:cNvPr>
        <cdr:cNvSpPr txBox="1"/>
      </cdr:nvSpPr>
      <cdr:spPr>
        <a:xfrm xmlns:a="http://schemas.openxmlformats.org/drawingml/2006/main">
          <a:off x="5035826" y="1530136"/>
          <a:ext cx="1184703" cy="1951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solidFill>
                <a:schemeClr val="accent1">
                  <a:lumMod val="50000"/>
                </a:schemeClr>
              </a:solidFill>
            </a:rPr>
            <a:t>Long-term Assets</a:t>
          </a:r>
        </a:p>
      </cdr:txBody>
    </cdr:sp>
  </cdr:relSizeAnchor>
  <cdr:relSizeAnchor xmlns:cdr="http://schemas.openxmlformats.org/drawingml/2006/chartDrawing">
    <cdr:from>
      <cdr:x>0.80752</cdr:x>
      <cdr:y>0.16057</cdr:y>
    </cdr:from>
    <cdr:to>
      <cdr:x>0.97112</cdr:x>
      <cdr:y>0.22999</cdr:y>
    </cdr:to>
    <cdr:sp macro="" textlink="">
      <cdr:nvSpPr>
        <cdr:cNvPr id="6" name="TextBox 1">
          <a:extLst xmlns:a="http://schemas.openxmlformats.org/drawingml/2006/main">
            <a:ext uri="{FF2B5EF4-FFF2-40B4-BE49-F238E27FC236}">
              <a16:creationId xmlns:a16="http://schemas.microsoft.com/office/drawing/2014/main" id="{5ABA226E-9DE1-204B-A7A3-412DBFA56AAB}"/>
            </a:ext>
          </a:extLst>
        </cdr:cNvPr>
        <cdr:cNvSpPr txBox="1"/>
      </cdr:nvSpPr>
      <cdr:spPr>
        <a:xfrm xmlns:a="http://schemas.openxmlformats.org/drawingml/2006/main">
          <a:off x="5032302" y="481971"/>
          <a:ext cx="1019517" cy="2083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accent1"/>
              </a:solidFill>
            </a:rPr>
            <a:t>Current Assets</a:t>
          </a:r>
        </a:p>
      </cdr:txBody>
    </cdr:sp>
  </cdr:relSizeAnchor>
</c:userShapes>
</file>

<file path=xl/drawings/drawing71.xml><?xml version="1.0" encoding="utf-8"?>
<c:userShapes xmlns:c="http://schemas.openxmlformats.org/drawingml/2006/chart">
  <cdr:relSizeAnchor xmlns:cdr="http://schemas.openxmlformats.org/drawingml/2006/chartDrawing">
    <cdr:from>
      <cdr:x>0.15139</cdr:x>
      <cdr:y>0.11746</cdr:y>
    </cdr:from>
    <cdr:to>
      <cdr:x>0.41529</cdr:x>
      <cdr:y>0.19007</cdr:y>
    </cdr:to>
    <cdr:sp macro="" textlink="">
      <cdr:nvSpPr>
        <cdr:cNvPr id="3" name="TextBox 2">
          <a:extLst xmlns:a="http://schemas.openxmlformats.org/drawingml/2006/main">
            <a:ext uri="{FF2B5EF4-FFF2-40B4-BE49-F238E27FC236}">
              <a16:creationId xmlns:a16="http://schemas.microsoft.com/office/drawing/2014/main" id="{6C2D5E93-AEF0-BDFE-8E3D-257AC3A02D01}"/>
            </a:ext>
          </a:extLst>
        </cdr:cNvPr>
        <cdr:cNvSpPr txBox="1"/>
      </cdr:nvSpPr>
      <cdr:spPr>
        <a:xfrm xmlns:a="http://schemas.openxmlformats.org/drawingml/2006/main">
          <a:off x="872463" y="363834"/>
          <a:ext cx="1520924" cy="2249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0">
              <a:solidFill>
                <a:schemeClr val="bg1">
                  <a:lumMod val="75000"/>
                </a:schemeClr>
              </a:solidFill>
            </a:rPr>
            <a:t>Type of Current Asset</a:t>
          </a:r>
        </a:p>
      </cdr:txBody>
    </cdr:sp>
  </cdr:relSizeAnchor>
  <cdr:relSizeAnchor xmlns:cdr="http://schemas.openxmlformats.org/drawingml/2006/chartDrawing">
    <cdr:from>
      <cdr:x>0.34832</cdr:x>
      <cdr:y>0.13549</cdr:y>
    </cdr:from>
    <cdr:to>
      <cdr:x>0.34832</cdr:x>
      <cdr:y>0.16806</cdr:y>
    </cdr:to>
    <cdr:cxnSp macro="">
      <cdr:nvCxnSpPr>
        <cdr:cNvPr id="5" name="Straight Connector 4">
          <a:extLst xmlns:a="http://schemas.openxmlformats.org/drawingml/2006/main">
            <a:ext uri="{FF2B5EF4-FFF2-40B4-BE49-F238E27FC236}">
              <a16:creationId xmlns:a16="http://schemas.microsoft.com/office/drawing/2014/main" id="{CB8E3FB5-52F8-53B4-79BC-0A5F32AF6357}"/>
            </a:ext>
          </a:extLst>
        </cdr:cNvPr>
        <cdr:cNvCxnSpPr/>
      </cdr:nvCxnSpPr>
      <cdr:spPr>
        <a:xfrm xmlns:a="http://schemas.openxmlformats.org/drawingml/2006/main">
          <a:off x="2007422" y="419663"/>
          <a:ext cx="0" cy="100910"/>
        </a:xfrm>
        <a:prstGeom xmlns:a="http://schemas.openxmlformats.org/drawingml/2006/main" prst="line">
          <a:avLst/>
        </a:prstGeom>
        <a:ln xmlns:a="http://schemas.openxmlformats.org/drawingml/2006/main" w="12700">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0.34646</cdr:x>
      <cdr:y>0.11846</cdr:y>
    </cdr:from>
    <cdr:to>
      <cdr:x>0.61037</cdr:x>
      <cdr:y>0.19107</cdr:y>
    </cdr:to>
    <cdr:sp macro="" textlink="">
      <cdr:nvSpPr>
        <cdr:cNvPr id="8" name="TextBox 1">
          <a:extLst xmlns:a="http://schemas.openxmlformats.org/drawingml/2006/main">
            <a:ext uri="{FF2B5EF4-FFF2-40B4-BE49-F238E27FC236}">
              <a16:creationId xmlns:a16="http://schemas.microsoft.com/office/drawing/2014/main" id="{96FD5160-886D-B139-D7ED-AF074A5874D8}"/>
            </a:ext>
          </a:extLst>
        </cdr:cNvPr>
        <cdr:cNvSpPr txBox="1"/>
      </cdr:nvSpPr>
      <cdr:spPr>
        <a:xfrm xmlns:a="http://schemas.openxmlformats.org/drawingml/2006/main">
          <a:off x="1996680" y="366937"/>
          <a:ext cx="1520924" cy="2249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0">
              <a:solidFill>
                <a:schemeClr val="bg1">
                  <a:lumMod val="75000"/>
                </a:schemeClr>
              </a:solidFill>
            </a:rPr>
            <a:t>Percentage Per</a:t>
          </a:r>
          <a:r>
            <a:rPr lang="en-US" sz="800" b="0" baseline="0">
              <a:solidFill>
                <a:schemeClr val="bg1">
                  <a:lumMod val="75000"/>
                </a:schemeClr>
              </a:solidFill>
            </a:rPr>
            <a:t> Total Assets</a:t>
          </a:r>
          <a:endParaRPr lang="en-US" sz="800" b="0">
            <a:solidFill>
              <a:schemeClr val="bg1">
                <a:lumMod val="75000"/>
              </a:schemeClr>
            </a:solidFill>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0.06596</cdr:x>
      <cdr:y>0.16622</cdr:y>
    </cdr:from>
    <cdr:to>
      <cdr:x>0.98566</cdr:x>
      <cdr:y>0.25693</cdr:y>
    </cdr:to>
    <cdr:sp macro="" textlink="">
      <cdr:nvSpPr>
        <cdr:cNvPr id="2" name="TextBox 1">
          <a:extLst xmlns:a="http://schemas.openxmlformats.org/drawingml/2006/main">
            <a:ext uri="{FF2B5EF4-FFF2-40B4-BE49-F238E27FC236}">
              <a16:creationId xmlns:a16="http://schemas.microsoft.com/office/drawing/2014/main" id="{0FAAD05D-589B-C317-FC4F-F30B8A31DB43}"/>
            </a:ext>
          </a:extLst>
        </cdr:cNvPr>
        <cdr:cNvSpPr txBox="1"/>
      </cdr:nvSpPr>
      <cdr:spPr>
        <a:xfrm xmlns:a="http://schemas.openxmlformats.org/drawingml/2006/main">
          <a:off x="409489" y="579999"/>
          <a:ext cx="5709686" cy="3165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solidFill>
                <a:schemeClr val="accent1">
                  <a:lumMod val="50000"/>
                </a:schemeClr>
              </a:solidFill>
            </a:rPr>
            <a:t>Owner's</a:t>
          </a:r>
          <a:r>
            <a:rPr lang="en-US" sz="800" b="1" baseline="0">
              <a:solidFill>
                <a:schemeClr val="accent1">
                  <a:lumMod val="50000"/>
                </a:schemeClr>
              </a:solidFill>
            </a:rPr>
            <a:t> Equity                                                           </a:t>
          </a:r>
          <a:r>
            <a:rPr lang="en-US" sz="800" b="1" baseline="0">
              <a:solidFill>
                <a:schemeClr val="accent1">
                  <a:lumMod val="60000"/>
                  <a:lumOff val="40000"/>
                </a:schemeClr>
              </a:solidFill>
            </a:rPr>
            <a:t>Long-term Liabilities                                           </a:t>
          </a:r>
          <a:r>
            <a:rPr lang="en-US" sz="800" b="1" baseline="0">
              <a:solidFill>
                <a:schemeClr val="accent1"/>
              </a:solidFill>
            </a:rPr>
            <a:t>Current Liabilities</a:t>
          </a:r>
          <a:endParaRPr lang="en-US" sz="800" b="1">
            <a:solidFill>
              <a:schemeClr val="accent1"/>
            </a:solidFill>
          </a:endParaRPr>
        </a:p>
      </cdr:txBody>
    </cdr:sp>
  </cdr:relSizeAnchor>
  <cdr:relSizeAnchor xmlns:cdr="http://schemas.openxmlformats.org/drawingml/2006/chartDrawing">
    <cdr:from>
      <cdr:x>0.06432</cdr:x>
      <cdr:y>0.20901</cdr:y>
    </cdr:from>
    <cdr:to>
      <cdr:x>0.48</cdr:x>
      <cdr:y>0.26358</cdr:y>
    </cdr:to>
    <cdr:sp macro="" textlink="">
      <cdr:nvSpPr>
        <cdr:cNvPr id="3" name="TextBox 2">
          <a:extLst xmlns:a="http://schemas.openxmlformats.org/drawingml/2006/main">
            <a:ext uri="{FF2B5EF4-FFF2-40B4-BE49-F238E27FC236}">
              <a16:creationId xmlns:a16="http://schemas.microsoft.com/office/drawing/2014/main" id="{445D2B4C-7F1C-3717-E01F-451753B9A06B}"/>
            </a:ext>
          </a:extLst>
        </cdr:cNvPr>
        <cdr:cNvSpPr txBox="1"/>
      </cdr:nvSpPr>
      <cdr:spPr>
        <a:xfrm xmlns:a="http://schemas.openxmlformats.org/drawingml/2006/main">
          <a:off x="398734" y="726633"/>
          <a:ext cx="2576954" cy="1897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solidFill>
                <a:schemeClr val="bg1">
                  <a:lumMod val="75000"/>
                </a:schemeClr>
              </a:solidFill>
            </a:rPr>
            <a:t>Percentage per Total Assets</a:t>
          </a:r>
        </a:p>
      </cdr:txBody>
    </cdr:sp>
  </cdr:relSizeAnchor>
</c:userShapes>
</file>

<file path=xl/drawings/drawing73.xml><?xml version="1.0" encoding="utf-8"?>
<c:userShapes xmlns:c="http://schemas.openxmlformats.org/drawingml/2006/chart">
  <cdr:relSizeAnchor xmlns:cdr="http://schemas.openxmlformats.org/drawingml/2006/chartDrawing">
    <cdr:from>
      <cdr:x>0.05969</cdr:x>
      <cdr:y>0.16183</cdr:y>
    </cdr:from>
    <cdr:to>
      <cdr:x>0.98256</cdr:x>
      <cdr:y>0.2525</cdr:y>
    </cdr:to>
    <cdr:sp macro="" textlink="">
      <cdr:nvSpPr>
        <cdr:cNvPr id="2" name="TextBox 1">
          <a:extLst xmlns:a="http://schemas.openxmlformats.org/drawingml/2006/main">
            <a:ext uri="{FF2B5EF4-FFF2-40B4-BE49-F238E27FC236}">
              <a16:creationId xmlns:a16="http://schemas.microsoft.com/office/drawing/2014/main" id="{22231269-9CEE-C52C-AD55-741047525C62}"/>
            </a:ext>
          </a:extLst>
        </cdr:cNvPr>
        <cdr:cNvSpPr txBox="1"/>
      </cdr:nvSpPr>
      <cdr:spPr>
        <a:xfrm xmlns:a="http://schemas.openxmlformats.org/drawingml/2006/main">
          <a:off x="344884" y="557085"/>
          <a:ext cx="5332011" cy="31215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baseline="0">
              <a:solidFill>
                <a:schemeClr val="accent1">
                  <a:lumMod val="50000"/>
                </a:schemeClr>
              </a:solidFill>
            </a:rPr>
            <a:t>Fixed Assets                                           </a:t>
          </a:r>
          <a:r>
            <a:rPr lang="en-US" sz="800" b="1" baseline="0">
              <a:solidFill>
                <a:schemeClr val="accent1">
                  <a:lumMod val="60000"/>
                  <a:lumOff val="40000"/>
                </a:schemeClr>
              </a:solidFill>
            </a:rPr>
            <a:t>Long-term Incomplete Assets                        </a:t>
          </a:r>
          <a:r>
            <a:rPr lang="en-US" sz="800" b="1" baseline="0">
              <a:solidFill>
                <a:schemeClr val="accent1">
                  <a:lumMod val="20000"/>
                  <a:lumOff val="80000"/>
                </a:schemeClr>
              </a:solidFill>
            </a:rPr>
            <a:t>Other Long-term Assets</a:t>
          </a:r>
          <a:endParaRPr lang="en-US" sz="800" b="1">
            <a:solidFill>
              <a:schemeClr val="accent1">
                <a:lumMod val="20000"/>
                <a:lumOff val="80000"/>
              </a:schemeClr>
            </a:solidFill>
          </a:endParaRPr>
        </a:p>
      </cdr:txBody>
    </cdr:sp>
  </cdr:relSizeAnchor>
  <cdr:relSizeAnchor xmlns:cdr="http://schemas.openxmlformats.org/drawingml/2006/chartDrawing">
    <cdr:from>
      <cdr:x>0.05871</cdr:x>
      <cdr:y>0.20156</cdr:y>
    </cdr:from>
    <cdr:to>
      <cdr:x>0.47562</cdr:x>
      <cdr:y>0.2561</cdr:y>
    </cdr:to>
    <cdr:sp macro="" textlink="">
      <cdr:nvSpPr>
        <cdr:cNvPr id="3" name="TextBox 1">
          <a:extLst xmlns:a="http://schemas.openxmlformats.org/drawingml/2006/main">
            <a:ext uri="{FF2B5EF4-FFF2-40B4-BE49-F238E27FC236}">
              <a16:creationId xmlns:a16="http://schemas.microsoft.com/office/drawing/2014/main" id="{6D33811F-33D8-F6AB-6335-C48C655D1C17}"/>
            </a:ext>
          </a:extLst>
        </cdr:cNvPr>
        <cdr:cNvSpPr txBox="1"/>
      </cdr:nvSpPr>
      <cdr:spPr>
        <a:xfrm xmlns:a="http://schemas.openxmlformats.org/drawingml/2006/main">
          <a:off x="339198" y="693867"/>
          <a:ext cx="2408773" cy="18773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solidFill>
                <a:schemeClr val="bg1">
                  <a:lumMod val="75000"/>
                </a:schemeClr>
              </a:solidFill>
            </a:rPr>
            <a:t>Percentage per Total Assets</a:t>
          </a:r>
        </a:p>
      </cdr:txBody>
    </cdr:sp>
  </cdr:relSizeAnchor>
</c:userShapes>
</file>

<file path=xl/drawings/drawing74.xml><?xml version="1.0" encoding="utf-8"?>
<xdr:wsDr xmlns:xdr="http://schemas.openxmlformats.org/drawingml/2006/spreadsheetDrawing" xmlns:a="http://schemas.openxmlformats.org/drawingml/2006/main">
  <xdr:twoCellAnchor>
    <xdr:from>
      <xdr:col>12</xdr:col>
      <xdr:colOff>10882</xdr:colOff>
      <xdr:row>3</xdr:row>
      <xdr:rowOff>17541</xdr:rowOff>
    </xdr:from>
    <xdr:to>
      <xdr:col>16</xdr:col>
      <xdr:colOff>692150</xdr:colOff>
      <xdr:row>51</xdr:row>
      <xdr:rowOff>134362</xdr:rowOff>
    </xdr:to>
    <xdr:grpSp>
      <xdr:nvGrpSpPr>
        <xdr:cNvPr id="9" name="Group 8">
          <a:extLst>
            <a:ext uri="{FF2B5EF4-FFF2-40B4-BE49-F238E27FC236}">
              <a16:creationId xmlns:a16="http://schemas.microsoft.com/office/drawing/2014/main" id="{00000000-0008-0000-0900-000009000000}"/>
            </a:ext>
          </a:extLst>
        </xdr:cNvPr>
        <xdr:cNvGrpSpPr/>
      </xdr:nvGrpSpPr>
      <xdr:grpSpPr>
        <a:xfrm>
          <a:off x="19772082" y="601741"/>
          <a:ext cx="6256568" cy="8816321"/>
          <a:chOff x="19848282" y="601741"/>
          <a:chExt cx="6294668" cy="8981421"/>
        </a:xfrm>
      </xdr:grpSpPr>
      <xdr:grpSp>
        <xdr:nvGrpSpPr>
          <xdr:cNvPr id="2" name="Group 1">
            <a:extLst>
              <a:ext uri="{FF2B5EF4-FFF2-40B4-BE49-F238E27FC236}">
                <a16:creationId xmlns:a16="http://schemas.microsoft.com/office/drawing/2014/main" id="{00000000-0008-0000-0900-000002000000}"/>
              </a:ext>
            </a:extLst>
          </xdr:cNvPr>
          <xdr:cNvGrpSpPr/>
        </xdr:nvGrpSpPr>
        <xdr:grpSpPr>
          <a:xfrm>
            <a:off x="19848282" y="601741"/>
            <a:ext cx="6294668" cy="5907008"/>
            <a:chOff x="19805949" y="610209"/>
            <a:chExt cx="6269268" cy="6816280"/>
          </a:xfrm>
        </xdr:grpSpPr>
        <xdr:graphicFrame macro="">
          <xdr:nvGraphicFramePr>
            <xdr:cNvPr id="25" name="Chart 24">
              <a:extLst>
                <a:ext uri="{FF2B5EF4-FFF2-40B4-BE49-F238E27FC236}">
                  <a16:creationId xmlns:a16="http://schemas.microsoft.com/office/drawing/2014/main" id="{00000000-0008-0000-0900-000019000000}"/>
                </a:ext>
              </a:extLst>
            </xdr:cNvPr>
            <xdr:cNvGraphicFramePr>
              <a:graphicFrameLocks/>
            </xdr:cNvGraphicFramePr>
          </xdr:nvGraphicFramePr>
          <xdr:xfrm>
            <a:off x="19883967" y="4429285"/>
            <a:ext cx="5524500" cy="2997204"/>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8" name="Group 17">
              <a:extLst>
                <a:ext uri="{FF2B5EF4-FFF2-40B4-BE49-F238E27FC236}">
                  <a16:creationId xmlns:a16="http://schemas.microsoft.com/office/drawing/2014/main" id="{00000000-0008-0000-0900-000012000000}"/>
                </a:ext>
              </a:extLst>
            </xdr:cNvPr>
            <xdr:cNvGrpSpPr/>
          </xdr:nvGrpSpPr>
          <xdr:grpSpPr>
            <a:xfrm>
              <a:off x="19805949" y="610209"/>
              <a:ext cx="5530497" cy="3896297"/>
              <a:chOff x="26568399" y="7651719"/>
              <a:chExt cx="5686858" cy="2993915"/>
            </a:xfrm>
          </xdr:grpSpPr>
          <xdr:graphicFrame macro="">
            <xdr:nvGraphicFramePr>
              <xdr:cNvPr id="16" name="Chart 15">
                <a:extLst>
                  <a:ext uri="{FF2B5EF4-FFF2-40B4-BE49-F238E27FC236}">
                    <a16:creationId xmlns:a16="http://schemas.microsoft.com/office/drawing/2014/main" id="{00000000-0008-0000-0900-000010000000}"/>
                  </a:ext>
                </a:extLst>
              </xdr:cNvPr>
              <xdr:cNvGraphicFramePr/>
            </xdr:nvGraphicFramePr>
            <xdr:xfrm>
              <a:off x="26568399" y="7651719"/>
              <a:ext cx="5686858" cy="2993915"/>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17" name="Year 3">
                    <a:extLst>
                      <a:ext uri="{FF2B5EF4-FFF2-40B4-BE49-F238E27FC236}">
                        <a16:creationId xmlns:a16="http://schemas.microsoft.com/office/drawing/2014/main" id="{00000000-0008-0000-0900-000011000000}"/>
                      </a:ext>
                    </a:extLst>
                  </xdr:cNvPr>
                  <xdr:cNvGraphicFramePr/>
                </xdr:nvGraphicFramePr>
                <xdr:xfrm>
                  <a:off x="27324696" y="10076594"/>
                  <a:ext cx="4833336" cy="423007"/>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0586764" y="3336520"/>
                    <a:ext cx="4719487" cy="477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22" name="Chart 21">
              <a:extLst>
                <a:ext uri="{FF2B5EF4-FFF2-40B4-BE49-F238E27FC236}">
                  <a16:creationId xmlns:a16="http://schemas.microsoft.com/office/drawing/2014/main" id="{00000000-0008-0000-0900-000016000000}"/>
                </a:ext>
              </a:extLst>
            </xdr:cNvPr>
            <xdr:cNvGraphicFramePr>
              <a:graphicFrameLocks/>
            </xdr:cNvGraphicFramePr>
          </xdr:nvGraphicFramePr>
          <xdr:xfrm>
            <a:off x="20997093" y="4324410"/>
            <a:ext cx="5078124" cy="395510"/>
          </xdr:xfrm>
          <a:graphic>
            <a:graphicData uri="http://schemas.openxmlformats.org/drawingml/2006/chart">
              <c:chart xmlns:c="http://schemas.openxmlformats.org/drawingml/2006/chart" xmlns:r="http://schemas.openxmlformats.org/officeDocument/2006/relationships" r:id="rId3"/>
            </a:graphicData>
          </a:graphic>
        </xdr:graphicFrame>
      </xdr:grpSp>
      <xdr:graphicFrame macro="">
        <xdr:nvGraphicFramePr>
          <xdr:cNvPr id="8" name="Chart 7">
            <a:extLst>
              <a:ext uri="{FF2B5EF4-FFF2-40B4-BE49-F238E27FC236}">
                <a16:creationId xmlns:a16="http://schemas.microsoft.com/office/drawing/2014/main" id="{00000000-0008-0000-0900-000008000000}"/>
              </a:ext>
            </a:extLst>
          </xdr:cNvPr>
          <xdr:cNvGraphicFramePr/>
        </xdr:nvGraphicFramePr>
        <xdr:xfrm>
          <a:off x="19944700" y="6282258"/>
          <a:ext cx="5538858" cy="3300904"/>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22</xdr:col>
      <xdr:colOff>294640</xdr:colOff>
      <xdr:row>55</xdr:row>
      <xdr:rowOff>132080</xdr:rowOff>
    </xdr:from>
    <xdr:to>
      <xdr:col>25</xdr:col>
      <xdr:colOff>1599774</xdr:colOff>
      <xdr:row>74</xdr:row>
      <xdr:rowOff>291</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5.xml><?xml version="1.0" encoding="utf-8"?>
<xdr:wsDr xmlns:xdr="http://schemas.openxmlformats.org/drawingml/2006/spreadsheetDrawing" xmlns:a="http://schemas.openxmlformats.org/drawingml/2006/main">
  <xdr:twoCellAnchor>
    <xdr:from>
      <xdr:col>4</xdr:col>
      <xdr:colOff>523158</xdr:colOff>
      <xdr:row>82</xdr:row>
      <xdr:rowOff>96499</xdr:rowOff>
    </xdr:from>
    <xdr:to>
      <xdr:col>8</xdr:col>
      <xdr:colOff>75772</xdr:colOff>
      <xdr:row>100</xdr:row>
      <xdr:rowOff>47573</xdr:rowOff>
    </xdr:to>
    <xdr:graphicFrame macro="">
      <xdr:nvGraphicFramePr>
        <xdr:cNvPr id="6" name="Chart 5">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1645227</xdr:colOff>
      <xdr:row>82</xdr:row>
      <xdr:rowOff>18472</xdr:rowOff>
    </xdr:from>
    <xdr:to>
      <xdr:col>8</xdr:col>
      <xdr:colOff>1121639</xdr:colOff>
      <xdr:row>88</xdr:row>
      <xdr:rowOff>86591</xdr:rowOff>
    </xdr:to>
    <mc:AlternateContent xmlns:mc="http://schemas.openxmlformats.org/markup-compatibility/2006" xmlns:a14="http://schemas.microsoft.com/office/drawing/2010/main">
      <mc:Choice Requires="a14">
        <xdr:graphicFrame macro="">
          <xdr:nvGraphicFramePr>
            <xdr:cNvPr id="8" name="Year 5">
              <a:extLst>
                <a:ext uri="{FF2B5EF4-FFF2-40B4-BE49-F238E27FC236}">
                  <a16:creationId xmlns:a16="http://schemas.microsoft.com/office/drawing/2014/main" id="{00000000-0008-0000-0A00-000008000000}"/>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9519227" y="5708072"/>
              <a:ext cx="1825912" cy="1173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541410</xdr:colOff>
      <xdr:row>3</xdr:row>
      <xdr:rowOff>273017</xdr:rowOff>
    </xdr:from>
    <xdr:to>
      <xdr:col>30</xdr:col>
      <xdr:colOff>447332</xdr:colOff>
      <xdr:row>76</xdr:row>
      <xdr:rowOff>87119</xdr:rowOff>
    </xdr:to>
    <xdr:grpSp>
      <xdr:nvGrpSpPr>
        <xdr:cNvPr id="10" name="Group 9">
          <a:extLst>
            <a:ext uri="{FF2B5EF4-FFF2-40B4-BE49-F238E27FC236}">
              <a16:creationId xmlns:a16="http://schemas.microsoft.com/office/drawing/2014/main" id="{00000000-0008-0000-0A00-00000A000000}"/>
            </a:ext>
          </a:extLst>
        </xdr:cNvPr>
        <xdr:cNvGrpSpPr/>
      </xdr:nvGrpSpPr>
      <xdr:grpSpPr>
        <a:xfrm>
          <a:off x="19985110" y="1784317"/>
          <a:ext cx="15526922" cy="3522502"/>
          <a:chOff x="18744743" y="1178480"/>
          <a:chExt cx="13076293" cy="3494750"/>
        </a:xfrm>
      </xdr:grpSpPr>
      <xdr:grpSp>
        <xdr:nvGrpSpPr>
          <xdr:cNvPr id="4" name="Group 3">
            <a:extLst>
              <a:ext uri="{FF2B5EF4-FFF2-40B4-BE49-F238E27FC236}">
                <a16:creationId xmlns:a16="http://schemas.microsoft.com/office/drawing/2014/main" id="{00000000-0008-0000-0A00-000004000000}"/>
              </a:ext>
            </a:extLst>
          </xdr:cNvPr>
          <xdr:cNvGrpSpPr/>
        </xdr:nvGrpSpPr>
        <xdr:grpSpPr>
          <a:xfrm>
            <a:off x="24207301" y="1178480"/>
            <a:ext cx="7613735" cy="3458095"/>
            <a:chOff x="26853373" y="1198391"/>
            <a:chExt cx="7561079" cy="3436007"/>
          </a:xfrm>
        </xdr:grpSpPr>
        <mc:AlternateContent xmlns:mc="http://schemas.openxmlformats.org/markup-compatibility/2006" xmlns:sle15="http://schemas.microsoft.com/office/drawing/2012/slicer">
          <mc:Choice Requires="sle15">
            <xdr:graphicFrame macro="">
              <xdr:nvGraphicFramePr>
                <xdr:cNvPr id="2" name="Ratio">
                  <a:extLst>
                    <a:ext uri="{FF2B5EF4-FFF2-40B4-BE49-F238E27FC236}">
                      <a16:creationId xmlns:a16="http://schemas.microsoft.com/office/drawing/2014/main" id="{00000000-0008-0000-0A00-000002000000}"/>
                    </a:ext>
                  </a:extLst>
                </xdr:cNvPr>
                <xdr:cNvGraphicFramePr/>
              </xdr:nvGraphicFramePr>
              <xdr:xfrm>
                <a:off x="26853634" y="1198391"/>
                <a:ext cx="7560818" cy="1718734"/>
              </xdr:xfrm>
              <a:graphic>
                <a:graphicData uri="http://schemas.microsoft.com/office/drawing/2010/slicer">
                  <sle:slicer xmlns:sle="http://schemas.microsoft.com/office/drawing/2010/slicer" name="Ratio"/>
                </a:graphicData>
              </a:graphic>
            </xdr:graphicFrame>
          </mc:Choice>
          <mc:Fallback xmlns="">
            <xdr:sp macro="" textlink="">
              <xdr:nvSpPr>
                <xdr:cNvPr id="0" name=""/>
                <xdr:cNvSpPr>
                  <a:spLocks noTextEdit="1"/>
                </xdr:cNvSpPr>
              </xdr:nvSpPr>
              <xdr:spPr>
                <a:xfrm>
                  <a:off x="26471718" y="1174717"/>
                  <a:ext cx="9040314" cy="17435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3" name="Type">
                  <a:extLst>
                    <a:ext uri="{FF2B5EF4-FFF2-40B4-BE49-F238E27FC236}">
                      <a16:creationId xmlns:a16="http://schemas.microsoft.com/office/drawing/2014/main" id="{00000000-0008-0000-0A00-000003000000}"/>
                    </a:ext>
                  </a:extLst>
                </xdr:cNvPr>
                <xdr:cNvGraphicFramePr/>
              </xdr:nvGraphicFramePr>
              <xdr:xfrm>
                <a:off x="26853373" y="2931722"/>
                <a:ext cx="7552319" cy="1702676"/>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26471406" y="2933044"/>
                  <a:ext cx="9030152" cy="172722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graphicFrame macro="">
        <xdr:nvGraphicFramePr>
          <xdr:cNvPr id="9" name="Chart 8">
            <a:extLst>
              <a:ext uri="{FF2B5EF4-FFF2-40B4-BE49-F238E27FC236}">
                <a16:creationId xmlns:a16="http://schemas.microsoft.com/office/drawing/2014/main" id="{00000000-0008-0000-0A00-000009000000}"/>
              </a:ext>
            </a:extLst>
          </xdr:cNvPr>
          <xdr:cNvGraphicFramePr/>
        </xdr:nvGraphicFramePr>
        <xdr:xfrm>
          <a:off x="18744743" y="1179454"/>
          <a:ext cx="5467889" cy="3493776"/>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8</xdr:col>
      <xdr:colOff>2015067</xdr:colOff>
      <xdr:row>105</xdr:row>
      <xdr:rowOff>114300</xdr:rowOff>
    </xdr:from>
    <xdr:to>
      <xdr:col>14</xdr:col>
      <xdr:colOff>50800</xdr:colOff>
      <xdr:row>122</xdr:row>
      <xdr:rowOff>20356</xdr:rowOff>
    </xdr:to>
    <xdr:grpSp>
      <xdr:nvGrpSpPr>
        <xdr:cNvPr id="13" name="Group 12">
          <a:extLst>
            <a:ext uri="{FF2B5EF4-FFF2-40B4-BE49-F238E27FC236}">
              <a16:creationId xmlns:a16="http://schemas.microsoft.com/office/drawing/2014/main" id="{00000000-0008-0000-0A00-00000D000000}"/>
            </a:ext>
          </a:extLst>
        </xdr:cNvPr>
        <xdr:cNvGrpSpPr/>
      </xdr:nvGrpSpPr>
      <xdr:grpSpPr>
        <a:xfrm>
          <a:off x="12238567" y="10541000"/>
          <a:ext cx="7255933" cy="2928656"/>
          <a:chOff x="12556067" y="9931400"/>
          <a:chExt cx="7255933" cy="2928656"/>
        </a:xfrm>
      </xdr:grpSpPr>
      <xdr:graphicFrame macro="">
        <xdr:nvGraphicFramePr>
          <xdr:cNvPr id="11" name="Chart 10">
            <a:extLst>
              <a:ext uri="{FF2B5EF4-FFF2-40B4-BE49-F238E27FC236}">
                <a16:creationId xmlns:a16="http://schemas.microsoft.com/office/drawing/2014/main" id="{00000000-0008-0000-0A00-00000B000000}"/>
              </a:ext>
            </a:extLst>
          </xdr:cNvPr>
          <xdr:cNvGraphicFramePr>
            <a:graphicFrameLocks/>
          </xdr:cNvGraphicFramePr>
        </xdr:nvGraphicFramePr>
        <xdr:xfrm>
          <a:off x="12556067" y="9994900"/>
          <a:ext cx="5623065" cy="2865156"/>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2" name="Company">
                <a:extLst>
                  <a:ext uri="{FF2B5EF4-FFF2-40B4-BE49-F238E27FC236}">
                    <a16:creationId xmlns:a16="http://schemas.microsoft.com/office/drawing/2014/main" id="{00000000-0008-0000-0A00-00000C000000}"/>
                  </a:ext>
                </a:extLst>
              </xdr:cNvPr>
              <xdr:cNvGraphicFramePr/>
            </xdr:nvGraphicFramePr>
            <xdr:xfrm>
              <a:off x="18186400" y="9931400"/>
              <a:ext cx="1625600" cy="1269999"/>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7868900" y="9931400"/>
                <a:ext cx="1625600" cy="1269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76.xml><?xml version="1.0" encoding="utf-8"?>
<c:userShapes xmlns:c="http://schemas.openxmlformats.org/drawingml/2006/chart">
  <cdr:relSizeAnchor xmlns:cdr="http://schemas.openxmlformats.org/drawingml/2006/chartDrawing">
    <cdr:from>
      <cdr:x>0.1943</cdr:x>
      <cdr:y>0.11303</cdr:y>
    </cdr:from>
    <cdr:to>
      <cdr:x>0.4582</cdr:x>
      <cdr:y>0.18564</cdr:y>
    </cdr:to>
    <cdr:sp macro="" textlink="">
      <cdr:nvSpPr>
        <cdr:cNvPr id="3" name="TextBox 2">
          <a:extLst xmlns:a="http://schemas.openxmlformats.org/drawingml/2006/main">
            <a:ext uri="{FF2B5EF4-FFF2-40B4-BE49-F238E27FC236}">
              <a16:creationId xmlns:a16="http://schemas.microsoft.com/office/drawing/2014/main" id="{6C2D5E93-AEF0-BDFE-8E3D-257AC3A02D01}"/>
            </a:ext>
          </a:extLst>
        </cdr:cNvPr>
        <cdr:cNvSpPr txBox="1"/>
      </cdr:nvSpPr>
      <cdr:spPr>
        <a:xfrm xmlns:a="http://schemas.openxmlformats.org/drawingml/2006/main">
          <a:off x="1092576" y="323841"/>
          <a:ext cx="1483927" cy="2080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0">
              <a:solidFill>
                <a:schemeClr val="bg1">
                  <a:lumMod val="75000"/>
                </a:schemeClr>
              </a:solidFill>
            </a:rPr>
            <a:t>Element</a:t>
          </a:r>
          <a:r>
            <a:rPr lang="en-US" sz="800" b="0" baseline="0">
              <a:solidFill>
                <a:schemeClr val="bg1">
                  <a:lumMod val="75000"/>
                </a:schemeClr>
              </a:solidFill>
            </a:rPr>
            <a:t> of ROE</a:t>
          </a:r>
          <a:endParaRPr lang="en-US" sz="800" b="0">
            <a:solidFill>
              <a:schemeClr val="bg1">
                <a:lumMod val="75000"/>
              </a:schemeClr>
            </a:solidFill>
          </a:endParaRPr>
        </a:p>
      </cdr:txBody>
    </cdr:sp>
  </cdr:relSizeAnchor>
  <cdr:relSizeAnchor xmlns:cdr="http://schemas.openxmlformats.org/drawingml/2006/chartDrawing">
    <cdr:from>
      <cdr:x>0.34832</cdr:x>
      <cdr:y>0.13549</cdr:y>
    </cdr:from>
    <cdr:to>
      <cdr:x>0.34832</cdr:x>
      <cdr:y>0.16806</cdr:y>
    </cdr:to>
    <cdr:cxnSp macro="">
      <cdr:nvCxnSpPr>
        <cdr:cNvPr id="5" name="Straight Connector 4">
          <a:extLst xmlns:a="http://schemas.openxmlformats.org/drawingml/2006/main">
            <a:ext uri="{FF2B5EF4-FFF2-40B4-BE49-F238E27FC236}">
              <a16:creationId xmlns:a16="http://schemas.microsoft.com/office/drawing/2014/main" id="{CB8E3FB5-52F8-53B4-79BC-0A5F32AF6357}"/>
            </a:ext>
          </a:extLst>
        </cdr:cNvPr>
        <cdr:cNvCxnSpPr/>
      </cdr:nvCxnSpPr>
      <cdr:spPr>
        <a:xfrm xmlns:a="http://schemas.openxmlformats.org/drawingml/2006/main">
          <a:off x="2007422" y="419663"/>
          <a:ext cx="0" cy="100910"/>
        </a:xfrm>
        <a:prstGeom xmlns:a="http://schemas.openxmlformats.org/drawingml/2006/main" prst="line">
          <a:avLst/>
        </a:prstGeom>
        <a:ln xmlns:a="http://schemas.openxmlformats.org/drawingml/2006/main" w="12700">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0.34194</cdr:x>
      <cdr:y>0.10959</cdr:y>
    </cdr:from>
    <cdr:to>
      <cdr:x>0.60585</cdr:x>
      <cdr:y>0.1822</cdr:y>
    </cdr:to>
    <cdr:sp macro="" textlink="">
      <cdr:nvSpPr>
        <cdr:cNvPr id="8" name="TextBox 1">
          <a:extLst xmlns:a="http://schemas.openxmlformats.org/drawingml/2006/main">
            <a:ext uri="{FF2B5EF4-FFF2-40B4-BE49-F238E27FC236}">
              <a16:creationId xmlns:a16="http://schemas.microsoft.com/office/drawing/2014/main" id="{96FD5160-886D-B139-D7ED-AF074A5874D8}"/>
            </a:ext>
          </a:extLst>
        </cdr:cNvPr>
        <cdr:cNvSpPr txBox="1"/>
      </cdr:nvSpPr>
      <cdr:spPr>
        <a:xfrm xmlns:a="http://schemas.openxmlformats.org/drawingml/2006/main">
          <a:off x="1922767" y="314006"/>
          <a:ext cx="1483983" cy="2080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0">
              <a:solidFill>
                <a:schemeClr val="bg1">
                  <a:lumMod val="75000"/>
                </a:schemeClr>
              </a:solidFill>
            </a:rPr>
            <a:t>Value</a:t>
          </a:r>
        </a:p>
      </cdr:txBody>
    </cdr:sp>
  </cdr:relSizeAnchor>
</c:userShapes>
</file>

<file path=xl/drawings/drawing7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12700</xdr:colOff>
          <xdr:row>1</xdr:row>
          <xdr:rowOff>12700</xdr:rowOff>
        </xdr:from>
        <xdr:to>
          <xdr:col>7</xdr:col>
          <xdr:colOff>571500</xdr:colOff>
          <xdr:row>1</xdr:row>
          <xdr:rowOff>152400</xdr:rowOff>
        </xdr:to>
        <xdr:sp macro="" textlink="">
          <xdr:nvSpPr>
            <xdr:cNvPr id="11265" name="chkCenter" hidden="1">
              <a:extLst>
                <a:ext uri="{63B3BB69-23CF-44E3-9099-C40C66FF867C}">
                  <a14:compatExt spid="_x0000_s11265"/>
                </a:ext>
                <a:ext uri="{FF2B5EF4-FFF2-40B4-BE49-F238E27FC236}">
                  <a16:creationId xmlns:a16="http://schemas.microsoft.com/office/drawing/2014/main" id="{00000000-0008-0000-0B00-0000012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FFFFFF"/>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Segoe UI"/>
                  <a:cs typeface="Segoe UI"/>
                </a:rPr>
                <a:t>Center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12700</xdr:colOff>
          <xdr:row>1</xdr:row>
          <xdr:rowOff>12700</xdr:rowOff>
        </xdr:from>
        <xdr:to>
          <xdr:col>8</xdr:col>
          <xdr:colOff>571500</xdr:colOff>
          <xdr:row>1</xdr:row>
          <xdr:rowOff>152400</xdr:rowOff>
        </xdr:to>
        <xdr:sp macro="" textlink="">
          <xdr:nvSpPr>
            <xdr:cNvPr id="11266" name="chkAbove" hidden="1">
              <a:extLst>
                <a:ext uri="{63B3BB69-23CF-44E3-9099-C40C66FF867C}">
                  <a14:compatExt spid="_x0000_s11266"/>
                </a:ext>
                <a:ext uri="{FF2B5EF4-FFF2-40B4-BE49-F238E27FC236}">
                  <a16:creationId xmlns:a16="http://schemas.microsoft.com/office/drawing/2014/main" id="{00000000-0008-0000-0B00-0000022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FFFFFF"/>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Segoe UI"/>
                  <a:cs typeface="Segoe UI"/>
                </a:rPr>
                <a:t>Above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1</xdr:row>
          <xdr:rowOff>12700</xdr:rowOff>
        </xdr:from>
        <xdr:to>
          <xdr:col>9</xdr:col>
          <xdr:colOff>571500</xdr:colOff>
          <xdr:row>1</xdr:row>
          <xdr:rowOff>152400</xdr:rowOff>
        </xdr:to>
        <xdr:sp macro="" textlink="">
          <xdr:nvSpPr>
            <xdr:cNvPr id="11267" name="chkBelow" hidden="1">
              <a:extLst>
                <a:ext uri="{63B3BB69-23CF-44E3-9099-C40C66FF867C}">
                  <a14:compatExt spid="_x0000_s11267"/>
                </a:ext>
                <a:ext uri="{FF2B5EF4-FFF2-40B4-BE49-F238E27FC236}">
                  <a16:creationId xmlns:a16="http://schemas.microsoft.com/office/drawing/2014/main" id="{00000000-0008-0000-0B00-0000032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FFFFFF"/>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Segoe UI"/>
                  <a:cs typeface="Segoe UI"/>
                </a:rPr>
                <a:t>Below</a:t>
              </a:r>
            </a:p>
          </xdr:txBody>
        </xdr:sp>
        <xdr:clientData/>
      </xdr:twoCellAnchor>
    </mc:Choice>
    <mc:Fallback/>
  </mc:AlternateContent>
  <xdr:twoCellAnchor>
    <xdr:from>
      <xdr:col>0</xdr:col>
      <xdr:colOff>812800</xdr:colOff>
      <xdr:row>12</xdr:row>
      <xdr:rowOff>76200</xdr:rowOff>
    </xdr:from>
    <xdr:to>
      <xdr:col>8</xdr:col>
      <xdr:colOff>419100</xdr:colOff>
      <xdr:row>31</xdr:row>
      <xdr:rowOff>12700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12700</xdr:colOff>
          <xdr:row>1</xdr:row>
          <xdr:rowOff>12700</xdr:rowOff>
        </xdr:from>
        <xdr:to>
          <xdr:col>7</xdr:col>
          <xdr:colOff>571500</xdr:colOff>
          <xdr:row>1</xdr:row>
          <xdr:rowOff>152400</xdr:rowOff>
        </xdr:to>
        <xdr:sp macro="" textlink="">
          <xdr:nvSpPr>
            <xdr:cNvPr id="15361" name="chkCenter" hidden="1">
              <a:extLst>
                <a:ext uri="{63B3BB69-23CF-44E3-9099-C40C66FF867C}">
                  <a14:compatExt spid="_x0000_s15361"/>
                </a:ext>
                <a:ext uri="{FF2B5EF4-FFF2-40B4-BE49-F238E27FC236}">
                  <a16:creationId xmlns:a16="http://schemas.microsoft.com/office/drawing/2014/main" id="{00000000-0008-0000-0C00-000001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FFFFFF"/>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Segoe UI"/>
                  <a:cs typeface="Segoe UI"/>
                </a:rPr>
                <a:t>Center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12700</xdr:colOff>
          <xdr:row>1</xdr:row>
          <xdr:rowOff>12700</xdr:rowOff>
        </xdr:from>
        <xdr:to>
          <xdr:col>8</xdr:col>
          <xdr:colOff>571500</xdr:colOff>
          <xdr:row>1</xdr:row>
          <xdr:rowOff>152400</xdr:rowOff>
        </xdr:to>
        <xdr:sp macro="" textlink="">
          <xdr:nvSpPr>
            <xdr:cNvPr id="15362" name="chkAbove" hidden="1">
              <a:extLst>
                <a:ext uri="{63B3BB69-23CF-44E3-9099-C40C66FF867C}">
                  <a14:compatExt spid="_x0000_s15362"/>
                </a:ext>
                <a:ext uri="{FF2B5EF4-FFF2-40B4-BE49-F238E27FC236}">
                  <a16:creationId xmlns:a16="http://schemas.microsoft.com/office/drawing/2014/main" id="{00000000-0008-0000-0C00-000002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FFFFFF"/>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Segoe UI"/>
                  <a:cs typeface="Segoe UI"/>
                </a:rPr>
                <a:t>Above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1</xdr:row>
          <xdr:rowOff>12700</xdr:rowOff>
        </xdr:from>
        <xdr:to>
          <xdr:col>9</xdr:col>
          <xdr:colOff>571500</xdr:colOff>
          <xdr:row>1</xdr:row>
          <xdr:rowOff>152400</xdr:rowOff>
        </xdr:to>
        <xdr:sp macro="" textlink="">
          <xdr:nvSpPr>
            <xdr:cNvPr id="15363" name="chkBelow" hidden="1">
              <a:extLst>
                <a:ext uri="{63B3BB69-23CF-44E3-9099-C40C66FF867C}">
                  <a14:compatExt spid="_x0000_s15363"/>
                </a:ext>
                <a:ext uri="{FF2B5EF4-FFF2-40B4-BE49-F238E27FC236}">
                  <a16:creationId xmlns:a16="http://schemas.microsoft.com/office/drawing/2014/main" id="{00000000-0008-0000-0C00-000003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FFFFFF"/>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Segoe UI"/>
                  <a:cs typeface="Segoe UI"/>
                </a:rPr>
                <a:t>Below</a:t>
              </a:r>
            </a:p>
          </xdr:txBody>
        </xdr:sp>
        <xdr:clientData/>
      </xdr:twoCellAnchor>
    </mc:Choice>
    <mc:Fallback/>
  </mc:AlternateContent>
  <xdr:twoCellAnchor>
    <xdr:from>
      <xdr:col>0</xdr:col>
      <xdr:colOff>1206500</xdr:colOff>
      <xdr:row>12</xdr:row>
      <xdr:rowOff>12700</xdr:rowOff>
    </xdr:from>
    <xdr:to>
      <xdr:col>10</xdr:col>
      <xdr:colOff>84667</xdr:colOff>
      <xdr:row>30</xdr:row>
      <xdr:rowOff>127000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0.89576</cdr:x>
      <cdr:y>0.18567</cdr:y>
    </cdr:from>
    <cdr:to>
      <cdr:x>0.89576</cdr:x>
      <cdr:y>0.79431</cdr:y>
    </cdr:to>
    <cdr:cxnSp macro="">
      <cdr:nvCxnSpPr>
        <cdr:cNvPr id="14" name="Straight Connector 13">
          <a:extLst xmlns:a="http://schemas.openxmlformats.org/drawingml/2006/main">
            <a:ext uri="{FF2B5EF4-FFF2-40B4-BE49-F238E27FC236}">
              <a16:creationId xmlns:a16="http://schemas.microsoft.com/office/drawing/2014/main" id="{86187232-A382-6181-5CC9-4B31D63B16BB}"/>
            </a:ext>
          </a:extLst>
        </cdr:cNvPr>
        <cdr:cNvCxnSpPr/>
      </cdr:nvCxnSpPr>
      <cdr:spPr>
        <a:xfrm xmlns:a="http://schemas.openxmlformats.org/drawingml/2006/main">
          <a:off x="3805734" y="131251"/>
          <a:ext cx="0" cy="430240"/>
        </a:xfrm>
        <a:prstGeom xmlns:a="http://schemas.openxmlformats.org/drawingml/2006/main" prst="line">
          <a:avLst/>
        </a:prstGeom>
        <a:ln xmlns:a="http://schemas.openxmlformats.org/drawingml/2006/main" w="25400">
          <a:solidFill>
            <a:schemeClr val="accent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cdr:x>
      <cdr:y>0.4333</cdr:y>
    </cdr:from>
    <cdr:to>
      <cdr:x>0.38326</cdr:x>
      <cdr:y>0.54829</cdr:y>
    </cdr:to>
    <cdr:sp macro="" textlink="">
      <cdr:nvSpPr>
        <cdr:cNvPr id="2"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0" y="1968500"/>
          <a:ext cx="1745384" cy="5223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baseline="0">
              <a:solidFill>
                <a:schemeClr val="accent1">
                  <a:lumMod val="75000"/>
                </a:schemeClr>
              </a:solidFill>
              <a:latin typeface="Arial" panose="020B0604020202020204" pitchFamily="34" charset="0"/>
              <a:cs typeface="Arial" panose="020B0604020202020204" pitchFamily="34" charset="0"/>
            </a:rPr>
            <a:t>5,7 T</a:t>
          </a: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0.54321</cdr:x>
      <cdr:y>0.43372</cdr:y>
    </cdr:from>
    <cdr:to>
      <cdr:x>0.92647</cdr:x>
      <cdr:y>0.54871</cdr:y>
    </cdr:to>
    <cdr:sp macro="" textlink="">
      <cdr:nvSpPr>
        <cdr:cNvPr id="3" name="TextBox 4">
          <a:extLst xmlns:a="http://schemas.openxmlformats.org/drawingml/2006/main">
            <a:ext uri="{FF2B5EF4-FFF2-40B4-BE49-F238E27FC236}">
              <a16:creationId xmlns:a16="http://schemas.microsoft.com/office/drawing/2014/main" id="{7E9D0545-2390-B5FD-23A9-12E0B3067368}"/>
            </a:ext>
          </a:extLst>
        </cdr:cNvPr>
        <cdr:cNvSpPr txBox="1"/>
      </cdr:nvSpPr>
      <cdr:spPr>
        <a:xfrm xmlns:a="http://schemas.openxmlformats.org/drawingml/2006/main">
          <a:off x="2473840" y="1970430"/>
          <a:ext cx="1745383" cy="52239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a:solidFill>
                <a:schemeClr val="accent1">
                  <a:lumMod val="75000"/>
                </a:schemeClr>
              </a:solidFill>
              <a:latin typeface="Arial" panose="020B0604020202020204" pitchFamily="34" charset="0"/>
              <a:cs typeface="Arial" panose="020B0604020202020204" pitchFamily="34" charset="0"/>
            </a:rPr>
            <a:t>7%</a:t>
          </a:r>
          <a:endParaRPr lang="en-US" sz="1800" b="1" baseline="0">
            <a:solidFill>
              <a:schemeClr val="accent1">
                <a:lumMod val="75000"/>
              </a:schemeClr>
            </a:solidFill>
            <a:latin typeface="Arial" panose="020B0604020202020204" pitchFamily="34" charset="0"/>
            <a:cs typeface="Arial" panose="020B0604020202020204" pitchFamily="34" charset="0"/>
          </a:endParaRPr>
        </a:p>
        <a:p xmlns:a="http://schemas.openxmlformats.org/drawingml/2006/main">
          <a:pPr algn="ctr"/>
          <a:r>
            <a:rPr lang="en-US" sz="1000" b="0" i="1" baseline="0">
              <a:solidFill>
                <a:schemeClr val="bg2">
                  <a:lumMod val="75000"/>
                </a:schemeClr>
              </a:solidFill>
              <a:latin typeface="Symbol" pitchFamily="2" charset="2"/>
              <a:cs typeface="Arial" panose="020B0604020202020204" pitchFamily="34" charset="0"/>
            </a:rPr>
            <a:t>%D</a:t>
          </a:r>
          <a:r>
            <a:rPr lang="en-US" sz="800" b="0" i="1" baseline="0">
              <a:solidFill>
                <a:schemeClr val="bg2">
                  <a:lumMod val="75000"/>
                </a:schemeClr>
              </a:solidFill>
              <a:latin typeface="Arial" panose="020B0604020202020204" pitchFamily="34" charset="0"/>
              <a:cs typeface="Arial" panose="020B0604020202020204" pitchFamily="34" charset="0"/>
            </a:rPr>
            <a:t> from prior year</a:t>
          </a:r>
          <a:endParaRPr lang="en-US" sz="800" b="0" i="1">
            <a:solidFill>
              <a:schemeClr val="bg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0.01246</cdr:x>
      <cdr:y>0.16876</cdr:y>
    </cdr:from>
    <cdr:to>
      <cdr:x>0.42875</cdr:x>
      <cdr:y>0.28357</cdr:y>
    </cdr:to>
    <cdr:sp macro="" textlink="">
      <cdr:nvSpPr>
        <cdr:cNvPr id="5" name="TextBox 5">
          <a:extLst xmlns:a="http://schemas.openxmlformats.org/drawingml/2006/main">
            <a:ext uri="{FF2B5EF4-FFF2-40B4-BE49-F238E27FC236}">
              <a16:creationId xmlns:a16="http://schemas.microsoft.com/office/drawing/2014/main" id="{3AB09488-37E1-B114-BCA6-19DE19049335}"/>
            </a:ext>
          </a:extLst>
        </cdr:cNvPr>
        <cdr:cNvSpPr txBox="1"/>
      </cdr:nvSpPr>
      <cdr:spPr>
        <a:xfrm xmlns:a="http://schemas.openxmlformats.org/drawingml/2006/main">
          <a:off x="58167" y="630083"/>
          <a:ext cx="1942697" cy="42867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lumMod val="65000"/>
                  <a:lumOff val="35000"/>
                </a:schemeClr>
              </a:solidFill>
              <a:latin typeface="Arial" panose="020B0604020202020204" pitchFamily="34" charset="0"/>
              <a:cs typeface="Arial" panose="020B0604020202020204" pitchFamily="34" charset="0"/>
            </a:rPr>
            <a:t>Long-term Assets</a:t>
          </a:r>
        </a:p>
        <a:p xmlns:a="http://schemas.openxmlformats.org/drawingml/2006/main">
          <a:r>
            <a:rPr lang="en-US" sz="800">
              <a:solidFill>
                <a:schemeClr val="bg2">
                  <a:lumMod val="75000"/>
                </a:schemeClr>
              </a:solidFill>
              <a:latin typeface="Arial" panose="020B0604020202020204" pitchFamily="34" charset="0"/>
              <a:cs typeface="Arial" panose="020B0604020202020204" pitchFamily="34" charset="0"/>
            </a:rPr>
            <a:t>vs YTD PY</a:t>
          </a: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Users/nguyenminhhieu/Downloads/formula-benchmarking%20(1).xlsx" TargetMode="External"/><Relationship Id="rId1" Type="http://schemas.openxmlformats.org/officeDocument/2006/relationships/externalLinkPath" Target="/Users/nguyenminhhieu/Downloads/formula-benchmarking%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S (CŨ)"/>
      <sheetName val="BS (MỚI CỦA MIHI)"/>
      <sheetName val="IS (CŨ)"/>
      <sheetName val="IS (MỚI CỦA MIHI)"/>
      <sheetName val="CFS"/>
      <sheetName val="BENCHMARKING"/>
      <sheetName val="Data Shaping"/>
    </sheetNames>
    <sheetDataSet>
      <sheetData sheetId="0"/>
      <sheetData sheetId="1">
        <row r="29">
          <cell r="B29">
            <v>26286822229202</v>
          </cell>
          <cell r="C29">
            <v>42134493932210</v>
          </cell>
          <cell r="D29">
            <v>34491111096123</v>
          </cell>
        </row>
        <row r="94">
          <cell r="B94">
            <v>20316430635228</v>
          </cell>
          <cell r="C94">
            <v>13996480970369</v>
          </cell>
          <cell r="D94">
            <v>11837189211664</v>
          </cell>
        </row>
        <row r="110">
          <cell r="B110">
            <v>59219786306111</v>
          </cell>
          <cell r="C110">
            <v>90780625511439</v>
          </cell>
          <cell r="D110">
            <v>96112939615783</v>
          </cell>
        </row>
      </sheetData>
      <sheetData sheetId="2"/>
      <sheetData sheetId="3">
        <row r="5">
          <cell r="B5">
            <v>91279041771826</v>
          </cell>
          <cell r="C5">
            <v>150865359967200</v>
          </cell>
          <cell r="D5">
            <v>142770810676858</v>
          </cell>
        </row>
        <row r="12">
          <cell r="B12">
            <v>-2191680923417</v>
          </cell>
          <cell r="C12">
            <v>-2525823258237</v>
          </cell>
          <cell r="D12">
            <v>-3083638131818</v>
          </cell>
        </row>
        <row r="16">
          <cell r="B16">
            <v>15292303808992</v>
          </cell>
          <cell r="C16">
            <v>37008443446265</v>
          </cell>
          <cell r="D16">
            <v>9794030627309</v>
          </cell>
        </row>
      </sheetData>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7.708135995374" createdVersion="8" refreshedVersion="8" minRefreshableVersion="3" recordCount="15" xr:uid="{05A0D1E0-86C7-6F46-A4BB-48E122F143C0}">
  <cacheSource type="worksheet">
    <worksheetSource name="Table6"/>
  </cacheSource>
  <cacheFields count="3">
    <cacheField name="Year" numFmtId="0">
      <sharedItems containsSemiMixedTypes="0" containsString="0" containsNumber="1" containsInteger="1" minValue="2020" maxValue="2022" count="3">
        <n v="2020"/>
        <n v="2021"/>
        <n v="2022"/>
      </sharedItems>
    </cacheField>
    <cacheField name="Cash Flow" numFmtId="0">
      <sharedItems count="5">
        <s v="The beginning of period"/>
        <s v="Operating activities"/>
        <s v="Investing activities"/>
        <s v="Financing activities"/>
        <s v="The end of period"/>
      </sharedItems>
    </cacheField>
    <cacheField name="Amount of Inflow/Outflow" numFmtId="0">
      <sharedItems containsSemiMixedTypes="0" containsString="0" containsNumber="1" minValue="-24.6" maxValue="26.7"/>
    </cacheField>
  </cacheFields>
  <extLst>
    <ext xmlns:x14="http://schemas.microsoft.com/office/spreadsheetml/2009/9/main" uri="{725AE2AE-9491-48be-B2B4-4EB974FC3084}">
      <x14:pivotCacheDefinition pivotCacheId="10631360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7.997104050926" createdVersion="8" refreshedVersion="8" minRefreshableVersion="3" recordCount="21" xr:uid="{E002D84C-A467-7749-BB93-707A8237A35E}">
  <cacheSource type="worksheet">
    <worksheetSource name="Table3"/>
  </cacheSource>
  <cacheFields count="3">
    <cacheField name="Year" numFmtId="0">
      <sharedItems containsSemiMixedTypes="0" containsString="0" containsNumber="1" containsInteger="1" minValue="2020" maxValue="2022" count="3">
        <n v="2020"/>
        <n v="2021"/>
        <n v="2022"/>
      </sharedItems>
    </cacheField>
    <cacheField name="Expenses" numFmtId="0">
      <sharedItems count="7">
        <s v="Revenue"/>
        <s v="Cost of Sales"/>
        <s v="Operating Expenses"/>
        <s v="Interest Expenses"/>
        <s v="Tax Expenses"/>
        <s v="Other Profit/Loss"/>
        <s v="Net Profit"/>
      </sharedItems>
    </cacheField>
    <cacheField name="Money" numFmtId="0">
      <sharedItems containsSemiMixedTypes="0" containsString="0" containsNumber="1" minValue="-124.6" maxValue="149.69999999999999"/>
    </cacheField>
  </cacheFields>
  <extLst>
    <ext xmlns:x14="http://schemas.microsoft.com/office/spreadsheetml/2009/9/main" uri="{725AE2AE-9491-48be-B2B4-4EB974FC3084}">
      <x14:pivotCacheDefinition pivotCacheId="33192778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83.00632847222" createdVersion="8" refreshedVersion="8" minRefreshableVersion="3" recordCount="12" xr:uid="{142AE603-22DB-B942-99F5-16CD0C63A5A9}">
  <cacheSource type="worksheet">
    <worksheetSource ref="A62:D74" sheet="FR"/>
  </cacheSource>
  <cacheFields count="4">
    <cacheField name="Year" numFmtId="0">
      <sharedItems containsSemiMixedTypes="0" containsString="0" containsNumber="1" containsInteger="1" minValue="2020" maxValue="2022" count="3">
        <n v="2020"/>
        <n v="2021"/>
        <n v="2022"/>
      </sharedItems>
    </cacheField>
    <cacheField name="Element" numFmtId="0">
      <sharedItems count="4">
        <s v="ROE"/>
        <s v="Net Profit Margin"/>
        <s v="Total Asset Turnover"/>
        <s v="Equity Multiplier"/>
      </sharedItems>
    </cacheField>
    <cacheField name="HPG" numFmtId="0">
      <sharedItems containsSemiMixedTypes="0" containsString="0" containsNumber="1" minValue="5.9716232098106892E-2" maxValue="2.2207347002072191"/>
    </cacheField>
    <cacheField name="Market" numFmtId="0">
      <sharedItems containsSemiMixedTypes="0" containsString="0" containsNumber="1" minValue="4.2668056500000003E-2" maxValue="2.2269419128097643"/>
    </cacheField>
  </cacheFields>
  <extLst>
    <ext xmlns:x14="http://schemas.microsoft.com/office/spreadsheetml/2009/9/main" uri="{725AE2AE-9491-48be-B2B4-4EB974FC3084}">
      <x14:pivotCacheDefinition pivotCacheId="91429563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83.032410185187" createdVersion="8" refreshedVersion="8" minRefreshableVersion="3" recordCount="24" xr:uid="{3CB3F2FC-ABB7-6E49-BDDB-71AEA3A9B100}">
  <cacheSource type="worksheet">
    <worksheetSource ref="A87:D111" sheet="FR"/>
  </cacheSource>
  <cacheFields count="4">
    <cacheField name="Year" numFmtId="0">
      <sharedItems containsSemiMixedTypes="0" containsString="0" containsNumber="1" containsInteger="1" minValue="2020" maxValue="2022" count="3">
        <n v="2020"/>
        <n v="2021"/>
        <n v="2022"/>
      </sharedItems>
    </cacheField>
    <cacheField name="Element" numFmtId="0">
      <sharedItems count="4">
        <s v="ROE"/>
        <s v="Net Profit Margin"/>
        <s v="Total Asset Turnover"/>
        <s v="Equity Multiplier"/>
      </sharedItems>
    </cacheField>
    <cacheField name="Company" numFmtId="0">
      <sharedItems count="2">
        <s v="HPG"/>
        <s v="Market"/>
      </sharedItems>
    </cacheField>
    <cacheField name="Value" numFmtId="0">
      <sharedItems containsSemiMixedTypes="0" containsString="0" containsNumber="1" minValue="4.2668056500000003E-2" maxValue="2.2269419128097643"/>
    </cacheField>
  </cacheFields>
  <extLst>
    <ext xmlns:x14="http://schemas.microsoft.com/office/spreadsheetml/2009/9/main" uri="{725AE2AE-9491-48be-B2B4-4EB974FC3084}">
      <x14:pivotCacheDefinition pivotCacheId="209301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4.5"/>
  </r>
  <r>
    <x v="0"/>
    <x v="1"/>
    <n v="11.6"/>
  </r>
  <r>
    <x v="0"/>
    <x v="2"/>
    <n v="-18.5"/>
  </r>
  <r>
    <x v="0"/>
    <x v="3"/>
    <n v="16.100000000000001"/>
  </r>
  <r>
    <x v="0"/>
    <x v="4"/>
    <n v="13.7"/>
  </r>
  <r>
    <x v="1"/>
    <x v="0"/>
    <n v="13.7"/>
  </r>
  <r>
    <x v="1"/>
    <x v="1"/>
    <n v="26.7"/>
  </r>
  <r>
    <x v="1"/>
    <x v="2"/>
    <n v="-19.7"/>
  </r>
  <r>
    <x v="1"/>
    <x v="3"/>
    <n v="1.7"/>
  </r>
  <r>
    <x v="1"/>
    <x v="4"/>
    <n v="22.5"/>
  </r>
  <r>
    <x v="2"/>
    <x v="0"/>
    <n v="22.5"/>
  </r>
  <r>
    <x v="2"/>
    <x v="1"/>
    <n v="12.3"/>
  </r>
  <r>
    <x v="2"/>
    <x v="2"/>
    <n v="-24.6"/>
  </r>
  <r>
    <x v="2"/>
    <x v="3"/>
    <n v="-1.8"/>
  </r>
  <r>
    <x v="2"/>
    <x v="4"/>
    <n v="8.300000000000000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90.1"/>
  </r>
  <r>
    <x v="0"/>
    <x v="1"/>
    <n v="-71.2"/>
  </r>
  <r>
    <x v="0"/>
    <x v="2"/>
    <n v="-1.9"/>
  </r>
  <r>
    <x v="0"/>
    <x v="3"/>
    <n v="-2.2000000000000002"/>
  </r>
  <r>
    <x v="0"/>
    <x v="4"/>
    <n v="-1.9"/>
  </r>
  <r>
    <x v="0"/>
    <x v="5"/>
    <n v="0.6"/>
  </r>
  <r>
    <x v="0"/>
    <x v="6"/>
    <n v="13.5"/>
  </r>
  <r>
    <x v="1"/>
    <x v="0"/>
    <n v="149.69999999999999"/>
  </r>
  <r>
    <x v="1"/>
    <x v="1"/>
    <n v="-108.6"/>
  </r>
  <r>
    <x v="1"/>
    <x v="2"/>
    <n v="-3.4"/>
  </r>
  <r>
    <x v="1"/>
    <x v="3"/>
    <n v="-2.5"/>
  </r>
  <r>
    <x v="1"/>
    <x v="4"/>
    <n v="-2.5"/>
  </r>
  <r>
    <x v="1"/>
    <x v="5"/>
    <n v="1.8"/>
  </r>
  <r>
    <x v="1"/>
    <x v="6"/>
    <n v="34.5"/>
  </r>
  <r>
    <x v="2"/>
    <x v="0"/>
    <n v="141.4"/>
  </r>
  <r>
    <x v="2"/>
    <x v="1"/>
    <n v="-124.6"/>
  </r>
  <r>
    <x v="2"/>
    <x v="2"/>
    <n v="-3.7"/>
  </r>
  <r>
    <x v="2"/>
    <x v="3"/>
    <n v="-3.1"/>
  </r>
  <r>
    <x v="2"/>
    <x v="4"/>
    <n v="-1.5"/>
  </r>
  <r>
    <x v="2"/>
    <x v="5"/>
    <n v="-0.1"/>
  </r>
  <r>
    <x v="2"/>
    <x v="6"/>
    <n v="8.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0.22806843623333498"/>
    <n v="0.21906932109999999"/>
  </r>
  <r>
    <x v="0"/>
    <x v="1"/>
    <n v="0.14987115346284027"/>
    <n v="0.1113002683"/>
  </r>
  <r>
    <x v="0"/>
    <x v="2"/>
    <n v="0.68525222803262553"/>
    <n v="0.97102695709999998"/>
  </r>
  <r>
    <x v="0"/>
    <x v="3"/>
    <n v="2.2207347002072191"/>
    <n v="2.2269419128097643"/>
  </r>
  <r>
    <x v="1"/>
    <x v="0"/>
    <n v="0.38026786813611585"/>
    <n v="0.41649280840000003"/>
  </r>
  <r>
    <x v="1"/>
    <x v="1"/>
    <n v="0.23063203747187047"/>
    <n v="0.18084776790000001"/>
  </r>
  <r>
    <x v="1"/>
    <x v="2"/>
    <n v="0.8397822846695937"/>
    <n v="1.2623968669000001"/>
  </r>
  <r>
    <x v="1"/>
    <x v="3"/>
    <n v="1.9633751293748241"/>
    <n v="2.1348936581803772"/>
  </r>
  <r>
    <x v="2"/>
    <x v="0"/>
    <n v="8.7859440032456507E-2"/>
    <n v="6.2999128599999996E-2"/>
  </r>
  <r>
    <x v="2"/>
    <x v="1"/>
    <n v="5.9716232098106892E-2"/>
    <n v="4.2668056500000003E-2"/>
  </r>
  <r>
    <x v="2"/>
    <x v="2"/>
    <n v="0.83018078008022844"/>
    <n v="1.0189066523000001"/>
  </r>
  <r>
    <x v="2"/>
    <x v="3"/>
    <n v="1.7722433648274418"/>
    <n v="1.806110356531975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0.22806843623333498"/>
  </r>
  <r>
    <x v="0"/>
    <x v="1"/>
    <x v="0"/>
    <n v="0.14987115346284027"/>
  </r>
  <r>
    <x v="0"/>
    <x v="2"/>
    <x v="0"/>
    <n v="0.68525222803262553"/>
  </r>
  <r>
    <x v="0"/>
    <x v="3"/>
    <x v="0"/>
    <n v="2.2207347002072191"/>
  </r>
  <r>
    <x v="1"/>
    <x v="0"/>
    <x v="0"/>
    <n v="0.38026786813611585"/>
  </r>
  <r>
    <x v="1"/>
    <x v="1"/>
    <x v="0"/>
    <n v="0.23063203747187047"/>
  </r>
  <r>
    <x v="1"/>
    <x v="2"/>
    <x v="0"/>
    <n v="0.8397822846695937"/>
  </r>
  <r>
    <x v="1"/>
    <x v="3"/>
    <x v="0"/>
    <n v="1.9633751293748241"/>
  </r>
  <r>
    <x v="2"/>
    <x v="0"/>
    <x v="0"/>
    <n v="8.7859440032456507E-2"/>
  </r>
  <r>
    <x v="2"/>
    <x v="1"/>
    <x v="0"/>
    <n v="5.9716232098106892E-2"/>
  </r>
  <r>
    <x v="2"/>
    <x v="2"/>
    <x v="0"/>
    <n v="0.83018078008022844"/>
  </r>
  <r>
    <x v="2"/>
    <x v="3"/>
    <x v="0"/>
    <n v="1.7722433648274418"/>
  </r>
  <r>
    <x v="0"/>
    <x v="0"/>
    <x v="1"/>
    <n v="0.21906932109999999"/>
  </r>
  <r>
    <x v="0"/>
    <x v="1"/>
    <x v="1"/>
    <n v="0.1113002683"/>
  </r>
  <r>
    <x v="0"/>
    <x v="2"/>
    <x v="1"/>
    <n v="0.97102695709999998"/>
  </r>
  <r>
    <x v="0"/>
    <x v="3"/>
    <x v="1"/>
    <n v="2.2269419128097643"/>
  </r>
  <r>
    <x v="1"/>
    <x v="0"/>
    <x v="1"/>
    <n v="0.41649280840000003"/>
  </r>
  <r>
    <x v="1"/>
    <x v="1"/>
    <x v="1"/>
    <n v="0.18084776790000001"/>
  </r>
  <r>
    <x v="1"/>
    <x v="2"/>
    <x v="1"/>
    <n v="1.2623968669000001"/>
  </r>
  <r>
    <x v="1"/>
    <x v="3"/>
    <x v="1"/>
    <n v="2.1348936581803772"/>
  </r>
  <r>
    <x v="2"/>
    <x v="0"/>
    <x v="1"/>
    <n v="6.2999128599999996E-2"/>
  </r>
  <r>
    <x v="2"/>
    <x v="1"/>
    <x v="1"/>
    <n v="4.2668056500000003E-2"/>
  </r>
  <r>
    <x v="2"/>
    <x v="2"/>
    <x v="1"/>
    <n v="1.0189066523000001"/>
  </r>
  <r>
    <x v="2"/>
    <x v="3"/>
    <x v="1"/>
    <n v="1.80611035653197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EA1AAC-2D65-0B49-BFBB-C29E66BC92C8}" name="PivotTable6"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N34:AO41" firstHeaderRow="1" firstDataRow="1" firstDataCol="1" rowPageCount="1" colPageCount="1"/>
  <pivotFields count="3">
    <pivotField axis="axisPage" multipleItemSelectionAllowed="1" showAll="0">
      <items count="4">
        <item h="1" x="0"/>
        <item x="1"/>
        <item h="1" x="2"/>
        <item t="default"/>
      </items>
    </pivotField>
    <pivotField axis="axisRow" showAll="0">
      <items count="8">
        <item x="0"/>
        <item x="1"/>
        <item x="2"/>
        <item x="3"/>
        <item x="4"/>
        <item x="5"/>
        <item x="6"/>
        <item t="default"/>
      </items>
    </pivotField>
    <pivotField dataField="1" showAll="0"/>
  </pivotFields>
  <rowFields count="1">
    <field x="1"/>
  </rowFields>
  <rowItems count="7">
    <i>
      <x/>
    </i>
    <i>
      <x v="1"/>
    </i>
    <i>
      <x v="2"/>
    </i>
    <i>
      <x v="3"/>
    </i>
    <i>
      <x v="4"/>
    </i>
    <i>
      <x v="5"/>
    </i>
    <i>
      <x v="6"/>
    </i>
  </rowItems>
  <colItems count="1">
    <i/>
  </colItems>
  <pageFields count="1">
    <pageField fld="0" hier="-1"/>
  </pageFields>
  <dataFields count="1">
    <dataField name="Sum of Mone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66DE4-EFFA-0C45-95FA-837672BF2E4A}" name="PivotTable4"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T19:V24" firstHeaderRow="1" firstDataRow="2" firstDataCol="1"/>
  <pivotFields count="3">
    <pivotField axis="axisRow" showAll="0">
      <items count="4">
        <item x="0"/>
        <item x="1"/>
        <item x="2"/>
        <item t="default"/>
      </items>
    </pivotField>
    <pivotField axis="axisCol" multipleItemSelectionAllowed="1" showAll="0">
      <items count="6">
        <item h="1" x="3"/>
        <item h="1" x="2"/>
        <item h="1" x="1"/>
        <item x="0"/>
        <item x="4"/>
        <item t="default"/>
      </items>
    </pivotField>
    <pivotField dataField="1" showAll="0"/>
  </pivotFields>
  <rowFields count="1">
    <field x="0"/>
  </rowFields>
  <rowItems count="4">
    <i>
      <x/>
    </i>
    <i>
      <x v="1"/>
    </i>
    <i>
      <x v="2"/>
    </i>
    <i t="grand">
      <x/>
    </i>
  </rowItems>
  <colFields count="1">
    <field x="1"/>
  </colFields>
  <colItems count="2">
    <i>
      <x v="3"/>
    </i>
    <i>
      <x v="4"/>
    </i>
  </colItems>
  <dataFields count="1">
    <dataField name="Sum of Amount of Inflow/Outflow"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609AFD-7C0B-3445-A0E8-F84FCD8940C8}" name="PivotTable5"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Y19:Z24" firstHeaderRow="1" firstDataRow="1" firstDataCol="1" rowPageCount="1" colPageCount="1"/>
  <pivotFields count="3">
    <pivotField axis="axisPage" multipleItemSelectionAllowed="1" showAll="0">
      <items count="4">
        <item h="1" x="0"/>
        <item h="1" x="1"/>
        <item x="2"/>
        <item t="default"/>
      </items>
    </pivotField>
    <pivotField axis="axisRow" showAll="0">
      <items count="6">
        <item x="0"/>
        <item x="1"/>
        <item x="2"/>
        <item x="3"/>
        <item x="4"/>
        <item t="default"/>
      </items>
    </pivotField>
    <pivotField dataField="1" showAll="0"/>
  </pivotFields>
  <rowFields count="1">
    <field x="1"/>
  </rowFields>
  <rowItems count="5">
    <i>
      <x/>
    </i>
    <i>
      <x v="1"/>
    </i>
    <i>
      <x v="2"/>
    </i>
    <i>
      <x v="3"/>
    </i>
    <i>
      <x v="4"/>
    </i>
  </rowItems>
  <colItems count="1">
    <i/>
  </colItems>
  <pageFields count="1">
    <pageField fld="0" hier="-1"/>
  </pageFields>
  <dataFields count="1">
    <dataField name="Sum of Amount of Inflow/Outflow"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CCF29C-25F5-5E4A-BD01-258B78C1B8E8}" name="PivotTable4"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J91:O95" firstHeaderRow="1" firstDataRow="2" firstDataCol="1"/>
  <pivotFields count="4">
    <pivotField axis="axisRow" showAll="0">
      <items count="4">
        <item x="0"/>
        <item x="1"/>
        <item x="2"/>
        <item t="default"/>
      </items>
    </pivotField>
    <pivotField axis="axisCol" showAll="0">
      <items count="5">
        <item x="3"/>
        <item x="1"/>
        <item x="0"/>
        <item x="2"/>
        <item t="default"/>
      </items>
    </pivotField>
    <pivotField dataField="1" showAll="0"/>
    <pivotField showAll="0"/>
  </pivotFields>
  <rowFields count="1">
    <field x="0"/>
  </rowFields>
  <rowItems count="3">
    <i>
      <x/>
    </i>
    <i>
      <x v="1"/>
    </i>
    <i>
      <x v="2"/>
    </i>
  </rowItems>
  <colFields count="1">
    <field x="1"/>
  </colFields>
  <colItems count="5">
    <i>
      <x/>
    </i>
    <i>
      <x v="1"/>
    </i>
    <i>
      <x v="2"/>
    </i>
    <i>
      <x v="3"/>
    </i>
    <i t="grand">
      <x/>
    </i>
  </colItems>
  <dataFields count="1">
    <dataField name="Sum of HPG"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AA30FD-8CF7-7A4C-8E35-F2F048E2750E}" name="PivotTable3"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77:G81" firstHeaderRow="0" firstDataRow="1" firstDataCol="1" rowPageCount="1" colPageCount="1"/>
  <pivotFields count="4">
    <pivotField axis="axisPage" multipleItemSelectionAllowed="1" showAll="0">
      <items count="4">
        <item x="0"/>
        <item h="1" x="1"/>
        <item h="1" x="2"/>
        <item t="default"/>
      </items>
    </pivotField>
    <pivotField axis="axisRow" showAll="0">
      <items count="5">
        <item x="3"/>
        <item x="1"/>
        <item x="0"/>
        <item x="2"/>
        <item t="default"/>
      </items>
    </pivotField>
    <pivotField dataField="1" showAll="0"/>
    <pivotField dataField="1" showAll="0"/>
  </pivotFields>
  <rowFields count="1">
    <field x="1"/>
  </rowFields>
  <rowItems count="4">
    <i>
      <x/>
    </i>
    <i>
      <x v="1"/>
    </i>
    <i>
      <x v="2"/>
    </i>
    <i>
      <x v="3"/>
    </i>
  </rowItems>
  <colFields count="1">
    <field x="-2"/>
  </colFields>
  <colItems count="2">
    <i>
      <x/>
    </i>
    <i i="1">
      <x v="1"/>
    </i>
  </colItems>
  <pageFields count="1">
    <pageField fld="0" hier="-1"/>
  </pageFields>
  <dataFields count="2">
    <dataField name="Sum of HPG" fld="2" baseField="0" baseItem="0"/>
    <dataField name="Sum of Market" fld="3" baseField="0" baseItem="0"/>
  </dataFields>
  <formats count="3">
    <format dxfId="98">
      <pivotArea collapsedLevelsAreSubtotals="1" fieldPosition="0">
        <references count="1">
          <reference field="1" count="3">
            <x v="1"/>
            <x v="2"/>
            <x v="3"/>
          </reference>
        </references>
      </pivotArea>
    </format>
    <format dxfId="97">
      <pivotArea collapsedLevelsAreSubtotals="1" fieldPosition="0">
        <references count="1">
          <reference field="1" count="1">
            <x v="3"/>
          </reference>
        </references>
      </pivotArea>
    </format>
    <format dxfId="96">
      <pivotArea collapsedLevelsAreSubtotals="1"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D808AE-2203-1546-8BE9-4BBDD0AB9F76}" name="PivotTable2"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77:C80" firstHeaderRow="0" firstDataRow="1" firstDataCol="1" rowPageCount="1" colPageCount="1"/>
  <pivotFields count="4">
    <pivotField axis="axisRow" showAll="0">
      <items count="4">
        <item x="0"/>
        <item x="1"/>
        <item x="2"/>
        <item t="default"/>
      </items>
    </pivotField>
    <pivotField axis="axisPage" multipleItemSelectionAllowed="1" showAll="0">
      <items count="5">
        <item h="1" x="3"/>
        <item h="1" x="1"/>
        <item x="0"/>
        <item h="1" x="2"/>
        <item t="default"/>
      </items>
    </pivotField>
    <pivotField dataField="1" showAll="0"/>
    <pivotField dataField="1" showAll="0"/>
  </pivotFields>
  <rowFields count="1">
    <field x="0"/>
  </rowFields>
  <rowItems count="3">
    <i>
      <x/>
    </i>
    <i>
      <x v="1"/>
    </i>
    <i>
      <x v="2"/>
    </i>
  </rowItems>
  <colFields count="1">
    <field x="-2"/>
  </colFields>
  <colItems count="2">
    <i>
      <x/>
    </i>
    <i i="1">
      <x v="1"/>
    </i>
  </colItems>
  <pageFields count="1">
    <pageField fld="1" hier="-1"/>
  </pageFields>
  <dataFields count="2">
    <dataField name="Sum of HPG" fld="2" baseField="0" baseItem="0"/>
    <dataField name="Sum of Market" fld="3" baseField="0" baseItem="0"/>
  </dataFields>
  <formats count="1">
    <format dxfId="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765CA0-E211-EF47-9998-A0437D5F62D0}" name="PivotTable6"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J98:M102" firstHeaderRow="1" firstDataRow="2" firstDataCol="1" rowPageCount="1" colPageCount="1"/>
  <pivotFields count="4">
    <pivotField axis="axisRow" showAll="0">
      <items count="4">
        <item x="0"/>
        <item x="1"/>
        <item x="2"/>
        <item t="default"/>
      </items>
    </pivotField>
    <pivotField axis="axisCol" showAll="0">
      <items count="5">
        <item x="3"/>
        <item x="1"/>
        <item h="1" x="0"/>
        <item x="2"/>
        <item t="default"/>
      </items>
    </pivotField>
    <pivotField axis="axisPage" multipleItemSelectionAllowed="1" showAll="0">
      <items count="3">
        <item x="0"/>
        <item h="1" x="1"/>
        <item t="default"/>
      </items>
    </pivotField>
    <pivotField dataField="1" showAll="0"/>
  </pivotFields>
  <rowFields count="1">
    <field x="0"/>
  </rowFields>
  <rowItems count="3">
    <i>
      <x/>
    </i>
    <i>
      <x v="1"/>
    </i>
    <i>
      <x v="2"/>
    </i>
  </rowItems>
  <colFields count="1">
    <field x="1"/>
  </colFields>
  <colItems count="3">
    <i>
      <x/>
    </i>
    <i>
      <x v="1"/>
    </i>
    <i>
      <x v="3"/>
    </i>
  </colItems>
  <pageFields count="1">
    <pageField fld="2" hier="-1"/>
  </pageFields>
  <dataFields count="1">
    <dataField name="Sum of Value" fld="3" baseField="0" baseItem="0" numFmtId="2"/>
  </dataFields>
  <formats count="1">
    <format dxfId="10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746B35EA-8C6B-904B-8CB7-B44DAE23E3B0}" sourceName="Year">
  <pivotTables>
    <pivotTable tabId="7" name="PivotTable5"/>
  </pivotTables>
  <data>
    <tabular pivotCacheId="1063136078" crossFilter="showItemsWithNoData">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C49CD00B-638E-A841-9F65-473F89984836}" sourceName="Year">
  <pivotTables>
    <pivotTable tabId="3" name="PivotTable6"/>
  </pivotTables>
  <data>
    <tabular pivotCacheId="331927788">
      <items count="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B9468E-AA59-224A-9B6C-C03775AB41DC}" sourceName="Year">
  <pivotTables>
    <pivotTable tabId="16" name="PivotTable3"/>
  </pivotTables>
  <data>
    <tabular pivotCacheId="914295632">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57C8CEB2-B25D-CB4A-AA6B-9F1C8430B457}" sourceName="Company">
  <pivotTables>
    <pivotTable tabId="16" name="PivotTable6"/>
  </pivotTables>
  <data>
    <tabular pivotCacheId="209301373">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2519E5B-332E-2242-9DEF-62213A65B57A}" sourceName="YEAR">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o" xr10:uid="{4863673C-5C9E-2846-9E50-FB46BBB23594}" sourceName="Type of Ratio">
  <extLst>
    <x:ext xmlns:x15="http://schemas.microsoft.com/office/spreadsheetml/2010/11/main" uri="{2F2917AC-EB37-4324-AD4E-5DD8C200BD13}">
      <x15:tableSlicerCache tableId="10"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2D5893A-D1C1-5446-8617-FDEF121286A7}" sourceName="Ratio">
  <extLst>
    <x:ext xmlns:x15="http://schemas.microsoft.com/office/spreadsheetml/2010/11/main" uri="{2F2917AC-EB37-4324-AD4E-5DD8C200BD13}">
      <x15:tableSlicerCache tableId="10"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425C0ABC-6F54-BB45-B1E2-3F29B0905312}" cache="Slicer_YEAR1" caption="YEAR" rowHeight="230716"/>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o" xr10:uid="{2633022F-E2CC-6949-917D-C08BFAF90129}" cache="Slicer_Ratio" caption="Type of Ratio" style="SlicerStyleOther1" rowHeight="230716"/>
  <slicer name="Type" xr10:uid="{7BAD17C2-41B8-0248-AF32-1CF323CF1714}" cache="Slicer_Type" caption="Ratio" columnCount="4" style="SlicerStyleOther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7" xr10:uid="{BD98F441-BE81-AC4E-B1D0-DE8B02D24BDA}" cache="Slicer_Year3" showCaption="0" style="SlicerStyleOther1"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B3FC7A7E-D8AD-BE43-9E32-AA5760206095}" cache="Slicer_Year2" columnCount="3" showCaption="0" style="SlicerStyleOther1" rowHeight="365760"/>
  <slicer name="Year 9" xr10:uid="{0FF0F057-BCB6-EB45-89C7-4BB744AAC99B}" cache="Slicer_Year2" columnCount="3" showCaption="0" style="SlicerStyleOther1" rowHeight="365760"/>
  <slicer name="Year 10" xr10:uid="{0FFF3240-CADB-A746-9150-64861CADFC7C}" cache="Slicer_Year2" columnCount="3" showCaption="0" style="SlicerStyleOther1" rowHeight="365760"/>
  <slicer name="Year 11" xr10:uid="{945B69A7-A88F-FE48-BE1E-778A0B787B6C}" cache="Slicer_Year2" columnCount="3" showCaption="0" style="SlicerStyleOther1" rowHeight="365760"/>
  <slicer name="Year 12" xr10:uid="{F89AFC34-CFB3-D942-B523-E5A274FF54E2}" cache="Slicer_Year2" columnCount="3" showCaption="0" style="SlicerStyleOther1" rowHeight="365760"/>
  <slicer name="Year 13" xr10:uid="{0B29349A-83B7-B546-8E40-76E686FF1939}" cache="Slicer_Year2" columnCount="3" showCaption="0" style="SlicerStyleOther1" rowHeight="365760"/>
  <slicer name="Year 14" xr10:uid="{0633EBE2-57CF-A040-8736-A6B598BD4206}" cache="Slicer_Year2" columnCount="3" showCaption="0" style="SlicerStyleOther1" rowHeight="365760"/>
  <slicer name="Year 15" xr10:uid="{00ECAD1D-82D7-0A4F-BF24-E816A0B3BF46}" cache="Slicer_Year2" columnCount="3" showCaption="0" style="SlicerStyleOther1" rowHeight="365760"/>
  <slicer name="Year 16" xr10:uid="{75D0A48E-1F63-EB4F-875C-1E0822C2E734}" cache="Slicer_Year2" columnCount="3" showCaption="0" style="SlicerStyleOther1" rowHeight="365760"/>
  <slicer name="Year 17" xr10:uid="{A3627150-6A1D-3741-BE87-90B18E1BE2FB}" cache="Slicer_Year2" columnCount="3" showCaption="0" style="SlicerStyleOther1" rowHeight="365760"/>
  <slicer name="Year 18" xr10:uid="{883DA50F-8DD5-1747-A4C5-6EC35CDCC1BF}" cache="Slicer_Year2" columnCount="3" showCaption="0" style="SlicerStyleOther1" rowHeight="365760"/>
  <slicer name="Year 19" xr10:uid="{F83A5BB2-9851-B646-8EC6-2CD462D7F424}" cache="Slicer_Year2" columnCount="3" showCaption="0" style="SlicerStyleOther1" rowHeight="365760"/>
  <slicer name="Year 20" xr10:uid="{B117E745-806A-6949-AD33-6274DE6B524D}" cache="Slicer_Year2" columnCount="3" showCaption="0" style="SlicerStyleOther1" rowHeight="365760"/>
  <slicer name="Year 21" xr10:uid="{EC782AB6-7F4E-B244-B148-62969F7CD7B6}" cache="Slicer_Year2" columnCount="3" showCaption="0" style="SlicerStyleOther1" rowHeight="36576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8" xr10:uid="{4D00C6D0-4C7A-E74C-A037-97887FB61954}" cache="Slicer_Year" caption="Year" style="SlicerStyleOther1" rowHeight="230716"/>
  <slicer name="Company 1" xr10:uid="{4EE68190-9110-BC41-BF3F-72C87FDC5BE3}" cache="Slicer_Company" caption="Company" style="SlicerStyleOther1" rowHeight="23071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o 1" xr10:uid="{3959623A-96BA-D240-9856-CF7DB1962D0C}" cache="Slicer_Ratio" caption="Type of Ratio" style="SlicerStyleOther1" rowHeight="230716"/>
  <slicer name="Type 1" xr10:uid="{D83BBDCE-7EB8-6C49-8837-67A0A4D79EFD}" cache="Slicer_Type" caption="Ratio" columnCount="4" style="SlicerStyleOther1" rowHeight="230716"/>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2937CEA4-F911-8345-A67A-820AFCF2FF7C}" cache="Slicer_Year3" showCaption="0" style="SlicerStyleOther1" rowHeight="230716"/>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5DD2EDB-09F5-E548-9014-769149DADC68}" cache="Slicer_YEAR1" caption="YEAR" style="SlicerStyleLight3" rowHeight="230716"/>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BE3915FD-F159-174E-A2E2-111A911B2388}" cache="Slicer_Year2" columnCount="3" showCaption="0" style="SlicerStyleOther1" rowHeight="36576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282FBA96-B9BD-7443-8D27-2EAEB3BEE06F}" cache="Slicer_Year" caption="Year" rowHeight="230716"/>
  <slicer name="Company" xr10:uid="{5070C8A0-AD7C-6240-89B2-08CFFBE17031}" cache="Slicer_Company" caption="Company"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3DBA7D-8237-FE4A-ADE8-A936D3F22DF9}" name="Table1" displayName="Table1" ref="AJ9:AR14" totalsRowShown="0" headerRowDxfId="198" dataDxfId="197">
  <autoFilter ref="AJ9:AR14" xr:uid="{553DBA7D-8237-FE4A-ADE8-A936D3F22DF9}"/>
  <tableColumns count="9">
    <tableColumn id="1" xr3:uid="{73A9007C-EE7C-2043-8B4F-D3CA466D4A76}" name="Year" dataDxfId="196"/>
    <tableColumn id="2" xr3:uid="{A56395F4-C16E-A14D-8B9A-16843201C2EA}" name="EBITDA" dataDxfId="195"/>
    <tableColumn id="3" xr3:uid="{760610BC-D18A-C647-96B1-6A6E30215E76}" name="Revenue" dataDxfId="194"/>
    <tableColumn id="4" xr3:uid="{4D1864D8-E91F-D541-8FF1-D4D168CB552E}" name="Net Profit" dataDxfId="193"/>
    <tableColumn id="5" xr3:uid="{C6636694-643D-EF44-9281-EA5D55A61B53}" name="EBT" dataDxfId="192"/>
    <tableColumn id="6" xr3:uid="{77C904EA-0EAC-6744-BD48-FA66F8A53996}" name="Operating Profit" dataDxfId="191"/>
    <tableColumn id="7" xr3:uid="{03F391A1-045B-EF4A-A697-E042AFEBE99C}" name="Cost of Sales" dataDxfId="13"/>
    <tableColumn id="8" xr3:uid="{FFCAC371-56D9-C64E-B2EA-A13917FC25F8}" name="Interest Expenses" dataDxfId="12"/>
    <tableColumn id="9" xr3:uid="{FADACD3E-C15B-4F45-B409-7EF29C99E8C5}" name="Tax Expenses" dataDxfId="11"/>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C95F4D4-F1F9-6D42-8F87-84E67D06E8B6}" name="Table511151827" displayName="Table511151827" ref="AL53:AM58" totalsRowShown="0" headerRowDxfId="152" dataDxfId="151">
  <autoFilter ref="AL53:AM58" xr:uid="{8C95F4D4-F1F9-6D42-8F87-84E67D06E8B6}"/>
  <tableColumns count="2">
    <tableColumn id="1" xr3:uid="{FB0F4307-85E0-7D4E-95BE-19C8657C66F3}" name="Year" dataDxfId="150"/>
    <tableColumn id="2" xr3:uid="{3F2693EC-ED8E-054C-9668-CDF6D5FBFC3D}" name="Current Assets" dataDxfId="149"/>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9638EAD-2EEA-4F4B-AAD3-9CD0B17119EF}" name="Table19101317202829" displayName="Table19101317202829" ref="AP56:AQ58" totalsRowShown="0" headerRowDxfId="148" dataDxfId="147">
  <autoFilter ref="AP56:AQ58" xr:uid="{A9638EAD-2EEA-4F4B-AAD3-9CD0B17119EF}"/>
  <tableColumns count="2">
    <tableColumn id="1" xr3:uid="{AA56E2D4-DE8F-694A-8014-912F0EC7DB6F}" name="Year" dataDxfId="146"/>
    <tableColumn id="2" xr3:uid="{0086A3B1-AF0A-8547-A59B-2EC75E40D610}" name="Current Asset" dataDxfId="145">
      <calculatedColumnFormula>Table5111518[[#This Row],[Total Liability and Shareholder Equity]]-AM59</calculatedColumnFormula>
    </tableColumn>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7AD1BF6-A62B-7E42-BD8E-5BEFCF88942C}" name="Table612161930" displayName="Table612161930" ref="AP53:AQ54" totalsRowShown="0">
  <autoFilter ref="AP53:AQ54" xr:uid="{E7AD1BF6-A62B-7E42-BD8E-5BEFCF88942C}"/>
  <tableColumns count="2">
    <tableColumn id="1" xr3:uid="{0DC8642C-2BFB-3E4E-91BD-A74EC131F5B8}" name="Absolute change" dataDxfId="144">
      <calculatedColumnFormula>AM58-AM57</calculatedColumnFormula>
    </tableColumn>
    <tableColumn id="2" xr3:uid="{388EE588-A0C5-674A-8A00-B51767606114}" name="Percentage Change" dataDxfId="143">
      <calculatedColumnFormula>Table612161930[[#This Row],[Absolute change]]/AM57</calculatedColumnFormula>
    </tableColumn>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FDCAD7E-DC6E-7847-BC17-B0D8A2A71859}" name="Table51115182731" displayName="Table51115182731" ref="AL63:AM68" totalsRowShown="0" headerRowDxfId="142" dataDxfId="141">
  <autoFilter ref="AL63:AM68" xr:uid="{CFDCAD7E-DC6E-7847-BC17-B0D8A2A71859}"/>
  <tableColumns count="2">
    <tableColumn id="1" xr3:uid="{9F8CE3F5-EA9D-D144-9B7F-4659CA5E41DA}" name="Year" dataDxfId="140"/>
    <tableColumn id="2" xr3:uid="{D34C4842-E66C-344F-BDEA-3C3C35D1A15D}" name="Long-term Assets" dataDxfId="139"/>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611903C-436E-CB47-BBBA-8B7FA2F70E09}" name="Table1910131720282932" displayName="Table1910131720282932" ref="AP66:AQ68" totalsRowShown="0" headerRowDxfId="138" dataDxfId="137">
  <autoFilter ref="AP66:AQ68" xr:uid="{7611903C-436E-CB47-BBBA-8B7FA2F70E09}"/>
  <tableColumns count="2">
    <tableColumn id="1" xr3:uid="{5D553F9A-E955-8647-855C-2EA0971CB903}" name="Year" dataDxfId="136"/>
    <tableColumn id="2" xr3:uid="{9DF8D9BF-AD4D-4241-8D36-641B7A721D45}" name="Long-term Asset" dataDxfId="135">
      <calculatedColumnFormula>Table5111518[[#This Row],[Total Liability and Shareholder Equity]]-AM69</calculatedColumnFormula>
    </tableColumn>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5E58CB14-2DAB-9142-BDDE-463C78AF8BBE}" name="Table61216193033" displayName="Table61216193033" ref="AP63:AQ64" totalsRowShown="0">
  <autoFilter ref="AP63:AQ64" xr:uid="{5E58CB14-2DAB-9142-BDDE-463C78AF8BBE}"/>
  <tableColumns count="2">
    <tableColumn id="1" xr3:uid="{ADBE82F3-1D14-EF45-8F9B-88ACE78CE89C}" name="Absolute change" dataDxfId="134">
      <calculatedColumnFormula>AM68-AM67</calculatedColumnFormula>
    </tableColumn>
    <tableColumn id="2" xr3:uid="{F0043CA8-65BD-824C-8BF8-DC9DADC83326}" name="Percentage Change" dataDxfId="133">
      <calculatedColumnFormula>Table61216193033[[#This Row],[Absolute change]]/AM67</calculatedColumnFormula>
    </tableColumn>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7AF7269B-6B8D-874E-BAE8-05EBA96FE1C1}" name="Table5111518273134" displayName="Table5111518273134" ref="AL73:AM78" totalsRowShown="0" headerRowDxfId="132" dataDxfId="131">
  <autoFilter ref="AL73:AM78" xr:uid="{7AF7269B-6B8D-874E-BAE8-05EBA96FE1C1}"/>
  <tableColumns count="2">
    <tableColumn id="1" xr3:uid="{2BAB23EE-3DB9-DC4F-AAF0-6419B23FF39F}" name="Year" dataDxfId="130"/>
    <tableColumn id="2" xr3:uid="{444FF83E-0487-504F-8B61-AD07A2875E49}" name="Current Liabilities" dataDxfId="129"/>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56287EC4-0BCA-0E4E-B44E-FB8FDAC7B5B6}" name="Table191013172028293235" displayName="Table191013172028293235" ref="AP76:AQ78" totalsRowShown="0" headerRowDxfId="128" dataDxfId="127">
  <autoFilter ref="AP76:AQ78" xr:uid="{56287EC4-0BCA-0E4E-B44E-FB8FDAC7B5B6}"/>
  <tableColumns count="2">
    <tableColumn id="1" xr3:uid="{BD1F5717-9E84-3C4A-A107-399294263DE0}" name="Year" dataDxfId="126"/>
    <tableColumn id="2" xr3:uid="{A2DBDFF4-E396-4A40-BDB6-C58F8D3B1687}" name="Current Liabilities" dataDxfId="125">
      <calculatedColumnFormula>Table5111518273134[[#This Row],[Current Liabilities]]-AM78</calculatedColumnFormula>
    </tableColumn>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2AEC1775-085C-6F4A-9210-BAA75AD5543F}" name="Table6121619303336" displayName="Table6121619303336" ref="AP73:AQ74" totalsRowShown="0">
  <autoFilter ref="AP73:AQ74" xr:uid="{2AEC1775-085C-6F4A-9210-BAA75AD5543F}"/>
  <tableColumns count="2">
    <tableColumn id="1" xr3:uid="{07C7D6CA-2E81-E548-8D7E-2A882CCBA333}" name="Absolute change" dataDxfId="124">
      <calculatedColumnFormula>AM78-AM77</calculatedColumnFormula>
    </tableColumn>
    <tableColumn id="2" xr3:uid="{80051980-BA85-D240-BA27-EA0377711BD5}" name="Percentage Change" dataDxfId="123">
      <calculatedColumnFormula>(AM78-AM77)/AM77</calculatedColumnFormula>
    </tableColumn>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1E90D60E-D216-B345-9AEA-28B18E16A4E1}" name="Table511151827313437" displayName="Table511151827313437" ref="AL83:AM88" totalsRowShown="0" headerRowDxfId="122" dataDxfId="121">
  <autoFilter ref="AL83:AM88" xr:uid="{1E90D60E-D216-B345-9AEA-28B18E16A4E1}"/>
  <tableColumns count="2">
    <tableColumn id="1" xr3:uid="{D78E4B7D-C859-2B47-A1FA-18FFF984C926}" name="Year" dataDxfId="120"/>
    <tableColumn id="2" xr3:uid="{01330F0F-2B5A-E14F-968C-0D30E7D3DB15}" name="Long-term Liabilities" dataDxfId="119"/>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E443EC7-F61B-1B4D-8598-11FEDD083228}" name="Table19" displayName="Table19" ref="AJ4:AR6" totalsRowShown="0" headerRowDxfId="10" dataDxfId="9">
  <autoFilter ref="AJ4:AR6" xr:uid="{BE443EC7-F61B-1B4D-8598-11FEDD083228}"/>
  <tableColumns count="9">
    <tableColumn id="1" xr3:uid="{E32809AB-161D-6943-B075-77DA5AC23DDE}" name="Year" dataDxfId="8"/>
    <tableColumn id="2" xr3:uid="{89192036-A946-9D4B-85BA-18C16D3966FF}" name="EBITDA" dataDxfId="7"/>
    <tableColumn id="3" xr3:uid="{E52BD423-CA7A-6248-AC9E-5EF0447BD9FF}" name="Revenue" dataDxfId="6">
      <calculatedColumnFormula>#REF!</calculatedColumnFormula>
    </tableColumn>
    <tableColumn id="4" xr3:uid="{E64A2406-DA03-EB4B-BB16-D65E8455F8E7}" name="Net Profit" dataDxfId="5">
      <calculatedColumnFormula>8.4</calculatedColumnFormula>
    </tableColumn>
    <tableColumn id="5" xr3:uid="{631CCFAD-757C-2C46-AB7B-766BF0033EE2}" name="EBT" dataDxfId="4"/>
    <tableColumn id="6" xr3:uid="{57113178-AA53-D54A-BB80-E97219A4C795}" name="Operating Profit" dataDxfId="3"/>
    <tableColumn id="7" xr3:uid="{AD882463-A89D-C64F-B800-28C92D23467B}" name="Cost of Sales" dataDxfId="2"/>
    <tableColumn id="8" xr3:uid="{54268674-8262-DE44-ABD7-FF969AA68D3B}" name="Interest Expenses" dataDxfId="1"/>
    <tableColumn id="9" xr3:uid="{295AB2C9-A2CC-5B46-B790-206745A20931}" name="Tax Expenses" dataDxfId="0"/>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7D6BF39D-9625-4B43-B767-3179A5CD041D}" name="Table19101317202829323538" displayName="Table19101317202829323538" ref="AP86:AQ88" totalsRowShown="0" headerRowDxfId="118" dataDxfId="117">
  <autoFilter ref="AP86:AQ88" xr:uid="{7D6BF39D-9625-4B43-B767-3179A5CD041D}"/>
  <tableColumns count="2">
    <tableColumn id="1" xr3:uid="{8E4ACD72-E82B-1849-A358-8E7AA65B1E7F}" name="Year" dataDxfId="116"/>
    <tableColumn id="2" xr3:uid="{72F71AD5-459D-DB4C-AE4E-A52CE6DFB98F}" name="Long-term Liabilities" dataDxfId="115">
      <calculatedColumnFormula>Table511151827313437[[#This Row],[Long-term Liabilities]]-AM88</calculatedColumnFormula>
    </tableColumn>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B8819190-3CE8-A446-9BEB-693338A29EA7}" name="Table612161930333639" displayName="Table612161930333639" ref="AP83:AQ84" totalsRowShown="0">
  <autoFilter ref="AP83:AQ84" xr:uid="{B8819190-3CE8-A446-9BEB-693338A29EA7}"/>
  <tableColumns count="2">
    <tableColumn id="1" xr3:uid="{10AB2E81-BED1-9D46-BE62-8C8CD5961902}" name="Absolute change" dataDxfId="114">
      <calculatedColumnFormula>AM88-AM87</calculatedColumnFormula>
    </tableColumn>
    <tableColumn id="2" xr3:uid="{9EDFB17C-FC82-4240-AC8B-D8DF3DB4E816}" name="Percentage Change" dataDxfId="113">
      <calculatedColumnFormula>(AM88-AM87)/AM87</calculatedColumnFormula>
    </tableColumn>
  </tableColumns>
  <tableStyleInfo name="TableStyleLight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9FEAA79F-D81E-3B4C-9F05-B181B64CE83C}" name="Table51115182731343741" displayName="Table51115182731343741" ref="AL93:AM98" totalsRowShown="0" headerRowDxfId="112" dataDxfId="111">
  <autoFilter ref="AL93:AM98" xr:uid="{9FEAA79F-D81E-3B4C-9F05-B181B64CE83C}"/>
  <tableColumns count="2">
    <tableColumn id="1" xr3:uid="{A78AD073-787A-4543-8D55-7ED963C0B573}" name="Year" dataDxfId="110"/>
    <tableColumn id="2" xr3:uid="{4C0A12AB-8068-3243-A1CC-B834BB2FFFB4}" name="Owner's Equity" dataDxfId="109"/>
  </tableColumns>
  <tableStyleInfo name="TableStyleLight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8DCC773-1C1F-CD4D-97B5-1C718F0FB065}" name="Table1910131720282932353842" displayName="Table1910131720282932353842" ref="AP96:AQ98" totalsRowShown="0" headerRowDxfId="108" dataDxfId="107">
  <autoFilter ref="AP96:AQ98" xr:uid="{28DCC773-1C1F-CD4D-97B5-1C718F0FB065}"/>
  <tableColumns count="2">
    <tableColumn id="1" xr3:uid="{D671F06E-3349-B044-8866-D2B2442484A6}" name="Year" dataDxfId="106"/>
    <tableColumn id="2" xr3:uid="{7E97850D-6908-4D46-9D63-2DA86AFC1186}" name="Long-term Liabilities" dataDxfId="105">
      <calculatedColumnFormula>Table51115182731343741[[#This Row],[Owner''s Equity]]-AM96</calculatedColumnFormula>
    </tableColumn>
  </tableColumns>
  <tableStyleInfo name="TableStyleLight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3C230FE-072E-8049-8605-51D62586D8F4}" name="Table61216193033363943" displayName="Table61216193033363943" ref="AP93:AQ94" totalsRowShown="0">
  <autoFilter ref="AP93:AQ94" xr:uid="{93C230FE-072E-8049-8605-51D62586D8F4}"/>
  <tableColumns count="2">
    <tableColumn id="1" xr3:uid="{BD6A3825-A6ED-5C49-B029-CD0D1AFEB510}" name="Absolute change" dataDxfId="104">
      <calculatedColumnFormula>AM98-AM97</calculatedColumnFormula>
    </tableColumn>
    <tableColumn id="2" xr3:uid="{57C3AB79-4540-934A-85AE-CBFD895319A3}" name="Percentage Change" dataDxfId="103">
      <calculatedColumnFormula>(AM98-AM97)/AM97</calculatedColumnFormula>
    </tableColumn>
  </tableColumns>
  <tableStyleInfo name="TableStyleLight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B9DD821-B056-DD4C-BC6D-25F6B384D78A}" name="Table6" displayName="Table6" ref="T2:V15" totalsRowShown="0">
  <autoFilter ref="T2:V15" xr:uid="{FB9DD821-B056-DD4C-BC6D-25F6B384D78A}"/>
  <tableColumns count="3">
    <tableColumn id="1" xr3:uid="{EFE42B12-DB7D-0B40-909C-B1CF96F60DE2}" name="Year"/>
    <tableColumn id="2" xr3:uid="{2A62325A-426A-4E41-A246-499FD4FB2BE1}" name="Cash Flow"/>
    <tableColumn id="3" xr3:uid="{F7703421-458C-0146-A0A1-634D925A1FCD}" name="Amount of Inflow/Outflow"/>
  </tableColumns>
  <tableStyleInfo name="TableStyleLight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FEB8CC-F7D1-6B4F-9E47-7D0F58C36D8B}" name="Table7" displayName="Table7" ref="V39:W42" totalsRowShown="0" headerRowDxfId="102">
  <autoFilter ref="V39:W42" xr:uid="{D9FEB8CC-F7D1-6B4F-9E47-7D0F58C36D8B}"/>
  <tableColumns count="2">
    <tableColumn id="1" xr3:uid="{0931E9CB-8A44-6942-A74E-06542DA4E2F4}" name="Year"/>
    <tableColumn id="2" xr3:uid="{A89C0218-2E3C-D841-96F7-CEC63793FFA6}" name="FCF" dataDxfId="101"/>
  </tableColumns>
  <tableStyleInfo name="TableStyleLight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0B75FC6-0D17-FE41-9316-487973AE574B}" name="Table10" displayName="Table10" ref="G4:K61" totalsRowShown="0" headerRowDxfId="95" dataDxfId="94">
  <autoFilter ref="G4:K61" xr:uid="{80B75FC6-0D17-FE41-9316-487973AE574B}">
    <filterColumn colId="1">
      <filters>
        <filter val="Asset Management Ratio"/>
      </filters>
    </filterColumn>
    <filterColumn colId="2">
      <filters>
        <filter val="Total Asset Turnover"/>
      </filters>
    </filterColumn>
  </autoFilter>
  <tableColumns count="5">
    <tableColumn id="1" xr3:uid="{F2AC0F11-B32A-D744-B69C-BF1C5A050969}" name="Year" dataDxfId="93"/>
    <tableColumn id="2" xr3:uid="{3C39771A-7E8A-1443-AD91-F4937537205E}" name="Type of Ratio" dataDxfId="92"/>
    <tableColumn id="3" xr3:uid="{05C244F9-D977-4141-840C-1F254476A676}" name="Ratio" dataDxfId="91"/>
    <tableColumn id="5" xr3:uid="{E0EF60C5-9AB6-2A48-97F8-62C552305896}" name="HPG" dataDxfId="90"/>
    <tableColumn id="7" xr3:uid="{DDA57726-0CF3-0842-8475-5C53A78EDF93}" name="Market Average" dataDxfId="89"/>
  </tableColumns>
  <tableStyleInfo name="TableStyleLight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501250B3-EA8D-A948-A68C-432A44B4C49F}" name="Table260" displayName="Table260" ref="A1:I4" totalsRowShown="0">
  <autoFilter ref="A1:I4" xr:uid="{501250B3-EA8D-A948-A68C-432A44B4C49F}"/>
  <tableColumns count="9">
    <tableColumn id="1" xr3:uid="{5A3C4A70-307D-A948-BC43-A0BF2CBAD715}" name="YEAR" dataDxfId="88"/>
    <tableColumn id="2" xr3:uid="{6F4FCA97-9F15-CA43-924D-74967F7130FD}" name="CURRENT ASSETS" dataDxfId="87" dataCellStyle="Percent"/>
    <tableColumn id="3" xr3:uid="{16AE350E-803F-614D-9B74-633CDEDEDD59}" name="LONG-TERM ASSETS" dataDxfId="86" dataCellStyle="Percent"/>
    <tableColumn id="9" xr3:uid="{A08998CB-6D02-F645-A763-E0822BF2A30A}" name="Current liabilities" dataDxfId="85" dataCellStyle="Percent"/>
    <tableColumn id="10" xr3:uid="{C5789B0F-FB3D-D149-BD06-C51C51DF097E}" name="Long-term liabilities" dataDxfId="84" dataCellStyle="Percent"/>
    <tableColumn id="11" xr3:uid="{23CEF289-2AFC-134B-8311-C0D0742BBFD2}" name="Owner's equity" dataDxfId="83" dataCellStyle="Percent"/>
    <tableColumn id="12" xr3:uid="{6CC89FE6-A5BB-1445-B50E-D46CC788F1EB}" name="Fixed assets" dataDxfId="82" dataCellStyle="Percent"/>
    <tableColumn id="13" xr3:uid="{97B0527C-97ED-1049-8868-C3D9B7464DBC}" name="Long-term incomplete assets" dataDxfId="81" dataCellStyle="Percent"/>
    <tableColumn id="14" xr3:uid="{CFDFF0D2-2C55-8D47-AD3D-C6247ECB34F1}" name="Other Long-term Assets" dataDxfId="80" dataCellStyle="Percent"/>
  </tableColumns>
  <tableStyleInfo name="TableStyleLight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4506613C-6B0D-544B-938F-0E08986C5B30}" name="Table461" displayName="Table461" ref="A12:F15" totalsRowShown="0" headerRowDxfId="79">
  <autoFilter ref="A12:F15" xr:uid="{4506613C-6B0D-544B-938F-0E08986C5B30}"/>
  <tableColumns count="6">
    <tableColumn id="1" xr3:uid="{40151A64-731D-8440-85E1-E3A7360C916D}" name="YEAR"/>
    <tableColumn id="2" xr3:uid="{0D0F0F3A-8DB5-7348-A7BF-3D64E4506E01}" name="Cash and cash equivalents" dataDxfId="78" dataCellStyle="Percent"/>
    <tableColumn id="3" xr3:uid="{A929C8F3-9B07-9248-854C-CFA6833128C4}" name="Short-term investments" dataDxfId="77" dataCellStyle="Percent"/>
    <tableColumn id="4" xr3:uid="{AD2C7B78-5EA1-9B41-B097-BA78B074EC8A}" name="Accounts receivable" dataDxfId="76" dataCellStyle="Percent"/>
    <tableColumn id="5" xr3:uid="{4DC4B2E4-D12C-C44D-BA36-6B826DFD093B}" name="Inventories" dataDxfId="75" dataCellStyle="Percent"/>
    <tableColumn id="6" xr3:uid="{9F9DC4E6-6B9F-B843-B1AC-DDEA4428095F}" name="Other current assets" dataDxfId="74" dataCellStyle="Percent"/>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D4248617-E2B8-BE43-87EB-2F36098C6188}" name="Table43" displayName="Table43" ref="AJ17:AO20" totalsRowShown="0" headerRowDxfId="190" dataDxfId="189">
  <autoFilter ref="AJ17:AO20" xr:uid="{D4248617-E2B8-BE43-87EB-2F36098C6188}"/>
  <tableColumns count="6">
    <tableColumn id="1" xr3:uid="{B248CEB1-2850-3B4A-B85E-9A7493228C36}" name="Year" dataDxfId="188"/>
    <tableColumn id="2" xr3:uid="{6C438420-EDD3-1849-911E-EA85027E1EB0}" name="Cost of Sales" dataDxfId="187" totalsRowDxfId="186"/>
    <tableColumn id="3" xr3:uid="{59E9500B-E465-5A44-ACFA-D296D378C08B}" name="Interest Expenses" dataDxfId="185" totalsRowDxfId="184"/>
    <tableColumn id="4" xr3:uid="{54061535-85AD-2B42-9134-59B636ED016D}" name="Operating expenses" dataDxfId="183" totalsRowDxfId="182" dataCellStyle="Percent"/>
    <tableColumn id="5" xr3:uid="{5FBD80AC-748D-2E48-AA34-0344479D1441}" name="Tax Expense" dataDxfId="181" totalsRowDxfId="180" dataCellStyle="Percent"/>
    <tableColumn id="11" xr3:uid="{6B284762-BCF7-FC42-B672-EF92B5169C15}" name="Net Profit" dataDxfId="179" totalsRowDxfId="178" dataCellStyle="Percent"/>
  </tableColumns>
  <tableStyleInfo name="TableStyleLight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BAFDD78F-EF45-E849-89B7-42537E58E672}" name="Table511151862" displayName="Table511151862" ref="A37:B42" totalsRowShown="0" headerRowDxfId="73" dataDxfId="72">
  <autoFilter ref="A37:B42" xr:uid="{BAFDD78F-EF45-E849-89B7-42537E58E672}"/>
  <tableColumns count="2">
    <tableColumn id="1" xr3:uid="{1CB8813A-A170-6844-88A2-19EBBAC52668}" name="Year" dataDxfId="71"/>
    <tableColumn id="2" xr3:uid="{69F56944-2AAB-D048-981E-7600472E04BF}" name="Total Liability and Shareholder Equity" dataDxfId="70"/>
  </tableColumns>
  <tableStyleInfo name="TableStyleLight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422E1450-3083-A142-AF04-85FD222444A1}" name="Table612161963" displayName="Table612161963" ref="E37:F38" totalsRowShown="0">
  <autoFilter ref="E37:F38" xr:uid="{422E1450-3083-A142-AF04-85FD222444A1}"/>
  <tableColumns count="2">
    <tableColumn id="1" xr3:uid="{ACB77B50-F30E-7847-BAF9-CAAA0DBD06EE}" name="Absolute change" dataDxfId="69">
      <calculatedColumnFormula>B42-B41</calculatedColumnFormula>
    </tableColumn>
    <tableColumn id="2" xr3:uid="{3B59B5E6-D6FD-FA4D-859E-2042BF03E3A7}" name="Percentage Change" dataDxfId="68">
      <calculatedColumnFormula>Table612161963[[#This Row],[Absolute change]]/B41</calculatedColumnFormula>
    </tableColumn>
  </tableColumns>
  <tableStyleInfo name="TableStyleLight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8FA54E0A-41E3-8746-BC78-52C01E9BD0B3}" name="Table191013172064" displayName="Table191013172064" ref="E40:F42" totalsRowShown="0" headerRowDxfId="67" dataDxfId="66">
  <autoFilter ref="E40:F42" xr:uid="{8FA54E0A-41E3-8746-BC78-52C01E9BD0B3}"/>
  <tableColumns count="2">
    <tableColumn id="1" xr3:uid="{CB36248F-2958-F646-A989-940BDB0EBF4F}" name="Year" dataDxfId="65"/>
    <tableColumn id="2" xr3:uid="{78B46EF8-46D5-3F4F-BC87-6D57CB283460}" name="Total Liability and Shareholder Equity" dataDxfId="64">
      <calculatedColumnFormula>Table5111518[[#This Row],[Total Liability and Shareholder Equity]]-B42</calculatedColumnFormula>
    </tableColumn>
  </tableColumns>
  <tableStyleInfo name="TableStyleLight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F074EA86-813B-C24B-89CD-12401A89A337}" name="Table51115182765" displayName="Table51115182765" ref="A47:B52" totalsRowShown="0" headerRowDxfId="63" dataDxfId="62">
  <autoFilter ref="A47:B52" xr:uid="{F074EA86-813B-C24B-89CD-12401A89A337}"/>
  <tableColumns count="2">
    <tableColumn id="1" xr3:uid="{E4EBF21D-3328-7647-BE90-E62E01F66128}" name="Year" dataDxfId="61"/>
    <tableColumn id="2" xr3:uid="{4D8C5BA5-8289-BE40-889C-BA66DEB5619C}" name="Current Assets" dataDxfId="60"/>
  </tableColumns>
  <tableStyleInfo name="TableStyleLight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B934CDC4-6D68-CA4D-96B6-436BBF19A7A1}" name="Table1910131720282966" displayName="Table1910131720282966" ref="E50:F52" totalsRowShown="0" headerRowDxfId="59" dataDxfId="58">
  <autoFilter ref="E50:F52" xr:uid="{B934CDC4-6D68-CA4D-96B6-436BBF19A7A1}"/>
  <tableColumns count="2">
    <tableColumn id="1" xr3:uid="{684C6DFA-17C9-7241-8B16-AE3048E37315}" name="Year" dataDxfId="57"/>
    <tableColumn id="2" xr3:uid="{E9FA5651-8B4D-6B46-8366-AA2E4CE16708}" name="Current Asset" dataDxfId="56">
      <calculatedColumnFormula>Table5111518[[#This Row],[Total Liability and Shareholder Equity]]-B53</calculatedColumnFormula>
    </tableColumn>
  </tableColumns>
  <tableStyleInfo name="TableStyleLight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E2FC740D-D3EE-224B-BAB4-03CF820BB5FC}" name="Table61216193067" displayName="Table61216193067" ref="E47:F48" totalsRowShown="0">
  <autoFilter ref="E47:F48" xr:uid="{E2FC740D-D3EE-224B-BAB4-03CF820BB5FC}"/>
  <tableColumns count="2">
    <tableColumn id="1" xr3:uid="{3352598E-ADA0-CA4E-861D-04393E446E28}" name="Absolute change" dataDxfId="55">
      <calculatedColumnFormula>B52-B51</calculatedColumnFormula>
    </tableColumn>
    <tableColumn id="2" xr3:uid="{85524C43-9CE9-D547-9CAA-9D733CBDBD38}" name="Percentage Change" dataDxfId="54">
      <calculatedColumnFormula>Table61216193067[[#This Row],[Absolute change]]/B51</calculatedColumnFormula>
    </tableColumn>
  </tableColumns>
  <tableStyleInfo name="TableStyleLight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721529CA-F470-024F-B29D-DE1A8ED2A74E}" name="Table5111518273168" displayName="Table5111518273168" ref="A57:B62" totalsRowShown="0" headerRowDxfId="53" dataDxfId="52">
  <autoFilter ref="A57:B62" xr:uid="{721529CA-F470-024F-B29D-DE1A8ED2A74E}"/>
  <tableColumns count="2">
    <tableColumn id="1" xr3:uid="{65CA6ADF-CA21-8044-9905-C189E6D484B6}" name="Year" dataDxfId="51"/>
    <tableColumn id="2" xr3:uid="{C2C3C95C-9B32-AC4A-9729-6801118B59E2}" name="Long-term Assets" dataDxfId="50"/>
  </tableColumns>
  <tableStyleInfo name="TableStyleLight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BBE13BCD-5F77-624C-A47D-6A3E8AD6E889}" name="Table191013172028293269" displayName="Table191013172028293269" ref="E60:F62" totalsRowShown="0" headerRowDxfId="49" dataDxfId="48">
  <autoFilter ref="E60:F62" xr:uid="{BBE13BCD-5F77-624C-A47D-6A3E8AD6E889}"/>
  <tableColumns count="2">
    <tableColumn id="1" xr3:uid="{0A586D2F-F4A8-284E-A39D-E44E905E71D9}" name="Year" dataDxfId="47"/>
    <tableColumn id="2" xr3:uid="{C7D2D558-52D2-5A4A-89C5-8E706252BB3D}" name="Long-term Asset" dataDxfId="46">
      <calculatedColumnFormula>Table5111518[[#This Row],[Total Liability and Shareholder Equity]]-B63</calculatedColumnFormula>
    </tableColumn>
  </tableColumns>
  <tableStyleInfo name="TableStyleLight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819D76FD-343C-C944-8763-B9F36D1B3B22}" name="Table6121619303370" displayName="Table6121619303370" ref="E57:F58" totalsRowShown="0">
  <autoFilter ref="E57:F58" xr:uid="{819D76FD-343C-C944-8763-B9F36D1B3B22}"/>
  <tableColumns count="2">
    <tableColumn id="1" xr3:uid="{9DC11363-961E-A54E-955F-4219ED08BEE9}" name="Absolute change" dataDxfId="45">
      <calculatedColumnFormula>B62-B61</calculatedColumnFormula>
    </tableColumn>
    <tableColumn id="2" xr3:uid="{7B6582DB-C1C4-2849-A3C5-2C758945AA65}" name="Percentage Change" dataDxfId="44">
      <calculatedColumnFormula>Table6121619303370[[#This Row],[Absolute change]]/B61</calculatedColumnFormula>
    </tableColumn>
  </tableColumns>
  <tableStyleInfo name="TableStyleLight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9F33D5C0-1EAE-C449-AD54-52A641336D44}" name="Table511151827313471" displayName="Table511151827313471" ref="A67:B72" totalsRowShown="0" headerRowDxfId="43" dataDxfId="42">
  <autoFilter ref="A67:B72" xr:uid="{9F33D5C0-1EAE-C449-AD54-52A641336D44}"/>
  <tableColumns count="2">
    <tableColumn id="1" xr3:uid="{66BCDAAA-2D2B-D946-A39B-CC136482B9D2}" name="Year" dataDxfId="41"/>
    <tableColumn id="2" xr3:uid="{56E89203-AEA7-344B-B631-7080E132624E}" name="Current Liabilities" dataDxfId="40"/>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46D27-DACF-224C-8739-E463B83A7A23}" name="Table3" displayName="Table3" ref="AJ34:AL55" totalsRowShown="0">
  <autoFilter ref="AJ34:AL55" xr:uid="{D8146D27-DACF-224C-8739-E463B83A7A23}"/>
  <tableColumns count="3">
    <tableColumn id="1" xr3:uid="{2A676E47-C22E-7A4A-ADFD-5610E821DE57}" name="Year"/>
    <tableColumn id="2" xr3:uid="{699CC4D0-5830-D245-AF3B-46C37405DE3C}" name="Expenses"/>
    <tableColumn id="3" xr3:uid="{2E64203B-ADB3-1841-A140-5D4FA4103BCE}" name="Money"/>
  </tableColumns>
  <tableStyleInfo name="TableStyleLight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A1C4F8C7-B0D6-9D42-AA28-A9F7FB16E15B}" name="Table19101317202829323572" displayName="Table19101317202829323572" ref="E70:F72" totalsRowShown="0" headerRowDxfId="39" dataDxfId="38">
  <autoFilter ref="E70:F72" xr:uid="{A1C4F8C7-B0D6-9D42-AA28-A9F7FB16E15B}"/>
  <tableColumns count="2">
    <tableColumn id="1" xr3:uid="{6F8781E1-2DF2-614D-AAB7-959A0B4DC1CA}" name="Year" dataDxfId="37"/>
    <tableColumn id="2" xr3:uid="{AFFBBF94-4E82-844E-AF3E-9F8815DC769A}" name="Current Liabilities" dataDxfId="36">
      <calculatedColumnFormula>Table511151827313471[[#This Row],[Current Liabilities]]-B72</calculatedColumnFormula>
    </tableColumn>
  </tableColumns>
  <tableStyleInfo name="TableStyleLight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BD00972E-AF9A-E446-AB65-7966DAC3DE12}" name="Table612161930333673" displayName="Table612161930333673" ref="E67:F68" totalsRowShown="0">
  <autoFilter ref="E67:F68" xr:uid="{BD00972E-AF9A-E446-AB65-7966DAC3DE12}"/>
  <tableColumns count="2">
    <tableColumn id="1" xr3:uid="{B3F32C87-9E7D-FA45-A9DD-642F3FA2AD4D}" name="Absolute change" dataDxfId="35">
      <calculatedColumnFormula>B72-B71</calculatedColumnFormula>
    </tableColumn>
    <tableColumn id="2" xr3:uid="{818C1CE4-241F-D64C-AD6F-E406F35D9D69}" name="Percentage Change" dataDxfId="34">
      <calculatedColumnFormula>(B72-B71)/B71</calculatedColumnFormula>
    </tableColumn>
  </tableColumns>
  <tableStyleInfo name="TableStyleLight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ED2C13CD-3BC3-D041-8316-E9885C3EAA33}" name="Table51115182731343774" displayName="Table51115182731343774" ref="A77:B82" totalsRowShown="0" headerRowDxfId="33" dataDxfId="32">
  <autoFilter ref="A77:B82" xr:uid="{ED2C13CD-3BC3-D041-8316-E9885C3EAA33}"/>
  <tableColumns count="2">
    <tableColumn id="1" xr3:uid="{714CC8D4-2923-2742-8310-0AB1FE9D4C78}" name="Year" dataDxfId="31"/>
    <tableColumn id="2" xr3:uid="{56B7A51E-CE4F-9C4A-9E57-FC66E5A7C0C4}" name="Long-term Liabilities" dataDxfId="30"/>
  </tableColumns>
  <tableStyleInfo name="TableStyleLight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C5001D7B-973A-044D-AA39-D5BE1A96E26D}" name="Table1910131720282932353875" displayName="Table1910131720282932353875" ref="E80:F82" totalsRowShown="0" headerRowDxfId="29" dataDxfId="28">
  <autoFilter ref="E80:F82" xr:uid="{C5001D7B-973A-044D-AA39-D5BE1A96E26D}"/>
  <tableColumns count="2">
    <tableColumn id="1" xr3:uid="{7CF9D1B8-5CC6-CA4B-9949-253A7C5FB583}" name="Year" dataDxfId="27"/>
    <tableColumn id="2" xr3:uid="{BE316FED-3569-684F-BE1B-DB24C77DBFDF}" name="Long-term Liabilities" dataDxfId="26">
      <calculatedColumnFormula>Table51115182731343774[[#This Row],[Long-term Liabilities]]-B82</calculatedColumnFormula>
    </tableColumn>
  </tableColumns>
  <tableStyleInfo name="TableStyleLight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2982D6F-BC55-3341-9CF5-8C0B4CFFA80D}" name="Table61216193033363976" displayName="Table61216193033363976" ref="E77:F78" totalsRowShown="0">
  <autoFilter ref="E77:F78" xr:uid="{02982D6F-BC55-3341-9CF5-8C0B4CFFA80D}"/>
  <tableColumns count="2">
    <tableColumn id="1" xr3:uid="{96D8FD07-4353-8445-9912-D60B7165ECAC}" name="Absolute change" dataDxfId="25">
      <calculatedColumnFormula>B82-B81</calculatedColumnFormula>
    </tableColumn>
    <tableColumn id="2" xr3:uid="{7187385C-E0C5-1442-AE8D-068AC55FE09A}" name="Percentage Change" dataDxfId="24">
      <calculatedColumnFormula>(B82-B81)/B81</calculatedColumnFormula>
    </tableColumn>
  </tableColumns>
  <tableStyleInfo name="TableStyleLight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6E801079-3665-A94F-8631-EDE0027C24DE}" name="Table5111518273134374177" displayName="Table5111518273134374177" ref="A87:B92" totalsRowShown="0" headerRowDxfId="23" dataDxfId="22">
  <autoFilter ref="A87:B92" xr:uid="{6E801079-3665-A94F-8631-EDE0027C24DE}"/>
  <tableColumns count="2">
    <tableColumn id="1" xr3:uid="{7D8D1EA0-47E9-7E4C-BC5A-14454468C43A}" name="Year" dataDxfId="21"/>
    <tableColumn id="2" xr3:uid="{92EE2904-9696-EB46-A0BF-B8AC114F5298}" name="Owner's Equity" dataDxfId="20"/>
  </tableColumns>
  <tableStyleInfo name="TableStyleLight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3B248AEA-7A32-564E-9F01-9464168C18E7}" name="Table191013172028293235384278" displayName="Table191013172028293235384278" ref="E90:F92" totalsRowShown="0" headerRowDxfId="19" dataDxfId="18">
  <autoFilter ref="E90:F92" xr:uid="{3B248AEA-7A32-564E-9F01-9464168C18E7}"/>
  <tableColumns count="2">
    <tableColumn id="1" xr3:uid="{D6D96994-E678-F94F-933C-4E0C5A6711C8}" name="Year" dataDxfId="17"/>
    <tableColumn id="2" xr3:uid="{9E667950-15FA-7742-BA2F-70588E0D30AF}" name="Long-term Liabilities" dataDxfId="16">
      <calculatedColumnFormula>Table51115182731343741[[#This Row],[Owner''s Equity]]-B90</calculatedColumnFormula>
    </tableColumn>
  </tableColumns>
  <tableStyleInfo name="TableStyleLight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7440A6A2-302A-824F-967C-2F3EEAC829B3}" name="Table6121619303336394379" displayName="Table6121619303336394379" ref="E87:F88" totalsRowShown="0">
  <autoFilter ref="E87:F88" xr:uid="{7440A6A2-302A-824F-967C-2F3EEAC829B3}"/>
  <tableColumns count="2">
    <tableColumn id="1" xr3:uid="{3F1D1019-25D9-B94D-AFA4-2F03C3C44640}" name="Absolute change" dataDxfId="15">
      <calculatedColumnFormula>B92-B91</calculatedColumnFormula>
    </tableColumn>
    <tableColumn id="2" xr3:uid="{0339E66B-B712-E343-BE8E-4E7A747CEB10}" name="Percentage Change" dataDxfId="14">
      <calculatedColumnFormula>(B92-B91)/B91</calculatedColumnFormula>
    </tableColumn>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F5B810-5AA9-B743-8811-75BB4E506A0E}" name="Table2" displayName="Table2" ref="AL7:AT10" totalsRowShown="0">
  <autoFilter ref="AL7:AT10" xr:uid="{3FF5B810-5AA9-B743-8811-75BB4E506A0E}"/>
  <tableColumns count="9">
    <tableColumn id="1" xr3:uid="{ADB0EE97-93A9-1742-8C1F-18110A821BB5}" name="YEAR" dataDxfId="177"/>
    <tableColumn id="2" xr3:uid="{41C61589-04D7-C744-AD7A-EE37430343F0}" name="CURRENT ASSETS" dataDxfId="176" dataCellStyle="Percent"/>
    <tableColumn id="3" xr3:uid="{624F44F2-288E-894F-BDA0-AD70D5A3BA1C}" name="LONG-TERM ASSETS" dataDxfId="175" dataCellStyle="Percent"/>
    <tableColumn id="9" xr3:uid="{1004D176-7045-CA4A-A7D8-D81CAB3A5C22}" name="Current liabilities" dataDxfId="174" dataCellStyle="Percent"/>
    <tableColumn id="10" xr3:uid="{8E7AB351-6299-F741-8609-E5B65993756E}" name="Long-term liabilities" dataDxfId="173" dataCellStyle="Percent"/>
    <tableColumn id="11" xr3:uid="{D9D621D5-8034-8443-B4AF-ED24FC3DF6D0}" name="Owner's equity" dataDxfId="172" dataCellStyle="Percent"/>
    <tableColumn id="12" xr3:uid="{08F535A3-8769-1B45-A31C-A18BC086ED27}" name="Fixed assets" dataDxfId="171" dataCellStyle="Percent"/>
    <tableColumn id="13" xr3:uid="{B4284B75-50A1-D34C-9D89-A3476D5CC6E5}" name="Long-term incomplete assets" dataDxfId="170" dataCellStyle="Percent"/>
    <tableColumn id="14" xr3:uid="{8593A3F0-8E5A-9042-84C8-5C792BBE23E4}" name="Other Long-term Assets" dataDxfId="169" dataCellStyle="Percent"/>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68E7DF-9714-BD44-B672-E2AE4DA1B1A2}" name="Table4" displayName="Table4" ref="AL18:AQ21" totalsRowShown="0" headerRowDxfId="168">
  <autoFilter ref="AL18:AQ21" xr:uid="{4F68E7DF-9714-BD44-B672-E2AE4DA1B1A2}"/>
  <tableColumns count="6">
    <tableColumn id="1" xr3:uid="{7B78374F-2DF8-664D-B220-9C04D53DE10A}" name="YEAR"/>
    <tableColumn id="2" xr3:uid="{2C02F9DF-07FA-5B46-94EE-7948DE9C7CB5}" name="Cash and cash equivalents" dataDxfId="167" dataCellStyle="Percent"/>
    <tableColumn id="3" xr3:uid="{C6AFCAAC-D374-2D4A-BAA2-279D740CADCE}" name="Short-term investments" dataDxfId="166" dataCellStyle="Percent"/>
    <tableColumn id="4" xr3:uid="{F27FF8DE-C656-DC4B-B581-0AD8BC257210}" name="Accounts receivable" dataDxfId="165" dataCellStyle="Percent"/>
    <tableColumn id="5" xr3:uid="{A2AF60C5-279A-4A44-B073-B8394DD2BF12}" name="Inventories" dataDxfId="164" dataCellStyle="Percent"/>
    <tableColumn id="6" xr3:uid="{9C146F4B-81C7-BC4E-B43B-5C6A9B24D1B1}" name="Other current assets" dataDxfId="163" dataCellStyle="Percent"/>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52EB310-3880-E44D-A799-438D291BDA2B}" name="Table5111518" displayName="Table5111518" ref="AL43:AM48" totalsRowShown="0" headerRowDxfId="162" dataDxfId="161">
  <autoFilter ref="AL43:AM48" xr:uid="{152EB310-3880-E44D-A799-438D291BDA2B}"/>
  <tableColumns count="2">
    <tableColumn id="1" xr3:uid="{9D56160F-7675-A64C-A0C7-7F58A2208833}" name="Year" dataDxfId="160"/>
    <tableColumn id="2" xr3:uid="{4BE9FC5F-812D-564A-87C7-E41C6CFC159B}" name="Total Liability and Shareholder Equity" dataDxfId="159"/>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F326D80-338E-7247-885B-5B78031D71E9}" name="Table6121619" displayName="Table6121619" ref="AP43:AQ44" totalsRowShown="0">
  <autoFilter ref="AP43:AQ44" xr:uid="{2F326D80-338E-7247-885B-5B78031D71E9}"/>
  <tableColumns count="2">
    <tableColumn id="1" xr3:uid="{414D73D4-4470-5B47-9A5D-08EB18B0B514}" name="Absolute change" dataDxfId="158">
      <calculatedColumnFormula>AM48-AM47</calculatedColumnFormula>
    </tableColumn>
    <tableColumn id="2" xr3:uid="{A28D5540-85A8-3145-A774-8E34D937BF4A}" name="Percentage Change" dataDxfId="157">
      <calculatedColumnFormula>Table6121619[[#This Row],[Absolute change]]/AM47</calculatedColumnFormula>
    </tableColumn>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490797F-C551-1744-B858-920B01D7A5B8}" name="Table1910131720" displayName="Table1910131720" ref="AP46:AQ48" totalsRowShown="0" headerRowDxfId="156" dataDxfId="155">
  <autoFilter ref="AP46:AQ48" xr:uid="{5490797F-C551-1744-B858-920B01D7A5B8}"/>
  <tableColumns count="2">
    <tableColumn id="1" xr3:uid="{DA688429-4DBE-C64A-B940-FCF43500B444}" name="Year" dataDxfId="154"/>
    <tableColumn id="2" xr3:uid="{B3B3D56C-8280-7349-B57D-F70DE78659B2}" name="Total Liability and Shareholder Equity" dataDxfId="153">
      <calculatedColumnFormula>Table5111518[[#This Row],[Total Liability and Shareholder Equity]]-AM48</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hoaphat.com.vn/"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8.xml"/><Relationship Id="rId5" Type="http://schemas.openxmlformats.org/officeDocument/2006/relationships/table" Target="../tables/table26.xml"/><Relationship Id="rId4" Type="http://schemas.openxmlformats.org/officeDocument/2006/relationships/table" Target="../tables/table25.xml"/></Relationships>
</file>

<file path=xl/worksheets/_rels/sheet11.xml.rels><?xml version="1.0" encoding="UTF-8" standalone="yes"?>
<Relationships xmlns="http://schemas.openxmlformats.org/package/2006/relationships"><Relationship Id="rId8" Type="http://schemas.microsoft.com/office/2007/relationships/slicer" Target="../slicers/slicer10.xml"/><Relationship Id="rId3" Type="http://schemas.openxmlformats.org/officeDocument/2006/relationships/pivotTable" Target="../pivotTables/pivotTable6.xml"/><Relationship Id="rId7" Type="http://schemas.microsoft.com/office/2007/relationships/slicer" Target="../slicers/slicer9.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27.xml"/><Relationship Id="rId5" Type="http://schemas.openxmlformats.org/officeDocument/2006/relationships/drawing" Target="../drawings/drawing75.xml"/><Relationship Id="rId4"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77.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13.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78.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35.xml"/><Relationship Id="rId13" Type="http://schemas.openxmlformats.org/officeDocument/2006/relationships/table" Target="../tables/table40.xml"/><Relationship Id="rId18" Type="http://schemas.openxmlformats.org/officeDocument/2006/relationships/table" Target="../tables/table45.xml"/><Relationship Id="rId3" Type="http://schemas.openxmlformats.org/officeDocument/2006/relationships/table" Target="../tables/table30.xml"/><Relationship Id="rId7" Type="http://schemas.openxmlformats.org/officeDocument/2006/relationships/table" Target="../tables/table34.xml"/><Relationship Id="rId12" Type="http://schemas.openxmlformats.org/officeDocument/2006/relationships/table" Target="../tables/table39.xml"/><Relationship Id="rId17" Type="http://schemas.openxmlformats.org/officeDocument/2006/relationships/table" Target="../tables/table44.xml"/><Relationship Id="rId2" Type="http://schemas.openxmlformats.org/officeDocument/2006/relationships/table" Target="../tables/table29.xml"/><Relationship Id="rId16" Type="http://schemas.openxmlformats.org/officeDocument/2006/relationships/table" Target="../tables/table43.xml"/><Relationship Id="rId20" Type="http://schemas.openxmlformats.org/officeDocument/2006/relationships/table" Target="../tables/table47.xml"/><Relationship Id="rId1" Type="http://schemas.openxmlformats.org/officeDocument/2006/relationships/table" Target="../tables/table28.xml"/><Relationship Id="rId6" Type="http://schemas.openxmlformats.org/officeDocument/2006/relationships/table" Target="../tables/table33.xml"/><Relationship Id="rId11" Type="http://schemas.openxmlformats.org/officeDocument/2006/relationships/table" Target="../tables/table38.xml"/><Relationship Id="rId5" Type="http://schemas.openxmlformats.org/officeDocument/2006/relationships/table" Target="../tables/table32.xml"/><Relationship Id="rId15" Type="http://schemas.openxmlformats.org/officeDocument/2006/relationships/table" Target="../tables/table42.xml"/><Relationship Id="rId10" Type="http://schemas.openxmlformats.org/officeDocument/2006/relationships/table" Target="../tables/table37.xml"/><Relationship Id="rId19" Type="http://schemas.openxmlformats.org/officeDocument/2006/relationships/table" Target="../tables/table46.xml"/><Relationship Id="rId4" Type="http://schemas.openxmlformats.org/officeDocument/2006/relationships/table" Target="../tables/table31.xml"/><Relationship Id="rId9" Type="http://schemas.openxmlformats.org/officeDocument/2006/relationships/table" Target="../tables/table36.xml"/><Relationship Id="rId14" Type="http://schemas.openxmlformats.org/officeDocument/2006/relationships/table" Target="../tables/table4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9.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8.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microsoft.com/office/2007/relationships/slicer" Target="../slicers/slicer4.xml"/><Relationship Id="rId1" Type="http://schemas.openxmlformats.org/officeDocument/2006/relationships/drawing" Target="../drawings/drawing3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8.xml.rels><?xml version="1.0" encoding="UTF-8" standalone="yes"?>
<Relationships xmlns="http://schemas.openxmlformats.org/package/2006/relationships"><Relationship Id="rId8" Type="http://schemas.microsoft.com/office/2007/relationships/slicer" Target="../slicers/slicer6.xml"/><Relationship Id="rId3" Type="http://schemas.openxmlformats.org/officeDocument/2006/relationships/drawing" Target="../drawings/drawing42.xml"/><Relationship Id="rId7" Type="http://schemas.openxmlformats.org/officeDocument/2006/relationships/table" Target="../tables/table4.xml"/><Relationship Id="rId2" Type="http://schemas.openxmlformats.org/officeDocument/2006/relationships/hyperlink" Target="https://fiintrade.vn/" TargetMode="Externa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1.xml"/><Relationship Id="rId13" Type="http://schemas.openxmlformats.org/officeDocument/2006/relationships/table" Target="../tables/table16.xml"/><Relationship Id="rId18" Type="http://schemas.openxmlformats.org/officeDocument/2006/relationships/table" Target="../tables/table21.xml"/><Relationship Id="rId3" Type="http://schemas.openxmlformats.org/officeDocument/2006/relationships/table" Target="../tables/table6.xml"/><Relationship Id="rId21" Type="http://schemas.openxmlformats.org/officeDocument/2006/relationships/table" Target="../tables/table24.xml"/><Relationship Id="rId7" Type="http://schemas.openxmlformats.org/officeDocument/2006/relationships/table" Target="../tables/table10.xml"/><Relationship Id="rId12" Type="http://schemas.openxmlformats.org/officeDocument/2006/relationships/table" Target="../tables/table15.xml"/><Relationship Id="rId17" Type="http://schemas.openxmlformats.org/officeDocument/2006/relationships/table" Target="../tables/table20.xml"/><Relationship Id="rId2" Type="http://schemas.openxmlformats.org/officeDocument/2006/relationships/table" Target="../tables/table5.xml"/><Relationship Id="rId16" Type="http://schemas.openxmlformats.org/officeDocument/2006/relationships/table" Target="../tables/table19.xml"/><Relationship Id="rId20" Type="http://schemas.openxmlformats.org/officeDocument/2006/relationships/table" Target="../tables/table23.xml"/><Relationship Id="rId1" Type="http://schemas.openxmlformats.org/officeDocument/2006/relationships/drawing" Target="../drawings/drawing57.xml"/><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5" Type="http://schemas.openxmlformats.org/officeDocument/2006/relationships/table" Target="../tables/table18.xml"/><Relationship Id="rId10" Type="http://schemas.openxmlformats.org/officeDocument/2006/relationships/table" Target="../tables/table13.xml"/><Relationship Id="rId19" Type="http://schemas.openxmlformats.org/officeDocument/2006/relationships/table" Target="../tables/table22.xml"/><Relationship Id="rId4" Type="http://schemas.openxmlformats.org/officeDocument/2006/relationships/table" Target="../tables/table7.xml"/><Relationship Id="rId9" Type="http://schemas.openxmlformats.org/officeDocument/2006/relationships/table" Target="../tables/table12.xml"/><Relationship Id="rId14" Type="http://schemas.openxmlformats.org/officeDocument/2006/relationships/table" Target="../tables/table17.xml"/><Relationship Id="rId22" Type="http://schemas.microsoft.com/office/2007/relationships/slicer" Target="../slicers/slicer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D896F-0670-5A4D-A0BC-A462EA684CA3}">
  <dimension ref="A1:P125"/>
  <sheetViews>
    <sheetView showGridLines="0" topLeftCell="A104" zoomScale="86" zoomScaleNormal="86" workbookViewId="0">
      <selection activeCell="L107" sqref="L107:P114"/>
    </sheetView>
  </sheetViews>
  <sheetFormatPr baseColWidth="10" defaultRowHeight="14" x14ac:dyDescent="0.15"/>
  <sheetData>
    <row r="1" spans="1:16" x14ac:dyDescent="0.15">
      <c r="A1" s="390" t="s">
        <v>513</v>
      </c>
      <c r="B1" s="391"/>
      <c r="C1" s="391"/>
      <c r="D1" s="391"/>
      <c r="E1" s="391"/>
      <c r="F1" s="391"/>
      <c r="G1" s="391"/>
      <c r="H1" s="391"/>
      <c r="I1" s="391"/>
      <c r="J1" s="391"/>
      <c r="K1" s="391"/>
      <c r="L1" s="391"/>
      <c r="M1" s="391"/>
      <c r="N1" s="391"/>
      <c r="O1" s="391"/>
      <c r="P1" s="392"/>
    </row>
    <row r="2" spans="1:16" x14ac:dyDescent="0.15">
      <c r="A2" s="393"/>
      <c r="B2" s="394"/>
      <c r="C2" s="394"/>
      <c r="D2" s="394"/>
      <c r="E2" s="394"/>
      <c r="F2" s="394"/>
      <c r="G2" s="394"/>
      <c r="H2" s="394"/>
      <c r="I2" s="394"/>
      <c r="J2" s="394"/>
      <c r="K2" s="394"/>
      <c r="L2" s="394"/>
      <c r="M2" s="394"/>
      <c r="N2" s="394"/>
      <c r="O2" s="394"/>
      <c r="P2" s="395"/>
    </row>
    <row r="3" spans="1:16" x14ac:dyDescent="0.15">
      <c r="A3" s="393"/>
      <c r="B3" s="394"/>
      <c r="C3" s="394"/>
      <c r="D3" s="394"/>
      <c r="E3" s="394"/>
      <c r="F3" s="394"/>
      <c r="G3" s="394"/>
      <c r="H3" s="394"/>
      <c r="I3" s="394"/>
      <c r="J3" s="394"/>
      <c r="K3" s="394"/>
      <c r="L3" s="394"/>
      <c r="M3" s="394"/>
      <c r="N3" s="394"/>
      <c r="O3" s="394"/>
      <c r="P3" s="395"/>
    </row>
    <row r="4" spans="1:16" x14ac:dyDescent="0.15">
      <c r="A4" s="393"/>
      <c r="B4" s="394"/>
      <c r="C4" s="394"/>
      <c r="D4" s="394"/>
      <c r="E4" s="394"/>
      <c r="F4" s="394"/>
      <c r="G4" s="394"/>
      <c r="H4" s="394"/>
      <c r="I4" s="394"/>
      <c r="J4" s="394"/>
      <c r="K4" s="394"/>
      <c r="L4" s="394"/>
      <c r="M4" s="394"/>
      <c r="N4" s="394"/>
      <c r="O4" s="394"/>
      <c r="P4" s="395"/>
    </row>
    <row r="5" spans="1:16" x14ac:dyDescent="0.15">
      <c r="A5" s="393"/>
      <c r="B5" s="394"/>
      <c r="C5" s="394"/>
      <c r="D5" s="394"/>
      <c r="E5" s="394"/>
      <c r="F5" s="394"/>
      <c r="G5" s="394"/>
      <c r="H5" s="394"/>
      <c r="I5" s="394"/>
      <c r="J5" s="394"/>
      <c r="K5" s="394"/>
      <c r="L5" s="394"/>
      <c r="M5" s="394"/>
      <c r="N5" s="394"/>
      <c r="O5" s="394"/>
      <c r="P5" s="395"/>
    </row>
    <row r="6" spans="1:16" ht="17" x14ac:dyDescent="0.2">
      <c r="A6" s="386" t="s">
        <v>514</v>
      </c>
      <c r="B6" s="387"/>
      <c r="C6" s="387"/>
      <c r="D6" s="387"/>
      <c r="E6" s="387"/>
      <c r="F6" s="388" t="s">
        <v>513</v>
      </c>
      <c r="G6" s="388"/>
      <c r="H6" s="388"/>
      <c r="I6" s="388"/>
      <c r="J6" s="388"/>
      <c r="K6" s="388"/>
      <c r="L6" s="388"/>
      <c r="M6" s="388"/>
      <c r="N6" s="388"/>
      <c r="O6" s="388"/>
      <c r="P6" s="389"/>
    </row>
    <row r="7" spans="1:16" ht="17" x14ac:dyDescent="0.2">
      <c r="A7" s="396" t="s">
        <v>515</v>
      </c>
      <c r="B7" s="397"/>
      <c r="C7" s="397"/>
      <c r="D7" s="397"/>
      <c r="E7" s="397"/>
      <c r="F7" s="388" t="s">
        <v>477</v>
      </c>
      <c r="G7" s="388"/>
      <c r="H7" s="388"/>
      <c r="I7" s="388"/>
      <c r="J7" s="388"/>
      <c r="K7" s="388"/>
      <c r="L7" s="388"/>
      <c r="M7" s="388"/>
      <c r="N7" s="388"/>
      <c r="O7" s="388"/>
      <c r="P7" s="389"/>
    </row>
    <row r="8" spans="1:16" ht="17" x14ac:dyDescent="0.2">
      <c r="A8" s="386" t="s">
        <v>516</v>
      </c>
      <c r="B8" s="387"/>
      <c r="C8" s="387"/>
      <c r="D8" s="387"/>
      <c r="E8" s="387"/>
      <c r="F8" s="388" t="s">
        <v>517</v>
      </c>
      <c r="G8" s="388"/>
      <c r="H8" s="388"/>
      <c r="I8" s="388"/>
      <c r="J8" s="388"/>
      <c r="K8" s="388"/>
      <c r="L8" s="388"/>
      <c r="M8" s="388"/>
      <c r="N8" s="388"/>
      <c r="O8" s="388"/>
      <c r="P8" s="389"/>
    </row>
    <row r="9" spans="1:16" ht="17" x14ac:dyDescent="0.2">
      <c r="A9" s="396" t="s">
        <v>518</v>
      </c>
      <c r="B9" s="397"/>
      <c r="C9" s="397"/>
      <c r="D9" s="397"/>
      <c r="E9" s="397"/>
      <c r="F9" s="388" t="s">
        <v>519</v>
      </c>
      <c r="G9" s="388"/>
      <c r="H9" s="388"/>
      <c r="I9" s="388"/>
      <c r="J9" s="388"/>
      <c r="K9" s="388"/>
      <c r="L9" s="388"/>
      <c r="M9" s="388"/>
      <c r="N9" s="388"/>
      <c r="O9" s="388"/>
      <c r="P9" s="389"/>
    </row>
    <row r="10" spans="1:16" ht="17" x14ac:dyDescent="0.2">
      <c r="A10" s="386" t="s">
        <v>520</v>
      </c>
      <c r="B10" s="387"/>
      <c r="C10" s="387"/>
      <c r="D10" s="387"/>
      <c r="E10" s="387"/>
      <c r="F10" s="388">
        <v>1992</v>
      </c>
      <c r="G10" s="388"/>
      <c r="H10" s="388"/>
      <c r="I10" s="388"/>
      <c r="J10" s="388"/>
      <c r="K10" s="388"/>
      <c r="L10" s="388"/>
      <c r="M10" s="388"/>
      <c r="N10" s="388"/>
      <c r="O10" s="388"/>
      <c r="P10" s="389"/>
    </row>
    <row r="11" spans="1:16" ht="17" x14ac:dyDescent="0.2">
      <c r="A11" s="396" t="s">
        <v>521</v>
      </c>
      <c r="B11" s="397"/>
      <c r="C11" s="397"/>
      <c r="D11" s="397"/>
      <c r="E11" s="397"/>
      <c r="F11" s="388" t="s">
        <v>522</v>
      </c>
      <c r="G11" s="388"/>
      <c r="H11" s="388"/>
      <c r="I11" s="388"/>
      <c r="J11" s="388"/>
      <c r="K11" s="388"/>
      <c r="L11" s="388"/>
      <c r="M11" s="388"/>
      <c r="N11" s="388"/>
      <c r="O11" s="388"/>
      <c r="P11" s="389"/>
    </row>
    <row r="12" spans="1:16" ht="17" x14ac:dyDescent="0.2">
      <c r="A12" s="386" t="s">
        <v>523</v>
      </c>
      <c r="B12" s="387"/>
      <c r="C12" s="387"/>
      <c r="D12" s="387"/>
      <c r="E12" s="387"/>
      <c r="F12" s="388" t="s">
        <v>524</v>
      </c>
      <c r="G12" s="388"/>
      <c r="H12" s="388"/>
      <c r="I12" s="388"/>
      <c r="J12" s="388"/>
      <c r="K12" s="388"/>
      <c r="L12" s="388"/>
      <c r="M12" s="388"/>
      <c r="N12" s="388"/>
      <c r="O12" s="388"/>
      <c r="P12" s="389"/>
    </row>
    <row r="13" spans="1:16" ht="17" x14ac:dyDescent="0.2">
      <c r="A13" s="398" t="s">
        <v>525</v>
      </c>
      <c r="B13" s="399"/>
      <c r="C13" s="399"/>
      <c r="D13" s="399"/>
      <c r="E13" s="399"/>
      <c r="F13" s="388" t="s">
        <v>526</v>
      </c>
      <c r="G13" s="388"/>
      <c r="H13" s="388"/>
      <c r="I13" s="388"/>
      <c r="J13" s="388"/>
      <c r="K13" s="388"/>
      <c r="L13" s="388"/>
      <c r="M13" s="388"/>
      <c r="N13" s="388"/>
      <c r="O13" s="388"/>
      <c r="P13" s="389"/>
    </row>
    <row r="14" spans="1:16" ht="17" x14ac:dyDescent="0.2">
      <c r="A14" s="398"/>
      <c r="B14" s="399"/>
      <c r="C14" s="399"/>
      <c r="D14" s="399"/>
      <c r="E14" s="399"/>
      <c r="F14" s="388" t="s">
        <v>527</v>
      </c>
      <c r="G14" s="388"/>
      <c r="H14" s="388"/>
      <c r="I14" s="388"/>
      <c r="J14" s="388"/>
      <c r="K14" s="388"/>
      <c r="L14" s="388"/>
      <c r="M14" s="388"/>
      <c r="N14" s="388"/>
      <c r="O14" s="388"/>
      <c r="P14" s="389"/>
    </row>
    <row r="15" spans="1:16" ht="17" x14ac:dyDescent="0.2">
      <c r="A15" s="398"/>
      <c r="B15" s="399"/>
      <c r="C15" s="399"/>
      <c r="D15" s="399"/>
      <c r="E15" s="399"/>
      <c r="F15" s="388" t="s">
        <v>528</v>
      </c>
      <c r="G15" s="388"/>
      <c r="H15" s="388"/>
      <c r="I15" s="388"/>
      <c r="J15" s="388"/>
      <c r="K15" s="388"/>
      <c r="L15" s="388"/>
      <c r="M15" s="388"/>
      <c r="N15" s="388"/>
      <c r="O15" s="388"/>
      <c r="P15" s="389"/>
    </row>
    <row r="16" spans="1:16" ht="17" x14ac:dyDescent="0.2">
      <c r="A16" s="398"/>
      <c r="B16" s="399"/>
      <c r="C16" s="399"/>
      <c r="D16" s="399"/>
      <c r="E16" s="399"/>
      <c r="F16" s="388" t="s">
        <v>529</v>
      </c>
      <c r="G16" s="388"/>
      <c r="H16" s="388"/>
      <c r="I16" s="388"/>
      <c r="J16" s="388"/>
      <c r="K16" s="388"/>
      <c r="L16" s="388"/>
      <c r="M16" s="388"/>
      <c r="N16" s="388"/>
      <c r="O16" s="388"/>
      <c r="P16" s="389"/>
    </row>
    <row r="17" spans="1:16" ht="17" x14ac:dyDescent="0.2">
      <c r="A17" s="398"/>
      <c r="B17" s="399"/>
      <c r="C17" s="399"/>
      <c r="D17" s="399"/>
      <c r="E17" s="399"/>
      <c r="F17" s="388" t="s">
        <v>530</v>
      </c>
      <c r="G17" s="388"/>
      <c r="H17" s="388"/>
      <c r="I17" s="388"/>
      <c r="J17" s="388"/>
      <c r="K17" s="388"/>
      <c r="L17" s="388"/>
      <c r="M17" s="388"/>
      <c r="N17" s="388"/>
      <c r="O17" s="388"/>
      <c r="P17" s="389"/>
    </row>
    <row r="18" spans="1:16" ht="17" x14ac:dyDescent="0.2">
      <c r="A18" s="386" t="s">
        <v>531</v>
      </c>
      <c r="B18" s="387"/>
      <c r="C18" s="387"/>
      <c r="D18" s="387"/>
      <c r="E18" s="387"/>
      <c r="F18" s="388" t="s">
        <v>532</v>
      </c>
      <c r="G18" s="388"/>
      <c r="H18" s="388"/>
      <c r="I18" s="388"/>
      <c r="J18" s="388"/>
      <c r="K18" s="388"/>
      <c r="L18" s="388"/>
      <c r="M18" s="388"/>
      <c r="N18" s="388"/>
      <c r="O18" s="388"/>
      <c r="P18" s="389"/>
    </row>
    <row r="19" spans="1:16" ht="17" x14ac:dyDescent="0.2">
      <c r="A19" s="396" t="s">
        <v>533</v>
      </c>
      <c r="B19" s="397"/>
      <c r="C19" s="397"/>
      <c r="D19" s="397"/>
      <c r="E19" s="397"/>
      <c r="F19" s="388" t="s">
        <v>534</v>
      </c>
      <c r="G19" s="388"/>
      <c r="H19" s="388"/>
      <c r="I19" s="388"/>
      <c r="J19" s="388"/>
      <c r="K19" s="388"/>
      <c r="L19" s="388"/>
      <c r="M19" s="388"/>
      <c r="N19" s="388"/>
      <c r="O19" s="388"/>
      <c r="P19" s="389"/>
    </row>
    <row r="20" spans="1:16" ht="17" x14ac:dyDescent="0.2">
      <c r="A20" s="386" t="s">
        <v>535</v>
      </c>
      <c r="B20" s="387"/>
      <c r="C20" s="387"/>
      <c r="D20" s="387"/>
      <c r="E20" s="387"/>
      <c r="F20" s="400" t="s">
        <v>536</v>
      </c>
      <c r="G20" s="400"/>
      <c r="H20" s="400"/>
      <c r="I20" s="400"/>
      <c r="J20" s="400"/>
      <c r="K20" s="400"/>
      <c r="L20" s="400"/>
      <c r="M20" s="400"/>
      <c r="N20" s="400"/>
      <c r="O20" s="400"/>
      <c r="P20" s="401"/>
    </row>
    <row r="21" spans="1:16" x14ac:dyDescent="0.15">
      <c r="A21" s="402"/>
      <c r="B21" s="403"/>
      <c r="C21" s="403"/>
      <c r="D21" s="403"/>
      <c r="E21" s="403"/>
      <c r="F21" s="403"/>
      <c r="G21" s="403"/>
      <c r="H21" s="403"/>
      <c r="I21" s="403"/>
      <c r="J21" s="403"/>
      <c r="K21" s="403"/>
      <c r="L21" s="403"/>
      <c r="M21" s="403"/>
      <c r="N21" s="403"/>
      <c r="O21" s="403"/>
      <c r="P21" s="404"/>
    </row>
    <row r="22" spans="1:16" x14ac:dyDescent="0.15">
      <c r="A22" s="405"/>
      <c r="B22" s="406"/>
      <c r="C22" s="406"/>
      <c r="D22" s="406"/>
      <c r="E22" s="406"/>
      <c r="F22" s="406"/>
      <c r="G22" s="406"/>
      <c r="H22" s="406"/>
      <c r="I22" s="406"/>
      <c r="J22" s="406"/>
      <c r="K22" s="406"/>
      <c r="L22" s="406"/>
      <c r="M22" s="406"/>
      <c r="N22" s="406"/>
      <c r="O22" s="406"/>
      <c r="P22" s="407"/>
    </row>
    <row r="23" spans="1:16" x14ac:dyDescent="0.15">
      <c r="A23" s="408" t="s">
        <v>537</v>
      </c>
      <c r="B23" s="409"/>
      <c r="C23" s="409"/>
      <c r="D23" s="409"/>
      <c r="E23" s="409"/>
      <c r="F23" s="409"/>
      <c r="G23" s="409"/>
      <c r="H23" s="409"/>
      <c r="I23" s="409"/>
      <c r="J23" s="409"/>
      <c r="K23" s="409"/>
      <c r="L23" s="409"/>
      <c r="M23" s="409"/>
      <c r="N23" s="409"/>
      <c r="O23" s="409"/>
      <c r="P23" s="410"/>
    </row>
    <row r="24" spans="1:16" x14ac:dyDescent="0.15">
      <c r="A24" s="408"/>
      <c r="B24" s="409"/>
      <c r="C24" s="409"/>
      <c r="D24" s="409"/>
      <c r="E24" s="409"/>
      <c r="F24" s="409"/>
      <c r="G24" s="409"/>
      <c r="H24" s="409"/>
      <c r="I24" s="409"/>
      <c r="J24" s="409"/>
      <c r="K24" s="409"/>
      <c r="L24" s="409"/>
      <c r="M24" s="409"/>
      <c r="N24" s="409"/>
      <c r="O24" s="409"/>
      <c r="P24" s="410"/>
    </row>
    <row r="25" spans="1:16" x14ac:dyDescent="0.15">
      <c r="A25" s="408"/>
      <c r="B25" s="409"/>
      <c r="C25" s="409"/>
      <c r="D25" s="409"/>
      <c r="E25" s="409"/>
      <c r="F25" s="409"/>
      <c r="G25" s="409"/>
      <c r="H25" s="409"/>
      <c r="I25" s="409"/>
      <c r="J25" s="409"/>
      <c r="K25" s="409"/>
      <c r="L25" s="409"/>
      <c r="M25" s="409"/>
      <c r="N25" s="409"/>
      <c r="O25" s="409"/>
      <c r="P25" s="410"/>
    </row>
    <row r="26" spans="1:16" ht="277" customHeight="1" x14ac:dyDescent="0.15">
      <c r="A26" s="398" t="s">
        <v>538</v>
      </c>
      <c r="B26" s="399"/>
      <c r="C26" s="399"/>
      <c r="D26" s="399"/>
      <c r="E26" s="399"/>
      <c r="F26" s="411" t="s">
        <v>539</v>
      </c>
      <c r="G26" s="411"/>
      <c r="H26" s="411"/>
      <c r="I26" s="411"/>
      <c r="J26" s="411"/>
      <c r="K26" s="411"/>
      <c r="L26" s="411"/>
      <c r="M26" s="411"/>
      <c r="N26" s="411"/>
      <c r="O26" s="411"/>
      <c r="P26" s="412"/>
    </row>
    <row r="27" spans="1:16" ht="17" x14ac:dyDescent="0.2">
      <c r="A27" s="386" t="s">
        <v>540</v>
      </c>
      <c r="B27" s="387"/>
      <c r="C27" s="387"/>
      <c r="D27" s="387"/>
      <c r="E27" s="387"/>
      <c r="F27" s="413" t="s">
        <v>541</v>
      </c>
      <c r="G27" s="413"/>
      <c r="H27" s="413"/>
      <c r="I27" s="413"/>
      <c r="J27" s="413"/>
      <c r="K27" s="413"/>
      <c r="L27" s="413"/>
      <c r="M27" s="413"/>
      <c r="N27" s="413"/>
      <c r="O27" s="413"/>
      <c r="P27" s="414"/>
    </row>
    <row r="28" spans="1:16" ht="17" x14ac:dyDescent="0.2">
      <c r="A28" s="396" t="s">
        <v>542</v>
      </c>
      <c r="B28" s="397"/>
      <c r="C28" s="397"/>
      <c r="D28" s="397"/>
      <c r="E28" s="397"/>
      <c r="F28" s="415" t="s">
        <v>543</v>
      </c>
      <c r="G28" s="415"/>
      <c r="H28" s="415"/>
      <c r="I28" s="415"/>
      <c r="J28" s="415"/>
      <c r="K28" s="415"/>
      <c r="L28" s="415"/>
      <c r="M28" s="415"/>
      <c r="N28" s="415"/>
      <c r="O28" s="415"/>
      <c r="P28" s="416"/>
    </row>
    <row r="29" spans="1:16" ht="17" x14ac:dyDescent="0.2">
      <c r="A29" s="386" t="s">
        <v>544</v>
      </c>
      <c r="B29" s="387"/>
      <c r="C29" s="387"/>
      <c r="D29" s="387"/>
      <c r="E29" s="387"/>
      <c r="F29" s="413" t="s">
        <v>545</v>
      </c>
      <c r="G29" s="413"/>
      <c r="H29" s="413"/>
      <c r="I29" s="413"/>
      <c r="J29" s="413"/>
      <c r="K29" s="413"/>
      <c r="L29" s="413"/>
      <c r="M29" s="413"/>
      <c r="N29" s="413"/>
      <c r="O29" s="413"/>
      <c r="P29" s="414"/>
    </row>
    <row r="30" spans="1:16" ht="83" customHeight="1" x14ac:dyDescent="0.15">
      <c r="A30" s="398" t="s">
        <v>546</v>
      </c>
      <c r="B30" s="399"/>
      <c r="C30" s="399"/>
      <c r="D30" s="399"/>
      <c r="E30" s="399"/>
      <c r="F30" s="411" t="s">
        <v>547</v>
      </c>
      <c r="G30" s="411"/>
      <c r="H30" s="411"/>
      <c r="I30" s="411"/>
      <c r="J30" s="411"/>
      <c r="K30" s="411"/>
      <c r="L30" s="411"/>
      <c r="M30" s="411"/>
      <c r="N30" s="411"/>
      <c r="O30" s="411"/>
      <c r="P30" s="412"/>
    </row>
    <row r="31" spans="1:16" ht="171" customHeight="1" x14ac:dyDescent="0.15">
      <c r="A31" s="417" t="s">
        <v>548</v>
      </c>
      <c r="B31" s="418"/>
      <c r="C31" s="418"/>
      <c r="D31" s="418"/>
      <c r="E31" s="418"/>
      <c r="F31" s="419" t="s">
        <v>549</v>
      </c>
      <c r="G31" s="420"/>
      <c r="H31" s="420"/>
      <c r="I31" s="420"/>
      <c r="J31" s="420"/>
      <c r="K31" s="420"/>
      <c r="L31" s="420"/>
      <c r="M31" s="420"/>
      <c r="N31" s="420"/>
      <c r="O31" s="420"/>
      <c r="P31" s="421"/>
    </row>
    <row r="32" spans="1:16" x14ac:dyDescent="0.15">
      <c r="A32" s="402"/>
      <c r="B32" s="403"/>
      <c r="C32" s="403"/>
      <c r="D32" s="403"/>
      <c r="E32" s="403"/>
      <c r="F32" s="403"/>
      <c r="G32" s="403"/>
      <c r="H32" s="403"/>
      <c r="I32" s="403"/>
      <c r="J32" s="403"/>
      <c r="K32" s="403"/>
      <c r="L32" s="403"/>
      <c r="M32" s="403"/>
      <c r="N32" s="403"/>
      <c r="O32" s="403"/>
      <c r="P32" s="404"/>
    </row>
    <row r="33" spans="1:16" x14ac:dyDescent="0.15">
      <c r="A33" s="405"/>
      <c r="B33" s="406"/>
      <c r="C33" s="406"/>
      <c r="D33" s="406"/>
      <c r="E33" s="406"/>
      <c r="F33" s="406"/>
      <c r="G33" s="406"/>
      <c r="H33" s="406"/>
      <c r="I33" s="406"/>
      <c r="J33" s="406"/>
      <c r="K33" s="406"/>
      <c r="L33" s="406"/>
      <c r="M33" s="406"/>
      <c r="N33" s="406"/>
      <c r="O33" s="406"/>
      <c r="P33" s="407"/>
    </row>
    <row r="34" spans="1:16" x14ac:dyDescent="0.15">
      <c r="A34" s="408" t="s">
        <v>550</v>
      </c>
      <c r="B34" s="409"/>
      <c r="C34" s="409"/>
      <c r="D34" s="409"/>
      <c r="E34" s="409"/>
      <c r="F34" s="409"/>
      <c r="G34" s="409"/>
      <c r="H34" s="409"/>
      <c r="I34" s="409"/>
      <c r="J34" s="409"/>
      <c r="K34" s="409"/>
      <c r="L34" s="409"/>
      <c r="M34" s="409"/>
      <c r="N34" s="409"/>
      <c r="O34" s="409"/>
      <c r="P34" s="410"/>
    </row>
    <row r="35" spans="1:16" x14ac:dyDescent="0.15">
      <c r="A35" s="408"/>
      <c r="B35" s="409"/>
      <c r="C35" s="409"/>
      <c r="D35" s="409"/>
      <c r="E35" s="409"/>
      <c r="F35" s="409"/>
      <c r="G35" s="409"/>
      <c r="H35" s="409"/>
      <c r="I35" s="409"/>
      <c r="J35" s="409"/>
      <c r="K35" s="409"/>
      <c r="L35" s="409"/>
      <c r="M35" s="409"/>
      <c r="N35" s="409"/>
      <c r="O35" s="409"/>
      <c r="P35" s="410"/>
    </row>
    <row r="36" spans="1:16" x14ac:dyDescent="0.15">
      <c r="A36" s="408"/>
      <c r="B36" s="409"/>
      <c r="C36" s="409"/>
      <c r="D36" s="409"/>
      <c r="E36" s="409"/>
      <c r="F36" s="409"/>
      <c r="G36" s="409"/>
      <c r="H36" s="409"/>
      <c r="I36" s="409"/>
      <c r="J36" s="409"/>
      <c r="K36" s="409"/>
      <c r="L36" s="409"/>
      <c r="M36" s="409"/>
      <c r="N36" s="409"/>
      <c r="O36" s="409"/>
      <c r="P36" s="410"/>
    </row>
    <row r="37" spans="1:16" ht="17" x14ac:dyDescent="0.15">
      <c r="A37" s="398">
        <v>1992</v>
      </c>
      <c r="B37" s="399"/>
      <c r="C37" s="399"/>
      <c r="D37" s="399"/>
      <c r="E37" s="399"/>
      <c r="F37" s="415" t="s">
        <v>551</v>
      </c>
      <c r="G37" s="415"/>
      <c r="H37" s="415"/>
      <c r="I37" s="415"/>
      <c r="J37" s="415"/>
      <c r="K37" s="415"/>
      <c r="L37" s="415"/>
      <c r="M37" s="415"/>
      <c r="N37" s="415"/>
      <c r="O37" s="415"/>
      <c r="P37" s="416"/>
    </row>
    <row r="38" spans="1:16" ht="17" x14ac:dyDescent="0.15">
      <c r="A38" s="417" t="s">
        <v>552</v>
      </c>
      <c r="B38" s="418"/>
      <c r="C38" s="418"/>
      <c r="D38" s="418"/>
      <c r="E38" s="418"/>
      <c r="F38" s="413" t="s">
        <v>553</v>
      </c>
      <c r="G38" s="413"/>
      <c r="H38" s="413"/>
      <c r="I38" s="413"/>
      <c r="J38" s="413"/>
      <c r="K38" s="413"/>
      <c r="L38" s="413"/>
      <c r="M38" s="413"/>
      <c r="N38" s="413"/>
      <c r="O38" s="413"/>
      <c r="P38" s="414"/>
    </row>
    <row r="39" spans="1:16" ht="17" x14ac:dyDescent="0.15">
      <c r="A39" s="398" t="s">
        <v>554</v>
      </c>
      <c r="B39" s="399"/>
      <c r="C39" s="399"/>
      <c r="D39" s="399"/>
      <c r="E39" s="399"/>
      <c r="F39" s="415" t="s">
        <v>555</v>
      </c>
      <c r="G39" s="415"/>
      <c r="H39" s="415"/>
      <c r="I39" s="415"/>
      <c r="J39" s="415"/>
      <c r="K39" s="415"/>
      <c r="L39" s="415"/>
      <c r="M39" s="415"/>
      <c r="N39" s="415"/>
      <c r="O39" s="415"/>
      <c r="P39" s="416"/>
    </row>
    <row r="40" spans="1:16" ht="17" x14ac:dyDescent="0.15">
      <c r="A40" s="417">
        <v>2012</v>
      </c>
      <c r="B40" s="418"/>
      <c r="C40" s="418"/>
      <c r="D40" s="418"/>
      <c r="E40" s="418"/>
      <c r="F40" s="413" t="s">
        <v>556</v>
      </c>
      <c r="G40" s="413"/>
      <c r="H40" s="413"/>
      <c r="I40" s="413"/>
      <c r="J40" s="413"/>
      <c r="K40" s="413"/>
      <c r="L40" s="413"/>
      <c r="M40" s="413"/>
      <c r="N40" s="413"/>
      <c r="O40" s="413"/>
      <c r="P40" s="414"/>
    </row>
    <row r="41" spans="1:16" ht="17" x14ac:dyDescent="0.15">
      <c r="A41" s="398" t="s">
        <v>557</v>
      </c>
      <c r="B41" s="399"/>
      <c r="C41" s="399"/>
      <c r="D41" s="399"/>
      <c r="E41" s="399"/>
      <c r="F41" s="415" t="s">
        <v>558</v>
      </c>
      <c r="G41" s="415"/>
      <c r="H41" s="415"/>
      <c r="I41" s="415"/>
      <c r="J41" s="415"/>
      <c r="K41" s="415"/>
      <c r="L41" s="415"/>
      <c r="M41" s="415"/>
      <c r="N41" s="415"/>
      <c r="O41" s="415"/>
      <c r="P41" s="416"/>
    </row>
    <row r="42" spans="1:16" ht="95" customHeight="1" x14ac:dyDescent="0.15">
      <c r="A42" s="417">
        <v>2017</v>
      </c>
      <c r="B42" s="418"/>
      <c r="C42" s="418"/>
      <c r="D42" s="418"/>
      <c r="E42" s="418"/>
      <c r="F42" s="422" t="s">
        <v>559</v>
      </c>
      <c r="G42" s="422"/>
      <c r="H42" s="422"/>
      <c r="I42" s="422"/>
      <c r="J42" s="422"/>
      <c r="K42" s="422"/>
      <c r="L42" s="422"/>
      <c r="M42" s="422"/>
      <c r="N42" s="422"/>
      <c r="O42" s="422"/>
      <c r="P42" s="423"/>
    </row>
    <row r="43" spans="1:16" ht="17" x14ac:dyDescent="0.15">
      <c r="A43" s="398" t="s">
        <v>560</v>
      </c>
      <c r="B43" s="399"/>
      <c r="C43" s="399"/>
      <c r="D43" s="399"/>
      <c r="E43" s="399"/>
      <c r="F43" s="424" t="s">
        <v>561</v>
      </c>
      <c r="G43" s="425"/>
      <c r="H43" s="425"/>
      <c r="I43" s="425"/>
      <c r="J43" s="425"/>
      <c r="K43" s="425"/>
      <c r="L43" s="425"/>
      <c r="M43" s="425"/>
      <c r="N43" s="425"/>
      <c r="O43" s="425"/>
      <c r="P43" s="426"/>
    </row>
    <row r="44" spans="1:16" ht="64" customHeight="1" x14ac:dyDescent="0.15">
      <c r="A44" s="427">
        <v>2022</v>
      </c>
      <c r="B44" s="428"/>
      <c r="C44" s="428"/>
      <c r="D44" s="428"/>
      <c r="E44" s="429"/>
      <c r="F44" s="419" t="s">
        <v>562</v>
      </c>
      <c r="G44" s="420"/>
      <c r="H44" s="420"/>
      <c r="I44" s="420"/>
      <c r="J44" s="420"/>
      <c r="K44" s="420"/>
      <c r="L44" s="420"/>
      <c r="M44" s="420"/>
      <c r="N44" s="420"/>
      <c r="O44" s="420"/>
      <c r="P44" s="421"/>
    </row>
    <row r="45" spans="1:16" ht="17" x14ac:dyDescent="0.15">
      <c r="A45" s="398" t="s">
        <v>563</v>
      </c>
      <c r="B45" s="399"/>
      <c r="C45" s="399"/>
      <c r="D45" s="399"/>
      <c r="E45" s="399"/>
      <c r="F45" s="415" t="s">
        <v>564</v>
      </c>
      <c r="G45" s="415"/>
      <c r="H45" s="415"/>
      <c r="I45" s="415"/>
      <c r="J45" s="415"/>
      <c r="K45" s="415"/>
      <c r="L45" s="415"/>
      <c r="M45" s="415"/>
      <c r="N45" s="415"/>
      <c r="O45" s="415"/>
      <c r="P45" s="416"/>
    </row>
    <row r="46" spans="1:16" x14ac:dyDescent="0.15">
      <c r="A46" s="402"/>
      <c r="B46" s="403"/>
      <c r="C46" s="403"/>
      <c r="D46" s="403"/>
      <c r="E46" s="403"/>
      <c r="F46" s="403"/>
      <c r="G46" s="403"/>
      <c r="H46" s="403"/>
      <c r="I46" s="403"/>
      <c r="J46" s="403"/>
      <c r="K46" s="403"/>
      <c r="L46" s="403"/>
      <c r="M46" s="403"/>
      <c r="N46" s="403"/>
      <c r="O46" s="403"/>
      <c r="P46" s="404"/>
    </row>
    <row r="47" spans="1:16" x14ac:dyDescent="0.15">
      <c r="A47" s="405"/>
      <c r="B47" s="406"/>
      <c r="C47" s="406"/>
      <c r="D47" s="406"/>
      <c r="E47" s="406"/>
      <c r="F47" s="406"/>
      <c r="G47" s="406"/>
      <c r="H47" s="406"/>
      <c r="I47" s="406"/>
      <c r="J47" s="406"/>
      <c r="K47" s="406"/>
      <c r="L47" s="406"/>
      <c r="M47" s="406"/>
      <c r="N47" s="406"/>
      <c r="O47" s="406"/>
      <c r="P47" s="407"/>
    </row>
    <row r="48" spans="1:16" x14ac:dyDescent="0.15">
      <c r="A48" s="408" t="s">
        <v>565</v>
      </c>
      <c r="B48" s="409"/>
      <c r="C48" s="409"/>
      <c r="D48" s="409"/>
      <c r="E48" s="409"/>
      <c r="F48" s="409"/>
      <c r="G48" s="409"/>
      <c r="H48" s="409"/>
      <c r="I48" s="409"/>
      <c r="J48" s="409"/>
      <c r="K48" s="409"/>
      <c r="L48" s="409"/>
      <c r="M48" s="409"/>
      <c r="N48" s="409"/>
      <c r="O48" s="409"/>
      <c r="P48" s="410"/>
    </row>
    <row r="49" spans="1:16" x14ac:dyDescent="0.15">
      <c r="A49" s="408"/>
      <c r="B49" s="409"/>
      <c r="C49" s="409"/>
      <c r="D49" s="409"/>
      <c r="E49" s="409"/>
      <c r="F49" s="409"/>
      <c r="G49" s="409"/>
      <c r="H49" s="409"/>
      <c r="I49" s="409"/>
      <c r="J49" s="409"/>
      <c r="K49" s="409"/>
      <c r="L49" s="409"/>
      <c r="M49" s="409"/>
      <c r="N49" s="409"/>
      <c r="O49" s="409"/>
      <c r="P49" s="410"/>
    </row>
    <row r="50" spans="1:16" x14ac:dyDescent="0.15">
      <c r="A50" s="408"/>
      <c r="B50" s="409"/>
      <c r="C50" s="409"/>
      <c r="D50" s="409"/>
      <c r="E50" s="409"/>
      <c r="F50" s="409"/>
      <c r="G50" s="409"/>
      <c r="H50" s="409"/>
      <c r="I50" s="409"/>
      <c r="J50" s="409"/>
      <c r="K50" s="409"/>
      <c r="L50" s="409"/>
      <c r="M50" s="409"/>
      <c r="N50" s="409"/>
      <c r="O50" s="409"/>
      <c r="P50" s="410"/>
    </row>
    <row r="51" spans="1:16" x14ac:dyDescent="0.15">
      <c r="A51" s="430" t="s">
        <v>566</v>
      </c>
      <c r="B51" s="411"/>
      <c r="C51" s="411"/>
      <c r="D51" s="411"/>
      <c r="E51" s="411"/>
      <c r="F51" s="411"/>
      <c r="G51" s="411"/>
      <c r="H51" s="411"/>
      <c r="I51" s="411"/>
      <c r="J51" s="411"/>
      <c r="K51" s="411"/>
      <c r="L51" s="411"/>
      <c r="M51" s="411"/>
      <c r="N51" s="411"/>
      <c r="O51" s="411"/>
      <c r="P51" s="412"/>
    </row>
    <row r="52" spans="1:16" x14ac:dyDescent="0.15">
      <c r="A52" s="430"/>
      <c r="B52" s="411"/>
      <c r="C52" s="411"/>
      <c r="D52" s="411"/>
      <c r="E52" s="411"/>
      <c r="F52" s="411"/>
      <c r="G52" s="411"/>
      <c r="H52" s="411"/>
      <c r="I52" s="411"/>
      <c r="J52" s="411"/>
      <c r="K52" s="411"/>
      <c r="L52" s="411"/>
      <c r="M52" s="411"/>
      <c r="N52" s="411"/>
      <c r="O52" s="411"/>
      <c r="P52" s="412"/>
    </row>
    <row r="53" spans="1:16" x14ac:dyDescent="0.15">
      <c r="A53" s="430"/>
      <c r="B53" s="411"/>
      <c r="C53" s="411"/>
      <c r="D53" s="411"/>
      <c r="E53" s="411"/>
      <c r="F53" s="411"/>
      <c r="G53" s="411"/>
      <c r="H53" s="411"/>
      <c r="I53" s="411"/>
      <c r="J53" s="411"/>
      <c r="K53" s="411"/>
      <c r="L53" s="411"/>
      <c r="M53" s="411"/>
      <c r="N53" s="411"/>
      <c r="O53" s="411"/>
      <c r="P53" s="412"/>
    </row>
    <row r="54" spans="1:16" x14ac:dyDescent="0.15">
      <c r="A54" s="430"/>
      <c r="B54" s="411"/>
      <c r="C54" s="411"/>
      <c r="D54" s="411"/>
      <c r="E54" s="411"/>
      <c r="F54" s="411"/>
      <c r="G54" s="411"/>
      <c r="H54" s="411"/>
      <c r="I54" s="411"/>
      <c r="J54" s="411"/>
      <c r="K54" s="411"/>
      <c r="L54" s="411"/>
      <c r="M54" s="411"/>
      <c r="N54" s="411"/>
      <c r="O54" s="411"/>
      <c r="P54" s="412"/>
    </row>
    <row r="55" spans="1:16" x14ac:dyDescent="0.15">
      <c r="A55" s="430"/>
      <c r="B55" s="411"/>
      <c r="C55" s="411"/>
      <c r="D55" s="411"/>
      <c r="E55" s="411"/>
      <c r="F55" s="411"/>
      <c r="G55" s="411"/>
      <c r="H55" s="411"/>
      <c r="I55" s="411"/>
      <c r="J55" s="411"/>
      <c r="K55" s="411"/>
      <c r="L55" s="411"/>
      <c r="M55" s="411"/>
      <c r="N55" s="411"/>
      <c r="O55" s="411"/>
      <c r="P55" s="412"/>
    </row>
    <row r="56" spans="1:16" x14ac:dyDescent="0.15">
      <c r="A56" s="430"/>
      <c r="B56" s="411"/>
      <c r="C56" s="411"/>
      <c r="D56" s="411"/>
      <c r="E56" s="411"/>
      <c r="F56" s="411"/>
      <c r="G56" s="411"/>
      <c r="H56" s="411"/>
      <c r="I56" s="411"/>
      <c r="J56" s="411"/>
      <c r="K56" s="411"/>
      <c r="L56" s="411"/>
      <c r="M56" s="411"/>
      <c r="N56" s="411"/>
      <c r="O56" s="411"/>
      <c r="P56" s="412"/>
    </row>
    <row r="57" spans="1:16" x14ac:dyDescent="0.15">
      <c r="A57" s="430"/>
      <c r="B57" s="411"/>
      <c r="C57" s="411"/>
      <c r="D57" s="411"/>
      <c r="E57" s="411"/>
      <c r="F57" s="411"/>
      <c r="G57" s="411"/>
      <c r="H57" s="411"/>
      <c r="I57" s="411"/>
      <c r="J57" s="411"/>
      <c r="K57" s="411"/>
      <c r="L57" s="411"/>
      <c r="M57" s="411"/>
      <c r="N57" s="411"/>
      <c r="O57" s="411"/>
      <c r="P57" s="412"/>
    </row>
    <row r="58" spans="1:16" x14ac:dyDescent="0.15">
      <c r="A58" s="430"/>
      <c r="B58" s="411"/>
      <c r="C58" s="411"/>
      <c r="D58" s="411"/>
      <c r="E58" s="411"/>
      <c r="F58" s="411"/>
      <c r="G58" s="411"/>
      <c r="H58" s="411"/>
      <c r="I58" s="411"/>
      <c r="J58" s="411"/>
      <c r="K58" s="411"/>
      <c r="L58" s="411"/>
      <c r="M58" s="411"/>
      <c r="N58" s="411"/>
      <c r="O58" s="411"/>
      <c r="P58" s="412"/>
    </row>
    <row r="59" spans="1:16" ht="72" customHeight="1" x14ac:dyDescent="0.15">
      <c r="A59" s="430"/>
      <c r="B59" s="411"/>
      <c r="C59" s="411"/>
      <c r="D59" s="411"/>
      <c r="E59" s="411"/>
      <c r="F59" s="411"/>
      <c r="G59" s="411"/>
      <c r="H59" s="411"/>
      <c r="I59" s="411"/>
      <c r="J59" s="411"/>
      <c r="K59" s="411"/>
      <c r="L59" s="411"/>
      <c r="M59" s="411"/>
      <c r="N59" s="411"/>
      <c r="O59" s="411"/>
      <c r="P59" s="412"/>
    </row>
    <row r="60" spans="1:16" ht="17" x14ac:dyDescent="0.15">
      <c r="A60" s="431" t="s">
        <v>567</v>
      </c>
      <c r="B60" s="432"/>
      <c r="C60" s="432"/>
      <c r="D60" s="432"/>
      <c r="E60" s="432"/>
      <c r="F60" s="432"/>
      <c r="G60" s="432"/>
      <c r="H60" s="432"/>
      <c r="I60" s="432"/>
      <c r="J60" s="432"/>
      <c r="K60" s="432"/>
      <c r="L60" s="432"/>
      <c r="M60" s="432"/>
      <c r="N60" s="432"/>
      <c r="O60" s="432"/>
      <c r="P60" s="433"/>
    </row>
    <row r="61" spans="1:16" x14ac:dyDescent="0.15">
      <c r="A61" s="430" t="s">
        <v>568</v>
      </c>
      <c r="B61" s="411"/>
      <c r="C61" s="411"/>
      <c r="D61" s="411"/>
      <c r="E61" s="411"/>
      <c r="F61" s="434" t="s">
        <v>569</v>
      </c>
      <c r="G61" s="435"/>
      <c r="H61" s="435"/>
      <c r="I61" s="435"/>
      <c r="J61" s="435"/>
      <c r="K61" s="435"/>
      <c r="L61" s="435"/>
      <c r="M61" s="435"/>
      <c r="N61" s="435"/>
      <c r="O61" s="435"/>
      <c r="P61" s="436"/>
    </row>
    <row r="62" spans="1:16" x14ac:dyDescent="0.15">
      <c r="A62" s="430"/>
      <c r="B62" s="411"/>
      <c r="C62" s="411"/>
      <c r="D62" s="411"/>
      <c r="E62" s="411"/>
      <c r="F62" s="437"/>
      <c r="G62" s="438"/>
      <c r="H62" s="438"/>
      <c r="I62" s="438"/>
      <c r="J62" s="438"/>
      <c r="K62" s="438"/>
      <c r="L62" s="438"/>
      <c r="M62" s="438"/>
      <c r="N62" s="438"/>
      <c r="O62" s="438"/>
      <c r="P62" s="439"/>
    </row>
    <row r="63" spans="1:16" ht="35" customHeight="1" x14ac:dyDescent="0.15">
      <c r="A63" s="430"/>
      <c r="B63" s="411"/>
      <c r="C63" s="411"/>
      <c r="D63" s="411"/>
      <c r="E63" s="411"/>
      <c r="F63" s="440"/>
      <c r="G63" s="441"/>
      <c r="H63" s="441"/>
      <c r="I63" s="441"/>
      <c r="J63" s="441"/>
      <c r="K63" s="441"/>
      <c r="L63" s="441"/>
      <c r="M63" s="441"/>
      <c r="N63" s="441"/>
      <c r="O63" s="441"/>
      <c r="P63" s="442"/>
    </row>
    <row r="64" spans="1:16" x14ac:dyDescent="0.15">
      <c r="A64" s="443" t="s">
        <v>570</v>
      </c>
      <c r="B64" s="422"/>
      <c r="C64" s="422"/>
      <c r="D64" s="422"/>
      <c r="E64" s="422"/>
      <c r="F64" s="444" t="s">
        <v>571</v>
      </c>
      <c r="G64" s="445"/>
      <c r="H64" s="445"/>
      <c r="I64" s="445"/>
      <c r="J64" s="445"/>
      <c r="K64" s="445"/>
      <c r="L64" s="445"/>
      <c r="M64" s="445"/>
      <c r="N64" s="445"/>
      <c r="O64" s="445"/>
      <c r="P64" s="446"/>
    </row>
    <row r="65" spans="1:16" x14ac:dyDescent="0.15">
      <c r="A65" s="443"/>
      <c r="B65" s="422"/>
      <c r="C65" s="422"/>
      <c r="D65" s="422"/>
      <c r="E65" s="422"/>
      <c r="F65" s="447"/>
      <c r="G65" s="554"/>
      <c r="H65" s="554"/>
      <c r="I65" s="554"/>
      <c r="J65" s="554"/>
      <c r="K65" s="554"/>
      <c r="L65" s="554"/>
      <c r="M65" s="554"/>
      <c r="N65" s="554"/>
      <c r="O65" s="554"/>
      <c r="P65" s="448"/>
    </row>
    <row r="66" spans="1:16" ht="52" customHeight="1" x14ac:dyDescent="0.15">
      <c r="A66" s="443"/>
      <c r="B66" s="422"/>
      <c r="C66" s="422"/>
      <c r="D66" s="422"/>
      <c r="E66" s="422"/>
      <c r="F66" s="555"/>
      <c r="G66" s="556"/>
      <c r="H66" s="556"/>
      <c r="I66" s="556"/>
      <c r="J66" s="556"/>
      <c r="K66" s="556"/>
      <c r="L66" s="556"/>
      <c r="M66" s="556"/>
      <c r="N66" s="556"/>
      <c r="O66" s="556"/>
      <c r="P66" s="557"/>
    </row>
    <row r="67" spans="1:16" x14ac:dyDescent="0.15">
      <c r="A67" s="430" t="s">
        <v>528</v>
      </c>
      <c r="B67" s="411"/>
      <c r="C67" s="411"/>
      <c r="D67" s="411"/>
      <c r="E67" s="411"/>
      <c r="F67" s="437" t="s">
        <v>572</v>
      </c>
      <c r="G67" s="449"/>
      <c r="H67" s="449"/>
      <c r="I67" s="449"/>
      <c r="J67" s="449"/>
      <c r="K67" s="449"/>
      <c r="L67" s="449"/>
      <c r="M67" s="449"/>
      <c r="N67" s="449"/>
      <c r="O67" s="449"/>
      <c r="P67" s="450"/>
    </row>
    <row r="68" spans="1:16" x14ac:dyDescent="0.15">
      <c r="A68" s="430"/>
      <c r="B68" s="411"/>
      <c r="C68" s="411"/>
      <c r="D68" s="411"/>
      <c r="E68" s="411"/>
      <c r="F68" s="451"/>
      <c r="G68" s="449"/>
      <c r="H68" s="449"/>
      <c r="I68" s="449"/>
      <c r="J68" s="449"/>
      <c r="K68" s="449"/>
      <c r="L68" s="449"/>
      <c r="M68" s="449"/>
      <c r="N68" s="449"/>
      <c r="O68" s="449"/>
      <c r="P68" s="450"/>
    </row>
    <row r="69" spans="1:16" ht="57" customHeight="1" x14ac:dyDescent="0.15">
      <c r="A69" s="430"/>
      <c r="B69" s="411"/>
      <c r="C69" s="411"/>
      <c r="D69" s="411"/>
      <c r="E69" s="411"/>
      <c r="F69" s="451"/>
      <c r="G69" s="449"/>
      <c r="H69" s="449"/>
      <c r="I69" s="449"/>
      <c r="J69" s="449"/>
      <c r="K69" s="449"/>
      <c r="L69" s="449"/>
      <c r="M69" s="449"/>
      <c r="N69" s="449"/>
      <c r="O69" s="449"/>
      <c r="P69" s="450"/>
    </row>
    <row r="70" spans="1:16" x14ac:dyDescent="0.15">
      <c r="A70" s="443" t="s">
        <v>573</v>
      </c>
      <c r="B70" s="422"/>
      <c r="C70" s="422"/>
      <c r="D70" s="422"/>
      <c r="E70" s="419"/>
      <c r="F70" s="560" t="s">
        <v>574</v>
      </c>
      <c r="G70" s="561"/>
      <c r="H70" s="561"/>
      <c r="I70" s="561"/>
      <c r="J70" s="561"/>
      <c r="K70" s="561"/>
      <c r="L70" s="561"/>
      <c r="M70" s="561"/>
      <c r="N70" s="561"/>
      <c r="O70" s="561"/>
      <c r="P70" s="562"/>
    </row>
    <row r="71" spans="1:16" x14ac:dyDescent="0.15">
      <c r="A71" s="443"/>
      <c r="B71" s="422"/>
      <c r="C71" s="422"/>
      <c r="D71" s="422"/>
      <c r="E71" s="419"/>
      <c r="F71" s="563"/>
      <c r="G71" s="564"/>
      <c r="H71" s="564"/>
      <c r="I71" s="564"/>
      <c r="J71" s="564"/>
      <c r="K71" s="564"/>
      <c r="L71" s="564"/>
      <c r="M71" s="564"/>
      <c r="N71" s="564"/>
      <c r="O71" s="564"/>
      <c r="P71" s="565"/>
    </row>
    <row r="72" spans="1:16" ht="38" customHeight="1" x14ac:dyDescent="0.15">
      <c r="A72" s="443"/>
      <c r="B72" s="422"/>
      <c r="C72" s="422"/>
      <c r="D72" s="422"/>
      <c r="E72" s="419"/>
      <c r="F72" s="566"/>
      <c r="G72" s="567"/>
      <c r="H72" s="567"/>
      <c r="I72" s="567"/>
      <c r="J72" s="567"/>
      <c r="K72" s="567"/>
      <c r="L72" s="567"/>
      <c r="M72" s="567"/>
      <c r="N72" s="567"/>
      <c r="O72" s="567"/>
      <c r="P72" s="568"/>
    </row>
    <row r="73" spans="1:16" x14ac:dyDescent="0.15">
      <c r="A73" s="452" t="s">
        <v>575</v>
      </c>
      <c r="B73" s="435"/>
      <c r="C73" s="435"/>
      <c r="D73" s="435"/>
      <c r="E73" s="453"/>
      <c r="F73" s="558" t="s">
        <v>576</v>
      </c>
      <c r="G73" s="558"/>
      <c r="H73" s="558"/>
      <c r="I73" s="558"/>
      <c r="J73" s="558"/>
      <c r="K73" s="558"/>
      <c r="L73" s="558"/>
      <c r="M73" s="558"/>
      <c r="N73" s="558"/>
      <c r="O73" s="558"/>
      <c r="P73" s="559"/>
    </row>
    <row r="74" spans="1:16" x14ac:dyDescent="0.15">
      <c r="A74" s="454"/>
      <c r="B74" s="438"/>
      <c r="C74" s="438"/>
      <c r="D74" s="438"/>
      <c r="E74" s="455"/>
      <c r="F74" s="458"/>
      <c r="G74" s="458"/>
      <c r="H74" s="458"/>
      <c r="I74" s="458"/>
      <c r="J74" s="458"/>
      <c r="K74" s="458"/>
      <c r="L74" s="458"/>
      <c r="M74" s="458"/>
      <c r="N74" s="458"/>
      <c r="O74" s="458"/>
      <c r="P74" s="459"/>
    </row>
    <row r="75" spans="1:16" x14ac:dyDescent="0.15">
      <c r="A75" s="454"/>
      <c r="B75" s="438"/>
      <c r="C75" s="438"/>
      <c r="D75" s="438"/>
      <c r="E75" s="455"/>
      <c r="F75" s="458"/>
      <c r="G75" s="458"/>
      <c r="H75" s="458"/>
      <c r="I75" s="458"/>
      <c r="J75" s="458"/>
      <c r="K75" s="458"/>
      <c r="L75" s="458"/>
      <c r="M75" s="458"/>
      <c r="N75" s="458"/>
      <c r="O75" s="458"/>
      <c r="P75" s="459"/>
    </row>
    <row r="76" spans="1:16" x14ac:dyDescent="0.15">
      <c r="A76" s="456"/>
      <c r="B76" s="441"/>
      <c r="C76" s="441"/>
      <c r="D76" s="441"/>
      <c r="E76" s="457"/>
      <c r="F76" s="458"/>
      <c r="G76" s="458"/>
      <c r="H76" s="458"/>
      <c r="I76" s="458"/>
      <c r="J76" s="458"/>
      <c r="K76" s="458"/>
      <c r="L76" s="458"/>
      <c r="M76" s="458"/>
      <c r="N76" s="458"/>
      <c r="O76" s="458"/>
      <c r="P76" s="459"/>
    </row>
    <row r="77" spans="1:16" x14ac:dyDescent="0.15">
      <c r="A77" s="402"/>
      <c r="B77" s="403"/>
      <c r="C77" s="403"/>
      <c r="D77" s="403"/>
      <c r="E77" s="403"/>
      <c r="F77" s="403"/>
      <c r="G77" s="403"/>
      <c r="H77" s="403"/>
      <c r="I77" s="403"/>
      <c r="J77" s="403"/>
      <c r="K77" s="403"/>
      <c r="L77" s="403"/>
      <c r="M77" s="403"/>
      <c r="N77" s="403"/>
      <c r="O77" s="403"/>
      <c r="P77" s="404"/>
    </row>
    <row r="78" spans="1:16" x14ac:dyDescent="0.15">
      <c r="A78" s="405"/>
      <c r="B78" s="406"/>
      <c r="C78" s="406"/>
      <c r="D78" s="406"/>
      <c r="E78" s="406"/>
      <c r="F78" s="406"/>
      <c r="G78" s="406"/>
      <c r="H78" s="406"/>
      <c r="I78" s="406"/>
      <c r="J78" s="406"/>
      <c r="K78" s="406"/>
      <c r="L78" s="406"/>
      <c r="M78" s="406"/>
      <c r="N78" s="406"/>
      <c r="O78" s="406"/>
      <c r="P78" s="407"/>
    </row>
    <row r="79" spans="1:16" x14ac:dyDescent="0.15">
      <c r="A79" s="408" t="s">
        <v>577</v>
      </c>
      <c r="B79" s="409"/>
      <c r="C79" s="409"/>
      <c r="D79" s="409"/>
      <c r="E79" s="409"/>
      <c r="F79" s="409"/>
      <c r="G79" s="409"/>
      <c r="H79" s="409"/>
      <c r="I79" s="409"/>
      <c r="J79" s="409"/>
      <c r="K79" s="409"/>
      <c r="L79" s="409"/>
      <c r="M79" s="409"/>
      <c r="N79" s="409"/>
      <c r="O79" s="409"/>
      <c r="P79" s="410"/>
    </row>
    <row r="80" spans="1:16" x14ac:dyDescent="0.15">
      <c r="A80" s="408"/>
      <c r="B80" s="409"/>
      <c r="C80" s="409"/>
      <c r="D80" s="409"/>
      <c r="E80" s="409"/>
      <c r="F80" s="409"/>
      <c r="G80" s="409"/>
      <c r="H80" s="409"/>
      <c r="I80" s="409"/>
      <c r="J80" s="409"/>
      <c r="K80" s="409"/>
      <c r="L80" s="409"/>
      <c r="M80" s="409"/>
      <c r="N80" s="409"/>
      <c r="O80" s="409"/>
      <c r="P80" s="410"/>
    </row>
    <row r="81" spans="1:16" x14ac:dyDescent="0.15">
      <c r="A81" s="408"/>
      <c r="B81" s="409"/>
      <c r="C81" s="409"/>
      <c r="D81" s="409"/>
      <c r="E81" s="409"/>
      <c r="F81" s="409"/>
      <c r="G81" s="409"/>
      <c r="H81" s="409"/>
      <c r="I81" s="409"/>
      <c r="J81" s="409"/>
      <c r="K81" s="409"/>
      <c r="L81" s="409"/>
      <c r="M81" s="409"/>
      <c r="N81" s="409"/>
      <c r="O81" s="409"/>
      <c r="P81" s="410"/>
    </row>
    <row r="82" spans="1:16" x14ac:dyDescent="0.15">
      <c r="A82" s="478" t="s">
        <v>578</v>
      </c>
      <c r="B82" s="479"/>
      <c r="C82" s="479"/>
      <c r="D82" s="479"/>
      <c r="E82" s="479"/>
      <c r="F82" s="479"/>
      <c r="G82" s="479"/>
      <c r="H82" s="479"/>
      <c r="I82" s="479"/>
      <c r="J82" s="479"/>
      <c r="K82" s="479"/>
      <c r="L82" s="479"/>
      <c r="M82" s="479"/>
      <c r="N82" s="479"/>
      <c r="O82" s="479"/>
      <c r="P82" s="480"/>
    </row>
    <row r="83" spans="1:16" x14ac:dyDescent="0.15">
      <c r="A83" s="481"/>
      <c r="B83" s="467"/>
      <c r="C83" s="467"/>
      <c r="D83" s="467"/>
      <c r="E83" s="467"/>
      <c r="F83" s="467"/>
      <c r="G83" s="467"/>
      <c r="H83" s="467"/>
      <c r="I83" s="467"/>
      <c r="J83" s="467"/>
      <c r="K83" s="467"/>
      <c r="L83" s="467"/>
      <c r="M83" s="467"/>
      <c r="N83" s="467"/>
      <c r="O83" s="467"/>
      <c r="P83" s="482"/>
    </row>
    <row r="84" spans="1:16" x14ac:dyDescent="0.15">
      <c r="A84" s="481"/>
      <c r="B84" s="467"/>
      <c r="C84" s="467"/>
      <c r="D84" s="467"/>
      <c r="E84" s="467"/>
      <c r="F84" s="467"/>
      <c r="G84" s="467"/>
      <c r="H84" s="467"/>
      <c r="I84" s="467"/>
      <c r="J84" s="467"/>
      <c r="K84" s="467"/>
      <c r="L84" s="467"/>
      <c r="M84" s="467"/>
      <c r="N84" s="467"/>
      <c r="O84" s="467"/>
      <c r="P84" s="482"/>
    </row>
    <row r="85" spans="1:16" x14ac:dyDescent="0.15">
      <c r="A85" s="481"/>
      <c r="B85" s="467"/>
      <c r="C85" s="467"/>
      <c r="D85" s="467"/>
      <c r="E85" s="467"/>
      <c r="F85" s="467"/>
      <c r="G85" s="467"/>
      <c r="H85" s="467"/>
      <c r="I85" s="467"/>
      <c r="J85" s="467"/>
      <c r="K85" s="467"/>
      <c r="L85" s="467"/>
      <c r="M85" s="467"/>
      <c r="N85" s="467"/>
      <c r="O85" s="467"/>
      <c r="P85" s="482"/>
    </row>
    <row r="86" spans="1:16" x14ac:dyDescent="0.15">
      <c r="A86" s="481"/>
      <c r="B86" s="467"/>
      <c r="C86" s="467"/>
      <c r="D86" s="467"/>
      <c r="E86" s="467"/>
      <c r="F86" s="467"/>
      <c r="G86" s="467"/>
      <c r="H86" s="467"/>
      <c r="I86" s="467"/>
      <c r="J86" s="467"/>
      <c r="K86" s="467"/>
      <c r="L86" s="467"/>
      <c r="M86" s="467"/>
      <c r="N86" s="467"/>
      <c r="O86" s="467"/>
      <c r="P86" s="482"/>
    </row>
    <row r="87" spans="1:16" x14ac:dyDescent="0.15">
      <c r="A87" s="481"/>
      <c r="B87" s="467"/>
      <c r="C87" s="467"/>
      <c r="D87" s="467"/>
      <c r="E87" s="467"/>
      <c r="F87" s="467"/>
      <c r="G87" s="467"/>
      <c r="H87" s="467"/>
      <c r="I87" s="467"/>
      <c r="J87" s="467"/>
      <c r="K87" s="467"/>
      <c r="L87" s="467"/>
      <c r="M87" s="467"/>
      <c r="N87" s="467"/>
      <c r="O87" s="467"/>
      <c r="P87" s="482"/>
    </row>
    <row r="88" spans="1:16" x14ac:dyDescent="0.15">
      <c r="A88" s="481"/>
      <c r="B88" s="467"/>
      <c r="C88" s="467"/>
      <c r="D88" s="467"/>
      <c r="E88" s="467"/>
      <c r="F88" s="467"/>
      <c r="G88" s="467"/>
      <c r="H88" s="467"/>
      <c r="I88" s="467"/>
      <c r="J88" s="467"/>
      <c r="K88" s="467"/>
      <c r="L88" s="467"/>
      <c r="M88" s="467"/>
      <c r="N88" s="467"/>
      <c r="O88" s="467"/>
      <c r="P88" s="482"/>
    </row>
    <row r="89" spans="1:16" x14ac:dyDescent="0.15">
      <c r="A89" s="481"/>
      <c r="B89" s="467"/>
      <c r="C89" s="467"/>
      <c r="D89" s="467"/>
      <c r="E89" s="467"/>
      <c r="F89" s="467"/>
      <c r="G89" s="467"/>
      <c r="H89" s="467"/>
      <c r="I89" s="467"/>
      <c r="J89" s="467"/>
      <c r="K89" s="467"/>
      <c r="L89" s="467"/>
      <c r="M89" s="467"/>
      <c r="N89" s="467"/>
      <c r="O89" s="467"/>
      <c r="P89" s="482"/>
    </row>
    <row r="90" spans="1:16" x14ac:dyDescent="0.15">
      <c r="A90" s="481"/>
      <c r="B90" s="467"/>
      <c r="C90" s="467"/>
      <c r="D90" s="467"/>
      <c r="E90" s="467"/>
      <c r="F90" s="467"/>
      <c r="G90" s="467"/>
      <c r="H90" s="467"/>
      <c r="I90" s="467"/>
      <c r="J90" s="467"/>
      <c r="K90" s="467"/>
      <c r="L90" s="467"/>
      <c r="M90" s="467"/>
      <c r="N90" s="467"/>
      <c r="O90" s="467"/>
      <c r="P90" s="482"/>
    </row>
    <row r="91" spans="1:16" x14ac:dyDescent="0.15">
      <c r="A91" s="481"/>
      <c r="B91" s="467"/>
      <c r="C91" s="467"/>
      <c r="D91" s="467"/>
      <c r="E91" s="467"/>
      <c r="F91" s="467"/>
      <c r="G91" s="467"/>
      <c r="H91" s="467"/>
      <c r="I91" s="467"/>
      <c r="J91" s="467"/>
      <c r="K91" s="467"/>
      <c r="L91" s="467"/>
      <c r="M91" s="467"/>
      <c r="N91" s="467"/>
      <c r="O91" s="467"/>
      <c r="P91" s="482"/>
    </row>
    <row r="92" spans="1:16" x14ac:dyDescent="0.15">
      <c r="A92" s="481"/>
      <c r="B92" s="467"/>
      <c r="C92" s="467"/>
      <c r="D92" s="467"/>
      <c r="E92" s="467"/>
      <c r="F92" s="467"/>
      <c r="G92" s="467"/>
      <c r="H92" s="467"/>
      <c r="I92" s="467"/>
      <c r="J92" s="467"/>
      <c r="K92" s="467"/>
      <c r="L92" s="467"/>
      <c r="M92" s="467"/>
      <c r="N92" s="467"/>
      <c r="O92" s="467"/>
      <c r="P92" s="482"/>
    </row>
    <row r="93" spans="1:16" x14ac:dyDescent="0.15">
      <c r="A93" s="481"/>
      <c r="B93" s="467"/>
      <c r="C93" s="467"/>
      <c r="D93" s="467"/>
      <c r="E93" s="467"/>
      <c r="F93" s="467"/>
      <c r="G93" s="467"/>
      <c r="H93" s="467"/>
      <c r="I93" s="467"/>
      <c r="J93" s="467"/>
      <c r="K93" s="467"/>
      <c r="L93" s="467"/>
      <c r="M93" s="467"/>
      <c r="N93" s="467"/>
      <c r="O93" s="467"/>
      <c r="P93" s="482"/>
    </row>
    <row r="94" spans="1:16" x14ac:dyDescent="0.15">
      <c r="A94" s="481"/>
      <c r="B94" s="467"/>
      <c r="C94" s="467"/>
      <c r="D94" s="467"/>
      <c r="E94" s="467"/>
      <c r="F94" s="467"/>
      <c r="G94" s="467"/>
      <c r="H94" s="467"/>
      <c r="I94" s="467"/>
      <c r="J94" s="467"/>
      <c r="K94" s="467"/>
      <c r="L94" s="467"/>
      <c r="M94" s="467"/>
      <c r="N94" s="467"/>
      <c r="O94" s="467"/>
      <c r="P94" s="482"/>
    </row>
    <row r="95" spans="1:16" x14ac:dyDescent="0.15">
      <c r="A95" s="481"/>
      <c r="B95" s="467"/>
      <c r="C95" s="467"/>
      <c r="D95" s="467"/>
      <c r="E95" s="467"/>
      <c r="F95" s="467"/>
      <c r="G95" s="467"/>
      <c r="H95" s="467"/>
      <c r="I95" s="467"/>
      <c r="J95" s="467"/>
      <c r="K95" s="467"/>
      <c r="L95" s="467"/>
      <c r="M95" s="467"/>
      <c r="N95" s="467"/>
      <c r="O95" s="467"/>
      <c r="P95" s="482"/>
    </row>
    <row r="96" spans="1:16" x14ac:dyDescent="0.15">
      <c r="A96" s="481"/>
      <c r="B96" s="467"/>
      <c r="C96" s="467"/>
      <c r="D96" s="467"/>
      <c r="E96" s="467"/>
      <c r="F96" s="467"/>
      <c r="G96" s="467"/>
      <c r="H96" s="467"/>
      <c r="I96" s="467"/>
      <c r="J96" s="467"/>
      <c r="K96" s="467"/>
      <c r="L96" s="467"/>
      <c r="M96" s="467"/>
      <c r="N96" s="467"/>
      <c r="O96" s="467"/>
      <c r="P96" s="482"/>
    </row>
    <row r="97" spans="1:16" x14ac:dyDescent="0.15">
      <c r="A97" s="481"/>
      <c r="B97" s="467"/>
      <c r="C97" s="467"/>
      <c r="D97" s="467"/>
      <c r="E97" s="467"/>
      <c r="F97" s="467"/>
      <c r="G97" s="467"/>
      <c r="H97" s="467"/>
      <c r="I97" s="467"/>
      <c r="J97" s="467"/>
      <c r="K97" s="467"/>
      <c r="L97" s="467"/>
      <c r="M97" s="467"/>
      <c r="N97" s="467"/>
      <c r="O97" s="467"/>
      <c r="P97" s="482"/>
    </row>
    <row r="98" spans="1:16" x14ac:dyDescent="0.15">
      <c r="A98" s="481"/>
      <c r="B98" s="467"/>
      <c r="C98" s="467"/>
      <c r="D98" s="467"/>
      <c r="E98" s="467"/>
      <c r="F98" s="467"/>
      <c r="G98" s="467"/>
      <c r="H98" s="467"/>
      <c r="I98" s="467"/>
      <c r="J98" s="467"/>
      <c r="K98" s="467"/>
      <c r="L98" s="467"/>
      <c r="M98" s="467"/>
      <c r="N98" s="467"/>
      <c r="O98" s="467"/>
      <c r="P98" s="482"/>
    </row>
    <row r="99" spans="1:16" x14ac:dyDescent="0.15">
      <c r="A99" s="481"/>
      <c r="B99" s="467"/>
      <c r="C99" s="467"/>
      <c r="D99" s="467"/>
      <c r="E99" s="467"/>
      <c r="F99" s="467"/>
      <c r="G99" s="467"/>
      <c r="H99" s="467"/>
      <c r="I99" s="467"/>
      <c r="J99" s="467"/>
      <c r="K99" s="467"/>
      <c r="L99" s="467"/>
      <c r="M99" s="467"/>
      <c r="N99" s="467"/>
      <c r="O99" s="467"/>
      <c r="P99" s="482"/>
    </row>
    <row r="100" spans="1:16" x14ac:dyDescent="0.15">
      <c r="A100" s="481"/>
      <c r="B100" s="467"/>
      <c r="C100" s="467"/>
      <c r="D100" s="467"/>
      <c r="E100" s="467"/>
      <c r="F100" s="467"/>
      <c r="G100" s="467"/>
      <c r="H100" s="467"/>
      <c r="I100" s="467"/>
      <c r="J100" s="467"/>
      <c r="K100" s="467"/>
      <c r="L100" s="467"/>
      <c r="M100" s="467"/>
      <c r="N100" s="467"/>
      <c r="O100" s="467"/>
      <c r="P100" s="482"/>
    </row>
    <row r="101" spans="1:16" x14ac:dyDescent="0.15">
      <c r="A101" s="405"/>
      <c r="B101" s="406"/>
      <c r="C101" s="406"/>
      <c r="D101" s="406"/>
      <c r="E101" s="406"/>
      <c r="F101" s="406"/>
      <c r="G101" s="406"/>
      <c r="H101" s="406"/>
      <c r="I101" s="406"/>
      <c r="J101" s="406"/>
      <c r="K101" s="406"/>
      <c r="L101" s="406"/>
      <c r="M101" s="406"/>
      <c r="N101" s="406"/>
      <c r="O101" s="406"/>
      <c r="P101" s="407"/>
    </row>
    <row r="102" spans="1:16" x14ac:dyDescent="0.15">
      <c r="A102" s="405"/>
      <c r="B102" s="406"/>
      <c r="C102" s="406"/>
      <c r="D102" s="406"/>
      <c r="E102" s="406"/>
      <c r="F102" s="406"/>
      <c r="G102" s="406"/>
      <c r="H102" s="406"/>
      <c r="I102" s="406"/>
      <c r="J102" s="406"/>
      <c r="K102" s="406"/>
      <c r="L102" s="406"/>
      <c r="M102" s="406"/>
      <c r="N102" s="406"/>
      <c r="O102" s="406"/>
      <c r="P102" s="407"/>
    </row>
    <row r="103" spans="1:16" x14ac:dyDescent="0.15">
      <c r="A103" s="408" t="s">
        <v>579</v>
      </c>
      <c r="B103" s="409"/>
      <c r="C103" s="409"/>
      <c r="D103" s="409"/>
      <c r="E103" s="409"/>
      <c r="F103" s="409"/>
      <c r="G103" s="409"/>
      <c r="H103" s="409"/>
      <c r="I103" s="409"/>
      <c r="J103" s="409"/>
      <c r="K103" s="409"/>
      <c r="L103" s="409"/>
      <c r="M103" s="409"/>
      <c r="N103" s="409"/>
      <c r="O103" s="409"/>
      <c r="P103" s="410"/>
    </row>
    <row r="104" spans="1:16" x14ac:dyDescent="0.15">
      <c r="A104" s="408"/>
      <c r="B104" s="409"/>
      <c r="C104" s="409"/>
      <c r="D104" s="409"/>
      <c r="E104" s="409"/>
      <c r="F104" s="409"/>
      <c r="G104" s="409"/>
      <c r="H104" s="409"/>
      <c r="I104" s="409"/>
      <c r="J104" s="409"/>
      <c r="K104" s="409"/>
      <c r="L104" s="409"/>
      <c r="M104" s="409"/>
      <c r="N104" s="409"/>
      <c r="O104" s="409"/>
      <c r="P104" s="410"/>
    </row>
    <row r="105" spans="1:16" x14ac:dyDescent="0.15">
      <c r="A105" s="408"/>
      <c r="B105" s="409"/>
      <c r="C105" s="409"/>
      <c r="D105" s="409"/>
      <c r="E105" s="409"/>
      <c r="F105" s="409"/>
      <c r="G105" s="409"/>
      <c r="H105" s="409"/>
      <c r="I105" s="409"/>
      <c r="J105" s="409"/>
      <c r="K105" s="409"/>
      <c r="L105" s="409"/>
      <c r="M105" s="409"/>
      <c r="N105" s="409"/>
      <c r="O105" s="409"/>
      <c r="P105" s="410"/>
    </row>
    <row r="106" spans="1:16" ht="18" x14ac:dyDescent="0.15">
      <c r="A106" s="483" t="s">
        <v>579</v>
      </c>
      <c r="B106" s="484"/>
      <c r="C106" s="484"/>
      <c r="D106" s="484"/>
      <c r="E106" s="485"/>
      <c r="F106" s="463" t="s">
        <v>580</v>
      </c>
      <c r="G106" s="464"/>
      <c r="H106" s="464"/>
      <c r="I106" s="464"/>
      <c r="J106" s="464"/>
      <c r="K106" s="465"/>
      <c r="L106" s="463" t="s">
        <v>581</v>
      </c>
      <c r="M106" s="464"/>
      <c r="N106" s="464"/>
      <c r="O106" s="464"/>
      <c r="P106" s="492"/>
    </row>
    <row r="107" spans="1:16" x14ac:dyDescent="0.15">
      <c r="A107" s="486"/>
      <c r="B107" s="487"/>
      <c r="C107" s="487"/>
      <c r="D107" s="487"/>
      <c r="E107" s="488"/>
      <c r="F107" s="493" t="s">
        <v>582</v>
      </c>
      <c r="G107" s="479"/>
      <c r="H107" s="479"/>
      <c r="I107" s="479"/>
      <c r="J107" s="479"/>
      <c r="K107" s="494"/>
      <c r="L107" s="493" t="s">
        <v>583</v>
      </c>
      <c r="M107" s="479"/>
      <c r="N107" s="479"/>
      <c r="O107" s="479"/>
      <c r="P107" s="480"/>
    </row>
    <row r="108" spans="1:16" x14ac:dyDescent="0.15">
      <c r="A108" s="486"/>
      <c r="B108" s="487"/>
      <c r="C108" s="487"/>
      <c r="D108" s="487"/>
      <c r="E108" s="488"/>
      <c r="F108" s="466"/>
      <c r="G108" s="467"/>
      <c r="H108" s="467"/>
      <c r="I108" s="467"/>
      <c r="J108" s="467"/>
      <c r="K108" s="468"/>
      <c r="L108" s="466"/>
      <c r="M108" s="467"/>
      <c r="N108" s="467"/>
      <c r="O108" s="467"/>
      <c r="P108" s="482"/>
    </row>
    <row r="109" spans="1:16" x14ac:dyDescent="0.15">
      <c r="A109" s="486"/>
      <c r="B109" s="487"/>
      <c r="C109" s="487"/>
      <c r="D109" s="487"/>
      <c r="E109" s="488"/>
      <c r="F109" s="466"/>
      <c r="G109" s="467"/>
      <c r="H109" s="467"/>
      <c r="I109" s="467"/>
      <c r="J109" s="467"/>
      <c r="K109" s="468"/>
      <c r="L109" s="466"/>
      <c r="M109" s="467"/>
      <c r="N109" s="467"/>
      <c r="O109" s="467"/>
      <c r="P109" s="482"/>
    </row>
    <row r="110" spans="1:16" x14ac:dyDescent="0.15">
      <c r="A110" s="486"/>
      <c r="B110" s="487"/>
      <c r="C110" s="487"/>
      <c r="D110" s="487"/>
      <c r="E110" s="488"/>
      <c r="F110" s="466"/>
      <c r="G110" s="467"/>
      <c r="H110" s="467"/>
      <c r="I110" s="467"/>
      <c r="J110" s="467"/>
      <c r="K110" s="468"/>
      <c r="L110" s="466"/>
      <c r="M110" s="467"/>
      <c r="N110" s="467"/>
      <c r="O110" s="467"/>
      <c r="P110" s="482"/>
    </row>
    <row r="111" spans="1:16" x14ac:dyDescent="0.15">
      <c r="A111" s="486"/>
      <c r="B111" s="487"/>
      <c r="C111" s="487"/>
      <c r="D111" s="487"/>
      <c r="E111" s="488"/>
      <c r="F111" s="466"/>
      <c r="G111" s="467"/>
      <c r="H111" s="467"/>
      <c r="I111" s="467"/>
      <c r="J111" s="467"/>
      <c r="K111" s="468"/>
      <c r="L111" s="466"/>
      <c r="M111" s="467"/>
      <c r="N111" s="467"/>
      <c r="O111" s="467"/>
      <c r="P111" s="482"/>
    </row>
    <row r="112" spans="1:16" x14ac:dyDescent="0.15">
      <c r="A112" s="486"/>
      <c r="B112" s="487"/>
      <c r="C112" s="487"/>
      <c r="D112" s="487"/>
      <c r="E112" s="488"/>
      <c r="F112" s="466"/>
      <c r="G112" s="467"/>
      <c r="H112" s="467"/>
      <c r="I112" s="467"/>
      <c r="J112" s="467"/>
      <c r="K112" s="468"/>
      <c r="L112" s="466"/>
      <c r="M112" s="467"/>
      <c r="N112" s="467"/>
      <c r="O112" s="467"/>
      <c r="P112" s="482"/>
    </row>
    <row r="113" spans="1:16" x14ac:dyDescent="0.15">
      <c r="A113" s="486"/>
      <c r="B113" s="487"/>
      <c r="C113" s="487"/>
      <c r="D113" s="487"/>
      <c r="E113" s="488"/>
      <c r="F113" s="466"/>
      <c r="G113" s="467"/>
      <c r="H113" s="467"/>
      <c r="I113" s="467"/>
      <c r="J113" s="467"/>
      <c r="K113" s="468"/>
      <c r="L113" s="466"/>
      <c r="M113" s="467"/>
      <c r="N113" s="467"/>
      <c r="O113" s="467"/>
      <c r="P113" s="482"/>
    </row>
    <row r="114" spans="1:16" ht="45" customHeight="1" x14ac:dyDescent="0.15">
      <c r="A114" s="486"/>
      <c r="B114" s="487"/>
      <c r="C114" s="487"/>
      <c r="D114" s="487"/>
      <c r="E114" s="488"/>
      <c r="F114" s="466"/>
      <c r="G114" s="467"/>
      <c r="H114" s="467"/>
      <c r="I114" s="467"/>
      <c r="J114" s="467"/>
      <c r="K114" s="468"/>
      <c r="L114" s="466"/>
      <c r="M114" s="467"/>
      <c r="N114" s="467"/>
      <c r="O114" s="467"/>
      <c r="P114" s="482"/>
    </row>
    <row r="115" spans="1:16" ht="18" x14ac:dyDescent="0.15">
      <c r="A115" s="486"/>
      <c r="B115" s="487"/>
      <c r="C115" s="487"/>
      <c r="D115" s="487"/>
      <c r="E115" s="487"/>
      <c r="F115" s="460" t="s">
        <v>584</v>
      </c>
      <c r="G115" s="461"/>
      <c r="H115" s="461"/>
      <c r="I115" s="461"/>
      <c r="J115" s="461"/>
      <c r="K115" s="462"/>
      <c r="L115" s="463" t="s">
        <v>585</v>
      </c>
      <c r="M115" s="464"/>
      <c r="N115" s="464"/>
      <c r="O115" s="464"/>
      <c r="P115" s="465"/>
    </row>
    <row r="116" spans="1:16" x14ac:dyDescent="0.15">
      <c r="A116" s="486"/>
      <c r="B116" s="487"/>
      <c r="C116" s="487"/>
      <c r="D116" s="487"/>
      <c r="E116" s="488"/>
      <c r="F116" s="466" t="s">
        <v>586</v>
      </c>
      <c r="G116" s="467"/>
      <c r="H116" s="467"/>
      <c r="I116" s="467"/>
      <c r="J116" s="467"/>
      <c r="K116" s="468"/>
      <c r="L116" s="466" t="s">
        <v>587</v>
      </c>
      <c r="M116" s="472"/>
      <c r="N116" s="472"/>
      <c r="O116" s="472"/>
      <c r="P116" s="473"/>
    </row>
    <row r="117" spans="1:16" x14ac:dyDescent="0.15">
      <c r="A117" s="486"/>
      <c r="B117" s="487"/>
      <c r="C117" s="487"/>
      <c r="D117" s="487"/>
      <c r="E117" s="488"/>
      <c r="F117" s="466"/>
      <c r="G117" s="467"/>
      <c r="H117" s="467"/>
      <c r="I117" s="467"/>
      <c r="J117" s="467"/>
      <c r="K117" s="468"/>
      <c r="L117" s="474"/>
      <c r="M117" s="472"/>
      <c r="N117" s="472"/>
      <c r="O117" s="472"/>
      <c r="P117" s="473"/>
    </row>
    <row r="118" spans="1:16" x14ac:dyDescent="0.15">
      <c r="A118" s="486"/>
      <c r="B118" s="487"/>
      <c r="C118" s="487"/>
      <c r="D118" s="487"/>
      <c r="E118" s="488"/>
      <c r="F118" s="466"/>
      <c r="G118" s="467"/>
      <c r="H118" s="467"/>
      <c r="I118" s="467"/>
      <c r="J118" s="467"/>
      <c r="K118" s="468"/>
      <c r="L118" s="474"/>
      <c r="M118" s="472"/>
      <c r="N118" s="472"/>
      <c r="O118" s="472"/>
      <c r="P118" s="473"/>
    </row>
    <row r="119" spans="1:16" x14ac:dyDescent="0.15">
      <c r="A119" s="486"/>
      <c r="B119" s="487"/>
      <c r="C119" s="487"/>
      <c r="D119" s="487"/>
      <c r="E119" s="488"/>
      <c r="F119" s="466"/>
      <c r="G119" s="467"/>
      <c r="H119" s="467"/>
      <c r="I119" s="467"/>
      <c r="J119" s="467"/>
      <c r="K119" s="468"/>
      <c r="L119" s="474"/>
      <c r="M119" s="472"/>
      <c r="N119" s="472"/>
      <c r="O119" s="472"/>
      <c r="P119" s="473"/>
    </row>
    <row r="120" spans="1:16" x14ac:dyDescent="0.15">
      <c r="A120" s="486"/>
      <c r="B120" s="487"/>
      <c r="C120" s="487"/>
      <c r="D120" s="487"/>
      <c r="E120" s="488"/>
      <c r="F120" s="466"/>
      <c r="G120" s="467"/>
      <c r="H120" s="467"/>
      <c r="I120" s="467"/>
      <c r="J120" s="467"/>
      <c r="K120" s="468"/>
      <c r="L120" s="474"/>
      <c r="M120" s="472"/>
      <c r="N120" s="472"/>
      <c r="O120" s="472"/>
      <c r="P120" s="473"/>
    </row>
    <row r="121" spans="1:16" x14ac:dyDescent="0.15">
      <c r="A121" s="486"/>
      <c r="B121" s="487"/>
      <c r="C121" s="487"/>
      <c r="D121" s="487"/>
      <c r="E121" s="488"/>
      <c r="F121" s="466"/>
      <c r="G121" s="467"/>
      <c r="H121" s="467"/>
      <c r="I121" s="467"/>
      <c r="J121" s="467"/>
      <c r="K121" s="468"/>
      <c r="L121" s="474"/>
      <c r="M121" s="472"/>
      <c r="N121" s="472"/>
      <c r="O121" s="472"/>
      <c r="P121" s="473"/>
    </row>
    <row r="122" spans="1:16" x14ac:dyDescent="0.15">
      <c r="A122" s="486"/>
      <c r="B122" s="487"/>
      <c r="C122" s="487"/>
      <c r="D122" s="487"/>
      <c r="E122" s="488"/>
      <c r="F122" s="466"/>
      <c r="G122" s="467"/>
      <c r="H122" s="467"/>
      <c r="I122" s="467"/>
      <c r="J122" s="467"/>
      <c r="K122" s="468"/>
      <c r="L122" s="474"/>
      <c r="M122" s="472"/>
      <c r="N122" s="472"/>
      <c r="O122" s="472"/>
      <c r="P122" s="473"/>
    </row>
    <row r="123" spans="1:16" x14ac:dyDescent="0.15">
      <c r="A123" s="486"/>
      <c r="B123" s="487"/>
      <c r="C123" s="487"/>
      <c r="D123" s="487"/>
      <c r="E123" s="488"/>
      <c r="F123" s="466"/>
      <c r="G123" s="467"/>
      <c r="H123" s="467"/>
      <c r="I123" s="467"/>
      <c r="J123" s="467"/>
      <c r="K123" s="468"/>
      <c r="L123" s="474"/>
      <c r="M123" s="472"/>
      <c r="N123" s="472"/>
      <c r="O123" s="472"/>
      <c r="P123" s="473"/>
    </row>
    <row r="124" spans="1:16" x14ac:dyDescent="0.15">
      <c r="A124" s="486"/>
      <c r="B124" s="487"/>
      <c r="C124" s="487"/>
      <c r="D124" s="487"/>
      <c r="E124" s="488"/>
      <c r="F124" s="466"/>
      <c r="G124" s="467"/>
      <c r="H124" s="467"/>
      <c r="I124" s="467"/>
      <c r="J124" s="467"/>
      <c r="K124" s="468"/>
      <c r="L124" s="474"/>
      <c r="M124" s="472"/>
      <c r="N124" s="472"/>
      <c r="O124" s="472"/>
      <c r="P124" s="473"/>
    </row>
    <row r="125" spans="1:16" ht="15" thickBot="1" x14ac:dyDescent="0.2">
      <c r="A125" s="489"/>
      <c r="B125" s="490"/>
      <c r="C125" s="490"/>
      <c r="D125" s="490"/>
      <c r="E125" s="491"/>
      <c r="F125" s="469"/>
      <c r="G125" s="470"/>
      <c r="H125" s="470"/>
      <c r="I125" s="470"/>
      <c r="J125" s="470"/>
      <c r="K125" s="471"/>
      <c r="L125" s="475"/>
      <c r="M125" s="476"/>
      <c r="N125" s="476"/>
      <c r="O125" s="476"/>
      <c r="P125" s="477"/>
    </row>
  </sheetData>
  <mergeCells count="89">
    <mergeCell ref="F115:K115"/>
    <mergeCell ref="L115:P115"/>
    <mergeCell ref="F116:K125"/>
    <mergeCell ref="L116:P125"/>
    <mergeCell ref="A77:P78"/>
    <mergeCell ref="A79:P81"/>
    <mergeCell ref="A82:P100"/>
    <mergeCell ref="A101:P102"/>
    <mergeCell ref="A103:P105"/>
    <mergeCell ref="A106:E125"/>
    <mergeCell ref="F106:K106"/>
    <mergeCell ref="L106:P106"/>
    <mergeCell ref="F107:K114"/>
    <mergeCell ref="L107:P114"/>
    <mergeCell ref="A67:E69"/>
    <mergeCell ref="F67:P69"/>
    <mergeCell ref="A70:E72"/>
    <mergeCell ref="F70:P72"/>
    <mergeCell ref="A73:E76"/>
    <mergeCell ref="F73:P76"/>
    <mergeCell ref="A51:P59"/>
    <mergeCell ref="A60:P60"/>
    <mergeCell ref="A61:E63"/>
    <mergeCell ref="F61:P63"/>
    <mergeCell ref="A64:E66"/>
    <mergeCell ref="F64:P66"/>
    <mergeCell ref="A48:P50"/>
    <mergeCell ref="A41:E41"/>
    <mergeCell ref="F41:P41"/>
    <mergeCell ref="A42:E42"/>
    <mergeCell ref="F42:P42"/>
    <mergeCell ref="A43:E43"/>
    <mergeCell ref="F43:P43"/>
    <mergeCell ref="A44:E44"/>
    <mergeCell ref="F44:P44"/>
    <mergeCell ref="A45:E45"/>
    <mergeCell ref="F45:P45"/>
    <mergeCell ref="A46:P47"/>
    <mergeCell ref="A38:E38"/>
    <mergeCell ref="F38:P38"/>
    <mergeCell ref="A39:E39"/>
    <mergeCell ref="F39:P39"/>
    <mergeCell ref="A40:E40"/>
    <mergeCell ref="F40:P40"/>
    <mergeCell ref="A31:E31"/>
    <mergeCell ref="F31:P31"/>
    <mergeCell ref="A32:P33"/>
    <mergeCell ref="A34:P36"/>
    <mergeCell ref="A37:E37"/>
    <mergeCell ref="F37:P37"/>
    <mergeCell ref="A28:E28"/>
    <mergeCell ref="F28:P28"/>
    <mergeCell ref="A29:E29"/>
    <mergeCell ref="F29:P29"/>
    <mergeCell ref="A30:E30"/>
    <mergeCell ref="F30:P30"/>
    <mergeCell ref="A21:P22"/>
    <mergeCell ref="A23:P25"/>
    <mergeCell ref="A26:E26"/>
    <mergeCell ref="F26:P26"/>
    <mergeCell ref="A27:E27"/>
    <mergeCell ref="F27:P27"/>
    <mergeCell ref="A18:E18"/>
    <mergeCell ref="F18:P18"/>
    <mergeCell ref="A19:E19"/>
    <mergeCell ref="F19:P19"/>
    <mergeCell ref="A20:E20"/>
    <mergeCell ref="F20:P20"/>
    <mergeCell ref="A12:E12"/>
    <mergeCell ref="F12:P12"/>
    <mergeCell ref="A13:E17"/>
    <mergeCell ref="F13:P13"/>
    <mergeCell ref="F14:P14"/>
    <mergeCell ref="F15:P15"/>
    <mergeCell ref="F16:P16"/>
    <mergeCell ref="F17:P17"/>
    <mergeCell ref="A9:E9"/>
    <mergeCell ref="F9:P9"/>
    <mergeCell ref="A10:E10"/>
    <mergeCell ref="F10:P10"/>
    <mergeCell ref="A11:E11"/>
    <mergeCell ref="F11:P11"/>
    <mergeCell ref="A8:E8"/>
    <mergeCell ref="F8:P8"/>
    <mergeCell ref="A1:P5"/>
    <mergeCell ref="A6:E6"/>
    <mergeCell ref="F6:P6"/>
    <mergeCell ref="A7:E7"/>
    <mergeCell ref="F7:P7"/>
  </mergeCells>
  <hyperlinks>
    <hyperlink ref="F20:P20" r:id="rId1" display="http://www.hoaphat.com.vn/" xr:uid="{112ED78E-8A99-5A4F-BEAD-5EE4D0E7D783}"/>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CA2B2-7561-6D43-8510-E90A4ADC4107}">
  <dimension ref="A1:AC63"/>
  <sheetViews>
    <sheetView topLeftCell="S52" zoomScaleNormal="100" workbookViewId="0">
      <selection activeCell="G2" sqref="G2"/>
    </sheetView>
  </sheetViews>
  <sheetFormatPr baseColWidth="10" defaultRowHeight="14" x14ac:dyDescent="0.15"/>
  <cols>
    <col min="1" max="1" width="42.83203125" customWidth="1"/>
    <col min="2" max="2" width="17" customWidth="1"/>
    <col min="3" max="3" width="15" customWidth="1"/>
    <col min="4" max="4" width="16.1640625" customWidth="1"/>
    <col min="5" max="6" width="16" customWidth="1"/>
    <col min="7" max="7" width="25" customWidth="1"/>
    <col min="8" max="8" width="23.1640625" customWidth="1"/>
    <col min="9" max="9" width="25.1640625" customWidth="1"/>
    <col min="10" max="10" width="23.5" customWidth="1"/>
    <col min="11" max="11" width="19" customWidth="1"/>
    <col min="12" max="12" width="20.5" bestFit="1" customWidth="1"/>
    <col min="15" max="15" width="30.5" customWidth="1"/>
    <col min="16" max="16" width="21" customWidth="1"/>
    <col min="17" max="17" width="17.83203125" customWidth="1"/>
    <col min="18" max="18" width="19.6640625" customWidth="1"/>
    <col min="20" max="20" width="32" bestFit="1" customWidth="1"/>
    <col min="21" max="21" width="23" bestFit="1" customWidth="1"/>
    <col min="22" max="22" width="18.1640625" bestFit="1" customWidth="1"/>
    <col min="23" max="23" width="23.1640625" customWidth="1"/>
    <col min="24" max="24" width="11.6640625" bestFit="1" customWidth="1"/>
    <col min="25" max="25" width="20.1640625" bestFit="1" customWidth="1"/>
    <col min="26" max="26" width="31.83203125" bestFit="1" customWidth="1"/>
    <col min="27" max="27" width="22.1640625" customWidth="1"/>
    <col min="28" max="28" width="21.33203125" customWidth="1"/>
    <col min="29" max="29" width="39.33203125" customWidth="1"/>
  </cols>
  <sheetData>
    <row r="1" spans="1:27" ht="16" x14ac:dyDescent="0.15">
      <c r="A1" s="2" t="s">
        <v>0</v>
      </c>
      <c r="B1" s="3" t="s">
        <v>116</v>
      </c>
      <c r="C1" s="4"/>
      <c r="D1" s="5"/>
      <c r="E1" s="5"/>
      <c r="F1" s="5"/>
      <c r="G1" s="5"/>
      <c r="H1" s="5"/>
      <c r="I1" s="5"/>
      <c r="J1" s="5"/>
      <c r="K1" s="5"/>
    </row>
    <row r="2" spans="1:27" ht="16" x14ac:dyDescent="0.15">
      <c r="A2" s="2" t="s">
        <v>2</v>
      </c>
      <c r="B2" s="6">
        <v>45253.554639513903</v>
      </c>
      <c r="C2" s="5"/>
      <c r="D2" s="5"/>
      <c r="E2" s="5"/>
      <c r="F2" s="5"/>
      <c r="G2" s="5"/>
      <c r="H2" s="5"/>
      <c r="I2" s="5"/>
      <c r="J2" s="5"/>
      <c r="K2" s="5"/>
      <c r="T2" t="s">
        <v>182</v>
      </c>
      <c r="U2" t="s">
        <v>223</v>
      </c>
      <c r="V2" t="s">
        <v>224</v>
      </c>
    </row>
    <row r="3" spans="1:27" x14ac:dyDescent="0.15">
      <c r="A3" s="5"/>
      <c r="B3" s="5"/>
      <c r="C3" s="5"/>
      <c r="D3" s="5"/>
      <c r="E3" s="5"/>
      <c r="F3" s="5"/>
      <c r="G3" s="5"/>
      <c r="H3" s="5"/>
      <c r="I3" s="5"/>
      <c r="J3" s="5"/>
      <c r="K3" s="5"/>
      <c r="T3">
        <v>2020</v>
      </c>
      <c r="U3" t="s">
        <v>216</v>
      </c>
      <c r="V3">
        <v>4.5</v>
      </c>
      <c r="Y3" s="31">
        <v>5645782700</v>
      </c>
      <c r="Z3" s="31">
        <v>-16289426156</v>
      </c>
      <c r="AA3" s="31">
        <v>-20220879167</v>
      </c>
    </row>
    <row r="4" spans="1:27" x14ac:dyDescent="0.15">
      <c r="A4" s="168"/>
      <c r="B4" s="168">
        <v>2013</v>
      </c>
      <c r="C4" s="168" t="s">
        <v>206</v>
      </c>
      <c r="D4" s="168" t="s">
        <v>207</v>
      </c>
      <c r="E4" s="168" t="s">
        <v>208</v>
      </c>
      <c r="F4" s="168" t="s">
        <v>209</v>
      </c>
      <c r="G4" s="168" t="s">
        <v>210</v>
      </c>
      <c r="H4" s="168" t="s">
        <v>211</v>
      </c>
      <c r="I4" s="168" t="s">
        <v>4</v>
      </c>
      <c r="J4" s="168" t="s">
        <v>5</v>
      </c>
      <c r="K4" s="168" t="s">
        <v>6</v>
      </c>
      <c r="T4">
        <v>2020</v>
      </c>
      <c r="U4" t="s">
        <v>215</v>
      </c>
      <c r="V4">
        <v>11.6</v>
      </c>
      <c r="Y4" s="16">
        <v>5.0000000000000001E-3</v>
      </c>
      <c r="Z4" s="16">
        <v>-1.6E-2</v>
      </c>
      <c r="AA4" s="16">
        <v>-0.02</v>
      </c>
    </row>
    <row r="5" spans="1:27" x14ac:dyDescent="0.15">
      <c r="A5" s="169" t="s">
        <v>117</v>
      </c>
      <c r="B5" s="169">
        <v>3233832714220</v>
      </c>
      <c r="C5" s="169">
        <v>2762273318349</v>
      </c>
      <c r="D5" s="169">
        <v>4542949540971</v>
      </c>
      <c r="E5" s="169">
        <v>6818719926848</v>
      </c>
      <c r="F5" s="169">
        <v>6058322352370</v>
      </c>
      <c r="G5" s="169">
        <v>7642344150731</v>
      </c>
      <c r="H5" s="169">
        <v>7715168694116</v>
      </c>
      <c r="I5" s="169">
        <v>11587249912974</v>
      </c>
      <c r="J5" s="169">
        <v>26720913303108</v>
      </c>
      <c r="K5" s="169">
        <v>12277636676507</v>
      </c>
      <c r="L5" s="53"/>
      <c r="T5">
        <v>2020</v>
      </c>
      <c r="U5" t="s">
        <v>217</v>
      </c>
      <c r="V5">
        <v>-18.5</v>
      </c>
      <c r="Y5" s="16"/>
      <c r="Z5" s="16"/>
      <c r="AA5" s="16"/>
    </row>
    <row r="6" spans="1:27" x14ac:dyDescent="0.15">
      <c r="A6" s="18" t="s">
        <v>118</v>
      </c>
      <c r="B6" s="17">
        <v>3382756788189</v>
      </c>
      <c r="C6" s="17">
        <v>5743142484326</v>
      </c>
      <c r="D6" s="17">
        <v>5811010811952</v>
      </c>
      <c r="E6" s="17">
        <v>9421546042999</v>
      </c>
      <c r="F6" s="17">
        <v>11657000558337</v>
      </c>
      <c r="G6" s="17">
        <v>12740513971484</v>
      </c>
      <c r="H6" s="17">
        <v>12358830621790</v>
      </c>
      <c r="I6" s="17">
        <v>21932338018863</v>
      </c>
      <c r="J6" s="17">
        <v>44209139034907</v>
      </c>
      <c r="K6" s="17">
        <v>19291327380767</v>
      </c>
      <c r="T6">
        <v>2020</v>
      </c>
      <c r="U6" t="s">
        <v>218</v>
      </c>
      <c r="V6">
        <v>16.100000000000001</v>
      </c>
    </row>
    <row r="7" spans="1:27" x14ac:dyDescent="0.15">
      <c r="A7" s="19" t="s">
        <v>119</v>
      </c>
      <c r="B7" s="17">
        <v>2394404194432</v>
      </c>
      <c r="C7" s="17">
        <v>3769520728432</v>
      </c>
      <c r="D7" s="17">
        <v>3989828664796</v>
      </c>
      <c r="E7" s="17">
        <v>7701823953675</v>
      </c>
      <c r="F7" s="17">
        <v>9288369742697</v>
      </c>
      <c r="G7" s="17">
        <v>10071072872302</v>
      </c>
      <c r="H7" s="17">
        <v>9096662123386</v>
      </c>
      <c r="I7" s="17">
        <v>15356966791701</v>
      </c>
      <c r="J7" s="17">
        <v>37056777714190</v>
      </c>
      <c r="K7" s="17">
        <v>9922941127284</v>
      </c>
      <c r="T7">
        <v>2020</v>
      </c>
      <c r="U7" t="s">
        <v>219</v>
      </c>
      <c r="V7">
        <v>13.7</v>
      </c>
    </row>
    <row r="8" spans="1:27" ht="15" customHeight="1" x14ac:dyDescent="0.15">
      <c r="A8" s="71" t="s">
        <v>120</v>
      </c>
      <c r="B8" s="72">
        <v>720195566311</v>
      </c>
      <c r="C8" s="72">
        <v>1109518432670</v>
      </c>
      <c r="D8" s="72">
        <v>1281591263404</v>
      </c>
      <c r="E8" s="72">
        <v>1674325806175</v>
      </c>
      <c r="F8" s="72">
        <v>2004656709264</v>
      </c>
      <c r="G8" s="72">
        <v>2259594298268</v>
      </c>
      <c r="H8" s="72">
        <v>2566183420309</v>
      </c>
      <c r="I8" s="72">
        <v>4775781721269</v>
      </c>
      <c r="J8" s="72">
        <v>6076516295417</v>
      </c>
      <c r="K8" s="72">
        <v>6772140896950</v>
      </c>
      <c r="T8">
        <v>2021</v>
      </c>
      <c r="U8" t="s">
        <v>216</v>
      </c>
      <c r="V8">
        <v>13.7</v>
      </c>
    </row>
    <row r="9" spans="1:27" x14ac:dyDescent="0.15">
      <c r="A9" s="19" t="s">
        <v>121</v>
      </c>
      <c r="B9" s="17">
        <v>275023878726</v>
      </c>
      <c r="C9" s="17">
        <v>244886781601</v>
      </c>
      <c r="D9" s="17">
        <v>290990807284</v>
      </c>
      <c r="E9" s="17">
        <v>0</v>
      </c>
      <c r="F9" s="17">
        <v>0</v>
      </c>
      <c r="G9" s="17">
        <v>26051152720</v>
      </c>
      <c r="H9" s="17">
        <v>27049152720</v>
      </c>
      <c r="I9" s="17">
        <v>18075220852</v>
      </c>
      <c r="J9" s="17">
        <v>5988000000</v>
      </c>
      <c r="K9" s="17">
        <v>0</v>
      </c>
      <c r="T9">
        <v>2021</v>
      </c>
      <c r="U9" t="s">
        <v>215</v>
      </c>
      <c r="V9">
        <v>26.7</v>
      </c>
    </row>
    <row r="10" spans="1:27" x14ac:dyDescent="0.15">
      <c r="A10" s="19" t="s">
        <v>122</v>
      </c>
      <c r="B10" s="17">
        <v>-147647242587</v>
      </c>
      <c r="C10" s="17">
        <v>209663586663</v>
      </c>
      <c r="D10" s="17">
        <v>65304349717</v>
      </c>
      <c r="E10" s="17">
        <v>-113894221513</v>
      </c>
      <c r="F10" s="17">
        <v>-10870919019</v>
      </c>
      <c r="G10" s="17">
        <v>-72990493823</v>
      </c>
      <c r="H10" s="17">
        <v>-5772614376</v>
      </c>
      <c r="I10" s="17">
        <v>28314185442</v>
      </c>
      <c r="J10" s="17">
        <v>163177531627</v>
      </c>
      <c r="K10" s="17">
        <v>1010922330886</v>
      </c>
      <c r="T10">
        <v>2021</v>
      </c>
      <c r="U10" t="s">
        <v>217</v>
      </c>
      <c r="V10">
        <v>-19.7</v>
      </c>
    </row>
    <row r="11" spans="1:27" x14ac:dyDescent="0.15">
      <c r="A11" s="19" t="s">
        <v>123</v>
      </c>
      <c r="B11" s="17">
        <v>9755308690</v>
      </c>
      <c r="C11" s="17">
        <v>82549401774</v>
      </c>
      <c r="D11" s="17">
        <v>13166497767</v>
      </c>
      <c r="E11" s="17">
        <v>22123664306</v>
      </c>
      <c r="F11" s="17">
        <v>-4721135461</v>
      </c>
      <c r="G11" s="17">
        <v>29910869480</v>
      </c>
      <c r="H11" s="17">
        <v>24183514856</v>
      </c>
      <c r="I11" s="17">
        <v>52078870772</v>
      </c>
      <c r="J11" s="17">
        <v>41938831417</v>
      </c>
      <c r="K11" s="17">
        <v>333983153559</v>
      </c>
      <c r="T11">
        <v>2021</v>
      </c>
      <c r="U11" t="s">
        <v>218</v>
      </c>
      <c r="V11">
        <v>1.7</v>
      </c>
    </row>
    <row r="12" spans="1:27" x14ac:dyDescent="0.15">
      <c r="A12" s="19" t="s">
        <v>124</v>
      </c>
      <c r="B12" s="17">
        <v>-239922767209</v>
      </c>
      <c r="C12" s="17">
        <v>-23625391281</v>
      </c>
      <c r="D12" s="17">
        <v>-81208667361</v>
      </c>
      <c r="E12" s="17">
        <v>-142785039051</v>
      </c>
      <c r="F12" s="17">
        <v>-100141408999</v>
      </c>
      <c r="G12" s="17">
        <v>-112985971103</v>
      </c>
      <c r="H12" s="17">
        <v>-286185193464</v>
      </c>
      <c r="I12" s="17">
        <v>-490559694590</v>
      </c>
      <c r="J12" s="17">
        <v>-1661082595981</v>
      </c>
      <c r="K12" s="17">
        <v>-1832298259730</v>
      </c>
      <c r="T12">
        <v>2022</v>
      </c>
      <c r="U12" s="59" t="s">
        <v>216</v>
      </c>
      <c r="V12">
        <v>22.5</v>
      </c>
    </row>
    <row r="13" spans="1:27" x14ac:dyDescent="0.15">
      <c r="A13" s="19" t="s">
        <v>125</v>
      </c>
      <c r="B13" s="17">
        <v>370947849826</v>
      </c>
      <c r="C13" s="17">
        <v>350628944467</v>
      </c>
      <c r="D13" s="17">
        <v>251337896345</v>
      </c>
      <c r="E13" s="17">
        <v>279951879407</v>
      </c>
      <c r="F13" s="17">
        <v>479707569855</v>
      </c>
      <c r="G13" s="17">
        <v>539861243640</v>
      </c>
      <c r="H13" s="17">
        <v>936710218359</v>
      </c>
      <c r="I13" s="17">
        <v>2191680923417</v>
      </c>
      <c r="J13" s="17">
        <v>2525823258237</v>
      </c>
      <c r="K13" s="17">
        <v>3083638131818</v>
      </c>
      <c r="T13">
        <v>2022</v>
      </c>
      <c r="U13" s="60" t="s">
        <v>215</v>
      </c>
      <c r="V13">
        <v>12.3</v>
      </c>
    </row>
    <row r="14" spans="1:27" x14ac:dyDescent="0.15">
      <c r="A14" s="19" t="s">
        <v>126</v>
      </c>
      <c r="B14" s="17">
        <v>0</v>
      </c>
      <c r="C14" s="17">
        <v>0</v>
      </c>
      <c r="D14" s="17">
        <v>0</v>
      </c>
      <c r="E14" s="17">
        <v>0</v>
      </c>
      <c r="F14" s="17">
        <v>0</v>
      </c>
      <c r="G14" s="17">
        <v>0</v>
      </c>
      <c r="H14" s="17">
        <v>0</v>
      </c>
      <c r="I14" s="17">
        <v>0</v>
      </c>
      <c r="J14" s="17">
        <v>0</v>
      </c>
      <c r="K14" s="17">
        <v>0</v>
      </c>
      <c r="T14">
        <v>2022</v>
      </c>
      <c r="U14" s="60" t="s">
        <v>218</v>
      </c>
      <c r="V14">
        <v>-1.8</v>
      </c>
    </row>
    <row r="15" spans="1:27" x14ac:dyDescent="0.15">
      <c r="A15" s="18" t="s">
        <v>127</v>
      </c>
      <c r="B15" s="17">
        <v>184894312063</v>
      </c>
      <c r="C15" s="17">
        <v>-39335171949</v>
      </c>
      <c r="D15" s="17">
        <v>-17333301250</v>
      </c>
      <c r="E15" s="17">
        <v>-486371890043</v>
      </c>
      <c r="F15" s="17">
        <v>-462712870273</v>
      </c>
      <c r="G15" s="17">
        <v>-1423156571992</v>
      </c>
      <c r="H15" s="17">
        <v>-288519564021</v>
      </c>
      <c r="I15" s="17">
        <v>-3374026162649</v>
      </c>
      <c r="J15" s="17">
        <v>-3039385771765</v>
      </c>
      <c r="K15" s="17">
        <v>4711117735355</v>
      </c>
      <c r="T15">
        <v>2022</v>
      </c>
      <c r="U15" s="59" t="s">
        <v>219</v>
      </c>
      <c r="V15">
        <v>8.3000000000000007</v>
      </c>
    </row>
    <row r="16" spans="1:27" x14ac:dyDescent="0.15">
      <c r="A16" s="18" t="s">
        <v>128</v>
      </c>
      <c r="B16" s="17">
        <v>-1216858380400</v>
      </c>
      <c r="C16" s="17">
        <v>235303034097</v>
      </c>
      <c r="D16" s="17">
        <v>390083981802</v>
      </c>
      <c r="E16" s="17">
        <v>-3334840113940</v>
      </c>
      <c r="F16" s="17">
        <v>-2201681306847</v>
      </c>
      <c r="G16" s="17">
        <v>-2301594154020</v>
      </c>
      <c r="H16" s="17">
        <v>-5132237172021</v>
      </c>
      <c r="I16" s="17">
        <v>-7061024985401</v>
      </c>
      <c r="J16" s="17">
        <v>-16949192989135</v>
      </c>
      <c r="K16" s="17">
        <v>8023194725141</v>
      </c>
    </row>
    <row r="17" spans="1:29" x14ac:dyDescent="0.15">
      <c r="A17" s="18" t="s">
        <v>129</v>
      </c>
      <c r="B17" s="17">
        <v>1674080391405</v>
      </c>
      <c r="C17" s="17">
        <v>-2199063441613</v>
      </c>
      <c r="D17" s="17">
        <v>-849876282431</v>
      </c>
      <c r="E17" s="17">
        <v>2294022318780</v>
      </c>
      <c r="F17" s="17">
        <v>-427137753385</v>
      </c>
      <c r="G17" s="17">
        <v>1459709130157</v>
      </c>
      <c r="H17" s="17">
        <v>3557798129583</v>
      </c>
      <c r="I17" s="17">
        <v>4251742399296</v>
      </c>
      <c r="J17" s="17">
        <v>9250111116260</v>
      </c>
      <c r="K17" s="17">
        <v>-14666409808394</v>
      </c>
      <c r="Y17" s="58" t="s">
        <v>182</v>
      </c>
      <c r="Z17" s="61">
        <v>2022</v>
      </c>
    </row>
    <row r="18" spans="1:29" x14ac:dyDescent="0.15">
      <c r="A18" s="18" t="s">
        <v>130</v>
      </c>
      <c r="B18" s="17">
        <v>43029826617</v>
      </c>
      <c r="C18" s="17">
        <v>-28905066932</v>
      </c>
      <c r="D18" s="17">
        <v>66692373461</v>
      </c>
      <c r="E18" s="17">
        <v>121804325086</v>
      </c>
      <c r="F18" s="17">
        <v>-57137603269</v>
      </c>
      <c r="G18" s="17">
        <v>-500921130265</v>
      </c>
      <c r="H18" s="17">
        <v>-8476974345</v>
      </c>
      <c r="I18" s="17">
        <v>-89041139127</v>
      </c>
      <c r="J18" s="17">
        <v>-813988306614</v>
      </c>
      <c r="K18" s="17">
        <v>2624176162</v>
      </c>
    </row>
    <row r="19" spans="1:29" x14ac:dyDescent="0.15">
      <c r="A19" s="18" t="s">
        <v>131</v>
      </c>
      <c r="B19" s="17">
        <v>0</v>
      </c>
      <c r="C19" s="17">
        <v>0</v>
      </c>
      <c r="D19" s="17">
        <v>0</v>
      </c>
      <c r="E19" s="17">
        <v>0</v>
      </c>
      <c r="F19" s="17">
        <v>0</v>
      </c>
      <c r="G19" s="17">
        <v>0</v>
      </c>
      <c r="H19" s="17">
        <v>0</v>
      </c>
      <c r="I19" s="17">
        <v>0</v>
      </c>
      <c r="J19" s="17">
        <v>0</v>
      </c>
      <c r="K19" s="17">
        <v>0</v>
      </c>
      <c r="T19" s="58" t="s">
        <v>225</v>
      </c>
      <c r="U19" s="58" t="s">
        <v>214</v>
      </c>
      <c r="Y19" s="58" t="s">
        <v>212</v>
      </c>
      <c r="Z19" t="s">
        <v>225</v>
      </c>
      <c r="AB19" t="s">
        <v>223</v>
      </c>
      <c r="AC19" t="s">
        <v>224</v>
      </c>
    </row>
    <row r="20" spans="1:29" x14ac:dyDescent="0.15">
      <c r="A20" s="18" t="s">
        <v>132</v>
      </c>
      <c r="B20" s="17">
        <v>-558923619216</v>
      </c>
      <c r="C20" s="17">
        <v>-325690062547</v>
      </c>
      <c r="D20" s="17">
        <v>-284307633410</v>
      </c>
      <c r="E20" s="17">
        <v>-280617909310</v>
      </c>
      <c r="F20" s="17">
        <v>-476521018456</v>
      </c>
      <c r="G20" s="17">
        <v>-611767789386</v>
      </c>
      <c r="H20" s="17">
        <v>-867276241172</v>
      </c>
      <c r="I20" s="17">
        <v>-2027572222288</v>
      </c>
      <c r="J20" s="17">
        <v>-2567276431082</v>
      </c>
      <c r="K20" s="17">
        <v>-3061103919849</v>
      </c>
      <c r="T20" s="58" t="s">
        <v>212</v>
      </c>
      <c r="U20" t="s">
        <v>216</v>
      </c>
      <c r="V20" t="s">
        <v>219</v>
      </c>
      <c r="Y20" s="61" t="s">
        <v>216</v>
      </c>
      <c r="Z20" s="551">
        <v>22.5</v>
      </c>
      <c r="AB20" s="61" t="s">
        <v>216</v>
      </c>
      <c r="AC20">
        <f>Z20</f>
        <v>22.5</v>
      </c>
    </row>
    <row r="21" spans="1:29" x14ac:dyDescent="0.15">
      <c r="A21" s="18" t="s">
        <v>133</v>
      </c>
      <c r="B21" s="17">
        <v>-200847280440</v>
      </c>
      <c r="C21" s="17">
        <v>-575207645980</v>
      </c>
      <c r="D21" s="17">
        <v>-447842572341</v>
      </c>
      <c r="E21" s="17">
        <v>-752694098346</v>
      </c>
      <c r="F21" s="17">
        <v>-1723779496359</v>
      </c>
      <c r="G21" s="17">
        <v>-1416437918395</v>
      </c>
      <c r="H21" s="17">
        <v>-1552892549868</v>
      </c>
      <c r="I21" s="17">
        <v>-1716802619015</v>
      </c>
      <c r="J21" s="17">
        <v>-2743083962430</v>
      </c>
      <c r="K21" s="17">
        <v>-1246302085368</v>
      </c>
      <c r="T21" s="61">
        <v>2020</v>
      </c>
      <c r="U21">
        <v>4.5</v>
      </c>
      <c r="V21">
        <v>13.7</v>
      </c>
      <c r="Y21" s="61" t="s">
        <v>215</v>
      </c>
      <c r="Z21" s="551">
        <v>12.3</v>
      </c>
      <c r="AB21" s="61" t="s">
        <v>215</v>
      </c>
      <c r="AC21">
        <f t="shared" ref="AC21:AC24" si="0">Z21</f>
        <v>12.3</v>
      </c>
    </row>
    <row r="22" spans="1:29" x14ac:dyDescent="0.15">
      <c r="A22" s="18" t="s">
        <v>134</v>
      </c>
      <c r="B22" s="17">
        <v>21180037819</v>
      </c>
      <c r="C22" s="17">
        <v>33084042052</v>
      </c>
      <c r="D22" s="17">
        <v>0</v>
      </c>
      <c r="E22" s="17">
        <v>0</v>
      </c>
      <c r="F22" s="17">
        <v>0</v>
      </c>
      <c r="G22" s="17">
        <v>0</v>
      </c>
      <c r="H22" s="17">
        <v>0</v>
      </c>
      <c r="I22" s="17">
        <v>0</v>
      </c>
      <c r="J22" s="17">
        <v>0</v>
      </c>
      <c r="K22" s="17">
        <v>0</v>
      </c>
      <c r="T22" s="61">
        <v>2021</v>
      </c>
      <c r="U22">
        <v>13.7</v>
      </c>
      <c r="V22">
        <v>22.5</v>
      </c>
      <c r="Y22" s="61" t="s">
        <v>217</v>
      </c>
      <c r="Z22" s="551">
        <v>-24.6</v>
      </c>
      <c r="AB22" s="61" t="s">
        <v>217</v>
      </c>
      <c r="AC22">
        <f t="shared" si="0"/>
        <v>-24.6</v>
      </c>
    </row>
    <row r="23" spans="1:29" x14ac:dyDescent="0.15">
      <c r="A23" s="18" t="s">
        <v>135</v>
      </c>
      <c r="B23" s="17">
        <v>-95479361817</v>
      </c>
      <c r="C23" s="17">
        <v>-81054853105</v>
      </c>
      <c r="D23" s="17">
        <v>-125477836812</v>
      </c>
      <c r="E23" s="17">
        <v>-164128748378</v>
      </c>
      <c r="F23" s="17">
        <v>-249708157378</v>
      </c>
      <c r="G23" s="17">
        <v>-304001386852</v>
      </c>
      <c r="H23" s="17">
        <v>-352057555830</v>
      </c>
      <c r="I23" s="17">
        <v>-328363376705</v>
      </c>
      <c r="J23" s="17">
        <v>-625409387033</v>
      </c>
      <c r="K23" s="17">
        <v>-776811527307</v>
      </c>
      <c r="T23" s="61">
        <v>2022</v>
      </c>
      <c r="U23">
        <v>22.5</v>
      </c>
      <c r="V23">
        <v>8.3000000000000007</v>
      </c>
      <c r="Y23" s="61" t="s">
        <v>218</v>
      </c>
      <c r="Z23" s="551">
        <v>-1.8</v>
      </c>
      <c r="AB23" s="61" t="s">
        <v>218</v>
      </c>
      <c r="AC23">
        <f t="shared" si="0"/>
        <v>-1.8</v>
      </c>
    </row>
    <row r="24" spans="1:29" x14ac:dyDescent="0.15">
      <c r="A24" s="31" t="s">
        <v>136</v>
      </c>
      <c r="B24" s="31">
        <v>-3252465252108</v>
      </c>
      <c r="C24" s="31">
        <v>-1250083322879</v>
      </c>
      <c r="D24" s="31">
        <v>-3763774366325</v>
      </c>
      <c r="E24" s="31">
        <v>-3128134914080</v>
      </c>
      <c r="F24" s="31">
        <v>-17925765126837</v>
      </c>
      <c r="G24" s="31">
        <v>-20533133970944</v>
      </c>
      <c r="H24" s="31">
        <v>-18064216043257</v>
      </c>
      <c r="I24" s="31">
        <v>-18495398244903</v>
      </c>
      <c r="J24" s="31">
        <v>-19669452763006</v>
      </c>
      <c r="K24" s="31">
        <v>-24626212744553</v>
      </c>
      <c r="T24" s="61" t="s">
        <v>213</v>
      </c>
      <c r="U24">
        <v>40.700000000000003</v>
      </c>
      <c r="V24">
        <v>44.5</v>
      </c>
      <c r="Y24" s="61" t="s">
        <v>219</v>
      </c>
      <c r="Z24" s="551">
        <v>8.3000000000000007</v>
      </c>
      <c r="AB24" s="61" t="s">
        <v>219</v>
      </c>
      <c r="AC24">
        <f t="shared" si="0"/>
        <v>8.3000000000000007</v>
      </c>
    </row>
    <row r="25" spans="1:29" x14ac:dyDescent="0.15">
      <c r="A25" s="18" t="s">
        <v>137</v>
      </c>
      <c r="B25" s="17">
        <v>-2921311668380</v>
      </c>
      <c r="C25" s="17">
        <v>-1165028194450</v>
      </c>
      <c r="D25" s="17">
        <v>-3386572345633</v>
      </c>
      <c r="E25" s="17">
        <v>-3416965133077</v>
      </c>
      <c r="F25" s="17">
        <v>-8875037848448</v>
      </c>
      <c r="G25" s="17">
        <v>-27594117760420</v>
      </c>
      <c r="H25" s="17">
        <v>-20825371574660</v>
      </c>
      <c r="I25" s="17">
        <v>-11915645555048</v>
      </c>
      <c r="J25" s="17">
        <v>-11621470092371</v>
      </c>
      <c r="K25" s="17">
        <v>-17887504647036</v>
      </c>
    </row>
    <row r="26" spans="1:29" x14ac:dyDescent="0.15">
      <c r="A26" s="18" t="s">
        <v>138</v>
      </c>
      <c r="B26" s="17">
        <v>11605368430</v>
      </c>
      <c r="C26" s="17">
        <v>21687699513</v>
      </c>
      <c r="D26" s="17">
        <v>32360460543</v>
      </c>
      <c r="E26" s="17">
        <v>27787678259</v>
      </c>
      <c r="F26" s="17">
        <v>6994210217</v>
      </c>
      <c r="G26" s="17">
        <v>64821767118</v>
      </c>
      <c r="H26" s="17">
        <v>26937572033</v>
      </c>
      <c r="I26" s="17">
        <v>34418355881</v>
      </c>
      <c r="J26" s="17">
        <v>49348550223</v>
      </c>
      <c r="K26" s="17">
        <v>21712492859</v>
      </c>
    </row>
    <row r="27" spans="1:29" x14ac:dyDescent="0.15">
      <c r="A27" s="18" t="s">
        <v>139</v>
      </c>
      <c r="B27" s="17">
        <v>-163135157802</v>
      </c>
      <c r="C27" s="17">
        <v>-158593682578</v>
      </c>
      <c r="D27" s="17">
        <v>-298004536121</v>
      </c>
      <c r="E27" s="17">
        <v>-10561686300</v>
      </c>
      <c r="F27" s="17">
        <v>-13644057693450</v>
      </c>
      <c r="G27" s="17">
        <v>-11295502021543</v>
      </c>
      <c r="H27" s="17">
        <v>-4467553072509</v>
      </c>
      <c r="I27" s="17">
        <v>-11971173251594</v>
      </c>
      <c r="J27" s="17">
        <v>-41061488333969</v>
      </c>
      <c r="K27" s="17">
        <v>-55505793882381</v>
      </c>
    </row>
    <row r="28" spans="1:29" ht="15" x14ac:dyDescent="0.2">
      <c r="A28" s="18" t="s">
        <v>140</v>
      </c>
      <c r="B28" s="17">
        <v>0</v>
      </c>
      <c r="C28" s="17">
        <v>0</v>
      </c>
      <c r="D28" s="17">
        <v>119070843886</v>
      </c>
      <c r="E28" s="17">
        <v>271604227038</v>
      </c>
      <c r="F28" s="17">
        <v>4461988265600</v>
      </c>
      <c r="G28" s="17">
        <v>17443013202984</v>
      </c>
      <c r="H28" s="17">
        <v>6832224480334</v>
      </c>
      <c r="I28" s="17">
        <v>5003441426581</v>
      </c>
      <c r="J28" s="17">
        <v>31076412522291</v>
      </c>
      <c r="K28" s="17">
        <v>47412529370171</v>
      </c>
      <c r="T28" s="63" t="s">
        <v>220</v>
      </c>
      <c r="U28" s="63"/>
      <c r="V28" s="63"/>
    </row>
    <row r="29" spans="1:29" ht="15" x14ac:dyDescent="0.2">
      <c r="A29" s="18" t="s">
        <v>141</v>
      </c>
      <c r="B29" s="17">
        <v>-395947200000</v>
      </c>
      <c r="C29" s="17">
        <v>-56955592861</v>
      </c>
      <c r="D29" s="17">
        <v>-230628789000</v>
      </c>
      <c r="E29" s="17">
        <v>0</v>
      </c>
      <c r="F29" s="17">
        <v>-40833411607</v>
      </c>
      <c r="G29" s="17">
        <v>-115947860804</v>
      </c>
      <c r="H29" s="17">
        <v>0</v>
      </c>
      <c r="I29" s="17">
        <v>0</v>
      </c>
      <c r="J29" s="17">
        <v>0</v>
      </c>
      <c r="K29" s="17">
        <v>-371644175956</v>
      </c>
      <c r="T29" s="63" t="s">
        <v>182</v>
      </c>
      <c r="U29" s="63" t="s">
        <v>221</v>
      </c>
      <c r="V29" s="63" t="s">
        <v>222</v>
      </c>
    </row>
    <row r="30" spans="1:29" ht="15" x14ac:dyDescent="0.2">
      <c r="A30" s="18" t="s">
        <v>142</v>
      </c>
      <c r="B30" s="17">
        <v>116266905518</v>
      </c>
      <c r="C30" s="17">
        <v>1500000000</v>
      </c>
      <c r="D30" s="17">
        <v>0</v>
      </c>
      <c r="E30" s="17">
        <v>0</v>
      </c>
      <c r="F30" s="17">
        <v>651015518</v>
      </c>
      <c r="G30" s="17">
        <v>17599680288</v>
      </c>
      <c r="H30" s="17">
        <v>0</v>
      </c>
      <c r="I30" s="17">
        <v>0</v>
      </c>
      <c r="J30" s="17">
        <v>833829028281</v>
      </c>
      <c r="K30" s="17">
        <v>6672170842</v>
      </c>
      <c r="T30" s="64">
        <v>2020</v>
      </c>
      <c r="U30" s="66">
        <f>IF($T21=$Z$17,U21,0)</f>
        <v>0</v>
      </c>
      <c r="V30" s="66">
        <f t="shared" ref="U30:V32" si="1">IF($T21=$Z$17,V21,0)</f>
        <v>0</v>
      </c>
    </row>
    <row r="31" spans="1:29" ht="15" x14ac:dyDescent="0.2">
      <c r="A31" s="18" t="s">
        <v>143</v>
      </c>
      <c r="B31" s="17">
        <v>100056500126</v>
      </c>
      <c r="C31" s="17">
        <v>107306447497</v>
      </c>
      <c r="D31" s="17">
        <v>0</v>
      </c>
      <c r="E31" s="17">
        <v>0</v>
      </c>
      <c r="F31" s="17">
        <v>164530335333</v>
      </c>
      <c r="G31" s="17">
        <v>946999021433</v>
      </c>
      <c r="H31" s="17">
        <v>369546551545</v>
      </c>
      <c r="I31" s="17">
        <v>353560779277</v>
      </c>
      <c r="J31" s="17">
        <v>1053915562539</v>
      </c>
      <c r="K31" s="17">
        <v>1697815926948</v>
      </c>
      <c r="T31" s="64">
        <v>2021</v>
      </c>
      <c r="U31" s="66">
        <f t="shared" si="1"/>
        <v>0</v>
      </c>
      <c r="V31" s="66">
        <f t="shared" si="1"/>
        <v>0</v>
      </c>
    </row>
    <row r="32" spans="1:29" ht="15" x14ac:dyDescent="0.2">
      <c r="A32" s="31" t="s">
        <v>144</v>
      </c>
      <c r="B32" s="31">
        <v>849549029914</v>
      </c>
      <c r="C32" s="31">
        <v>-1611348733435</v>
      </c>
      <c r="D32" s="31">
        <v>-432809044847</v>
      </c>
      <c r="E32" s="31">
        <v>-1504806336248</v>
      </c>
      <c r="F32" s="31">
        <v>11573693101481</v>
      </c>
      <c r="G32" s="31">
        <v>11142511642260</v>
      </c>
      <c r="H32" s="31">
        <v>12377940956305</v>
      </c>
      <c r="I32" s="31">
        <v>16053701595253</v>
      </c>
      <c r="J32" s="31">
        <v>1740105149956</v>
      </c>
      <c r="K32" s="31">
        <v>-1777989694690</v>
      </c>
      <c r="T32" s="64">
        <v>2022</v>
      </c>
      <c r="U32" s="66">
        <f t="shared" si="1"/>
        <v>22.5</v>
      </c>
      <c r="V32" s="66">
        <f t="shared" si="1"/>
        <v>8.3000000000000007</v>
      </c>
    </row>
    <row r="33" spans="1:27" ht="15" x14ac:dyDescent="0.2">
      <c r="A33" s="18" t="s">
        <v>145</v>
      </c>
      <c r="B33" s="17">
        <v>620000000</v>
      </c>
      <c r="C33" s="17">
        <v>475000000</v>
      </c>
      <c r="D33" s="17">
        <v>58500000</v>
      </c>
      <c r="E33" s="17">
        <v>10000000</v>
      </c>
      <c r="F33" s="17">
        <v>5057285360000</v>
      </c>
      <c r="G33" s="17">
        <v>11424719202</v>
      </c>
      <c r="H33" s="17">
        <v>85000000</v>
      </c>
      <c r="I33" s="17">
        <v>2700000000</v>
      </c>
      <c r="J33" s="17">
        <v>10630000000</v>
      </c>
      <c r="K33" s="17">
        <v>4075000000</v>
      </c>
      <c r="T33" s="64"/>
      <c r="U33" s="65"/>
      <c r="V33" s="65"/>
    </row>
    <row r="34" spans="1:27" ht="15" x14ac:dyDescent="0.2">
      <c r="A34" s="18" t="s">
        <v>146</v>
      </c>
      <c r="B34" s="17">
        <v>18941877013166</v>
      </c>
      <c r="C34" s="17">
        <v>21167443398643</v>
      </c>
      <c r="D34" s="17">
        <v>22541238710236</v>
      </c>
      <c r="E34" s="17">
        <v>28158082994564</v>
      </c>
      <c r="F34" s="17">
        <v>37194696510889</v>
      </c>
      <c r="G34" s="17">
        <v>53472014216173</v>
      </c>
      <c r="H34" s="17">
        <v>69584170644057</v>
      </c>
      <c r="I34" s="17">
        <v>83074115401537</v>
      </c>
      <c r="J34" s="17">
        <v>125075421125272</v>
      </c>
      <c r="K34" s="17">
        <v>135250023212840</v>
      </c>
      <c r="T34" s="70" t="s">
        <v>236</v>
      </c>
      <c r="U34" s="70"/>
    </row>
    <row r="35" spans="1:27" ht="15" x14ac:dyDescent="0.2">
      <c r="A35" s="18" t="s">
        <v>147</v>
      </c>
      <c r="B35" s="17">
        <v>-17672451806682</v>
      </c>
      <c r="C35" s="17">
        <v>-22097815712253</v>
      </c>
      <c r="D35" s="17">
        <v>-22433385840450</v>
      </c>
      <c r="E35" s="17">
        <v>-28560488372250</v>
      </c>
      <c r="F35" s="17">
        <v>-30674534262267</v>
      </c>
      <c r="G35" s="17">
        <v>-42335009094686</v>
      </c>
      <c r="H35" s="17">
        <v>-57193667828616</v>
      </c>
      <c r="I35" s="17">
        <v>-65603640057528</v>
      </c>
      <c r="J35" s="17">
        <v>-121652859327347</v>
      </c>
      <c r="K35" s="17">
        <v>-134770628364289</v>
      </c>
      <c r="T35" s="68" t="s">
        <v>237</v>
      </c>
      <c r="U35" s="68" t="s">
        <v>238</v>
      </c>
    </row>
    <row r="36" spans="1:27" ht="15" x14ac:dyDescent="0.2">
      <c r="A36" s="18" t="s">
        <v>148</v>
      </c>
      <c r="B36" s="17">
        <v>-420496176570</v>
      </c>
      <c r="C36" s="17">
        <v>-681451419825</v>
      </c>
      <c r="D36" s="17">
        <v>-540720414633</v>
      </c>
      <c r="E36" s="17">
        <v>-1102410958562</v>
      </c>
      <c r="F36" s="17">
        <v>-3754507141</v>
      </c>
      <c r="G36" s="17">
        <v>-5918198429</v>
      </c>
      <c r="H36" s="17">
        <v>-12646859136</v>
      </c>
      <c r="I36" s="17">
        <v>-1419473748756</v>
      </c>
      <c r="J36" s="17">
        <v>-1693086647969</v>
      </c>
      <c r="K36" s="17">
        <v>-2261459543241</v>
      </c>
      <c r="T36" s="69">
        <f>MATCH($Z$17,$T$21:$T$23)-0.5</f>
        <v>2.5</v>
      </c>
      <c r="U36" s="69">
        <v>1</v>
      </c>
    </row>
    <row r="37" spans="1:27" x14ac:dyDescent="0.15">
      <c r="A37" s="31" t="s">
        <v>149</v>
      </c>
      <c r="B37" s="31">
        <v>830916492026</v>
      </c>
      <c r="C37" s="31">
        <v>-99158737965</v>
      </c>
      <c r="D37" s="31">
        <v>346366129799</v>
      </c>
      <c r="E37" s="31">
        <v>2185778676520</v>
      </c>
      <c r="F37" s="31">
        <v>-293749672986</v>
      </c>
      <c r="G37" s="31">
        <v>-1748278177953</v>
      </c>
      <c r="H37" s="31">
        <v>2028893607164</v>
      </c>
      <c r="I37" s="31">
        <v>9145553263324</v>
      </c>
      <c r="J37" s="31">
        <v>8791565690058</v>
      </c>
      <c r="K37" s="31">
        <v>-14126565762736</v>
      </c>
    </row>
    <row r="38" spans="1:27" x14ac:dyDescent="0.15">
      <c r="A38" s="31" t="s">
        <v>150</v>
      </c>
      <c r="B38" s="31">
        <v>1294493700487</v>
      </c>
      <c r="C38" s="31">
        <v>2125322390697</v>
      </c>
      <c r="D38" s="31">
        <v>2026280467705</v>
      </c>
      <c r="E38" s="31">
        <v>2372761840865</v>
      </c>
      <c r="F38" s="31">
        <v>4558660713745</v>
      </c>
      <c r="G38" s="31">
        <v>4264641954689</v>
      </c>
      <c r="H38" s="31">
        <v>2515617135457</v>
      </c>
      <c r="I38" s="31">
        <v>4544900252204</v>
      </c>
      <c r="J38" s="31">
        <v>13696099298228</v>
      </c>
      <c r="K38" s="31">
        <v>22471375562130</v>
      </c>
      <c r="Y38" s="167">
        <v>-33567472062267</v>
      </c>
      <c r="Z38" s="167">
        <v>18645551882421</v>
      </c>
      <c r="AA38" s="167">
        <v>17644882395427</v>
      </c>
    </row>
    <row r="39" spans="1:27" x14ac:dyDescent="0.15">
      <c r="A39" s="31" t="s">
        <v>151</v>
      </c>
      <c r="B39" s="31">
        <v>-87801816</v>
      </c>
      <c r="C39" s="31">
        <v>116814973</v>
      </c>
      <c r="D39" s="31">
        <v>115243361</v>
      </c>
      <c r="E39" s="31">
        <v>120196360</v>
      </c>
      <c r="F39" s="31">
        <v>-269086070</v>
      </c>
      <c r="G39" s="31">
        <v>-746641279</v>
      </c>
      <c r="H39" s="31">
        <v>389509583</v>
      </c>
      <c r="I39" s="31">
        <v>5645782700</v>
      </c>
      <c r="J39" s="31">
        <v>-16289426156</v>
      </c>
      <c r="K39" s="31">
        <v>-20220879167</v>
      </c>
      <c r="T39" s="167"/>
      <c r="U39" s="167"/>
      <c r="V39" s="167" t="s">
        <v>182</v>
      </c>
      <c r="W39" s="167" t="s">
        <v>443</v>
      </c>
    </row>
    <row r="40" spans="1:27" x14ac:dyDescent="0.15">
      <c r="A40" s="31" t="s">
        <v>152</v>
      </c>
      <c r="B40" s="31">
        <v>2125322390697</v>
      </c>
      <c r="C40" s="31">
        <v>2026280467705</v>
      </c>
      <c r="D40" s="31">
        <v>2372761840865</v>
      </c>
      <c r="E40" s="31">
        <v>4558660713745</v>
      </c>
      <c r="F40" s="31">
        <v>4264641954689</v>
      </c>
      <c r="G40" s="31">
        <v>2515617135457</v>
      </c>
      <c r="H40" s="31">
        <v>4544900252204</v>
      </c>
      <c r="I40" s="31">
        <v>13696099298228</v>
      </c>
      <c r="J40" s="31">
        <v>22471375562130</v>
      </c>
      <c r="K40" s="31">
        <v>8324588920227</v>
      </c>
      <c r="V40">
        <v>2020</v>
      </c>
      <c r="W40" s="220">
        <v>-33.6</v>
      </c>
    </row>
    <row r="41" spans="1:27" x14ac:dyDescent="0.15">
      <c r="A41" s="16" t="s">
        <v>241</v>
      </c>
      <c r="G41" s="16">
        <f>G51-G8</f>
        <v>12866843565637</v>
      </c>
      <c r="H41" s="16">
        <f>H51-H8</f>
        <v>13310730330639</v>
      </c>
      <c r="I41" s="16">
        <f>IS!B10+IS!B15+IS!B16-CFS!B9</f>
        <v>12347174120277</v>
      </c>
      <c r="J41" s="16">
        <f>IS!C10+IS!C15+IS!C16-CFS!C9</f>
        <v>31587563465668</v>
      </c>
      <c r="K41" s="16">
        <f>IS!D10+IS!D15+IS!D16-CFS!D9</f>
        <v>6306034975853</v>
      </c>
      <c r="V41">
        <v>2021</v>
      </c>
      <c r="W41" s="220">
        <v>18.600000000000001</v>
      </c>
    </row>
    <row r="42" spans="1:27" x14ac:dyDescent="0.15">
      <c r="A42" s="16" t="s">
        <v>242</v>
      </c>
      <c r="G42" s="16">
        <v>-1470522166075</v>
      </c>
      <c r="H42" s="16">
        <v>-1518413887157</v>
      </c>
      <c r="I42" s="16">
        <v>-1850802734794</v>
      </c>
      <c r="J42" s="16">
        <v>-2535822782892</v>
      </c>
      <c r="K42" s="16">
        <v>-1478512072768</v>
      </c>
      <c r="V42">
        <v>2022</v>
      </c>
      <c r="W42" s="220">
        <v>17.600000000000001</v>
      </c>
    </row>
    <row r="43" spans="1:27" x14ac:dyDescent="0.15">
      <c r="A43" s="16" t="s">
        <v>243</v>
      </c>
      <c r="G43" s="17">
        <v>2259594298268</v>
      </c>
      <c r="H43" s="17">
        <v>2566183420309</v>
      </c>
      <c r="I43" s="17">
        <v>4775781721269</v>
      </c>
      <c r="J43" s="17">
        <v>6076516295417</v>
      </c>
      <c r="K43" s="17">
        <v>6772140896950</v>
      </c>
    </row>
    <row r="44" spans="1:27" x14ac:dyDescent="0.15">
      <c r="A44" s="16" t="s">
        <v>244</v>
      </c>
      <c r="G44" s="17">
        <v>21584162477083</v>
      </c>
      <c r="H44" s="17">
        <v>29062596556984</v>
      </c>
      <c r="I44" s="17">
        <v>48620265521630</v>
      </c>
      <c r="J44" s="17">
        <v>75918707032226</v>
      </c>
      <c r="K44" s="17">
        <v>54246462049102</v>
      </c>
      <c r="V44" t="s">
        <v>182</v>
      </c>
      <c r="W44" t="s">
        <v>443</v>
      </c>
    </row>
    <row r="45" spans="1:27" ht="15" x14ac:dyDescent="0.2">
      <c r="A45" s="16" t="s">
        <v>245</v>
      </c>
      <c r="G45" s="17"/>
      <c r="H45" s="17"/>
      <c r="I45" s="17"/>
      <c r="J45" s="17"/>
      <c r="K45" s="17"/>
      <c r="V45" s="61">
        <v>2020</v>
      </c>
      <c r="W45" s="66">
        <f>IF($V40=$Z$17,W40,0)</f>
        <v>0</v>
      </c>
    </row>
    <row r="46" spans="1:27" ht="15" x14ac:dyDescent="0.2">
      <c r="A46" s="16" t="s">
        <v>246</v>
      </c>
      <c r="G46" s="17">
        <v>-415236070350</v>
      </c>
      <c r="H46" s="17">
        <v>18466933292959</v>
      </c>
      <c r="I46" s="17">
        <v>34312163262177</v>
      </c>
      <c r="J46" s="17">
        <v>3719184603867</v>
      </c>
      <c r="K46" s="17">
        <v>1552073873861</v>
      </c>
      <c r="V46" s="61">
        <v>2021</v>
      </c>
      <c r="W46" s="66">
        <f t="shared" ref="W46:W47" si="2">IF($V41=$Z$17,W41,0)</f>
        <v>0</v>
      </c>
    </row>
    <row r="47" spans="1:27" ht="15" x14ac:dyDescent="0.2">
      <c r="V47" s="61">
        <v>2022</v>
      </c>
      <c r="W47" s="66">
        <f t="shared" si="2"/>
        <v>17.600000000000001</v>
      </c>
    </row>
    <row r="50" spans="7:23" x14ac:dyDescent="0.15">
      <c r="T50" s="53" t="s">
        <v>482</v>
      </c>
      <c r="U50" s="333">
        <v>17504661199249.992</v>
      </c>
      <c r="V50" s="333">
        <v>66445765481444.938</v>
      </c>
      <c r="W50" s="333">
        <v>8658765130532.1094</v>
      </c>
    </row>
    <row r="51" spans="7:23" x14ac:dyDescent="0.15">
      <c r="G51" s="167">
        <v>15126437863905</v>
      </c>
      <c r="H51" s="167">
        <v>15876913750948</v>
      </c>
      <c r="T51" s="53" t="s">
        <v>490</v>
      </c>
      <c r="U51" s="333">
        <v>3936003153779.2988</v>
      </c>
      <c r="V51" s="333">
        <v>23792107025220.297</v>
      </c>
      <c r="W51" s="333">
        <v>263513847062.29883</v>
      </c>
    </row>
    <row r="53" spans="7:23" x14ac:dyDescent="0.15">
      <c r="T53" t="s">
        <v>182</v>
      </c>
      <c r="U53" t="s">
        <v>482</v>
      </c>
      <c r="V53" t="s">
        <v>490</v>
      </c>
    </row>
    <row r="54" spans="7:23" x14ac:dyDescent="0.15">
      <c r="T54">
        <v>2020</v>
      </c>
      <c r="U54">
        <v>75.5</v>
      </c>
      <c r="V54">
        <v>3.9</v>
      </c>
    </row>
    <row r="55" spans="7:23" x14ac:dyDescent="0.15">
      <c r="T55">
        <v>2021</v>
      </c>
      <c r="U55">
        <v>66.400000000000006</v>
      </c>
      <c r="V55">
        <v>23.8</v>
      </c>
    </row>
    <row r="56" spans="7:23" x14ac:dyDescent="0.15">
      <c r="T56">
        <v>2022</v>
      </c>
      <c r="U56">
        <v>8.6999999999999993</v>
      </c>
      <c r="V56">
        <v>0.3</v>
      </c>
    </row>
    <row r="59" spans="7:23" ht="15" x14ac:dyDescent="0.2">
      <c r="T59" s="63" t="s">
        <v>220</v>
      </c>
      <c r="U59" s="63"/>
      <c r="V59" s="63"/>
    </row>
    <row r="60" spans="7:23" ht="15" x14ac:dyDescent="0.2">
      <c r="T60" s="63" t="s">
        <v>182</v>
      </c>
      <c r="U60" s="63" t="s">
        <v>221</v>
      </c>
      <c r="V60" s="63" t="s">
        <v>222</v>
      </c>
    </row>
    <row r="61" spans="7:23" ht="15" x14ac:dyDescent="0.2">
      <c r="T61" s="64">
        <v>2020</v>
      </c>
      <c r="U61" s="66">
        <f>IF($T61=$Z$17,U54,0)</f>
        <v>0</v>
      </c>
      <c r="V61" s="66">
        <f>IF($T61=$Z$17,V54,0)</f>
        <v>0</v>
      </c>
    </row>
    <row r="62" spans="7:23" ht="15" x14ac:dyDescent="0.2">
      <c r="T62" s="64">
        <v>2021</v>
      </c>
      <c r="U62" s="66">
        <f t="shared" ref="U62:V62" si="3">IF($T62=$Z$17,U55,0)</f>
        <v>0</v>
      </c>
      <c r="V62" s="66">
        <f t="shared" si="3"/>
        <v>0</v>
      </c>
    </row>
    <row r="63" spans="7:23" ht="15" x14ac:dyDescent="0.2">
      <c r="T63" s="64">
        <v>2022</v>
      </c>
      <c r="U63" s="66">
        <f t="shared" ref="U63:V63" si="4">IF($T63=$Z$17,U56,0)</f>
        <v>8.6999999999999993</v>
      </c>
      <c r="V63" s="66">
        <f t="shared" si="4"/>
        <v>0.3</v>
      </c>
    </row>
  </sheetData>
  <pageMargins left="0.7" right="0.7" top="0.75" bottom="0.75" header="0.3" footer="0.3"/>
  <drawing r:id="rId3"/>
  <tableParts count="2">
    <tablePart r:id="rId4"/>
    <tablePart r:id="rId5"/>
  </tableParts>
  <extLst>
    <ext xmlns:x14="http://schemas.microsoft.com/office/spreadsheetml/2009/9/main" uri="{A8765BA9-456A-4dab-B4F3-ACF838C121DE}">
      <x14:slicerList>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92C0-A614-A94B-9C5C-E4E23BAEDA61}">
  <dimension ref="A1:O111"/>
  <sheetViews>
    <sheetView topLeftCell="H98" zoomScaleNormal="218" workbookViewId="0">
      <selection activeCell="C35" sqref="C35"/>
    </sheetView>
  </sheetViews>
  <sheetFormatPr baseColWidth="10" defaultRowHeight="14" x14ac:dyDescent="0.15"/>
  <cols>
    <col min="1" max="1" width="14" bestFit="1" customWidth="1"/>
    <col min="2" max="2" width="12.6640625" bestFit="1" customWidth="1"/>
    <col min="3" max="3" width="14" bestFit="1" customWidth="1"/>
    <col min="4" max="4" width="18.33203125" customWidth="1"/>
    <col min="5" max="5" width="18.5" bestFit="1" customWidth="1"/>
    <col min="6" max="6" width="12" bestFit="1" customWidth="1"/>
    <col min="7" max="7" width="13.83203125" bestFit="1" customWidth="1"/>
    <col min="8" max="8" width="30.83203125" customWidth="1"/>
    <col min="9" max="9" width="34.33203125" customWidth="1"/>
    <col min="10" max="10" width="14" bestFit="1" customWidth="1"/>
    <col min="11" max="11" width="17" bestFit="1" customWidth="1"/>
    <col min="12" max="12" width="16" bestFit="1" customWidth="1"/>
    <col min="13" max="14" width="19.83203125" bestFit="1" customWidth="1"/>
    <col min="15" max="15" width="13" bestFit="1" customWidth="1"/>
    <col min="16" max="16" width="13.83203125" bestFit="1" customWidth="1"/>
    <col min="17" max="17" width="19.83203125" bestFit="1" customWidth="1"/>
    <col min="18" max="18" width="13.83203125" bestFit="1" customWidth="1"/>
    <col min="19" max="19" width="17.1640625" bestFit="1" customWidth="1"/>
    <col min="20" max="20" width="19" bestFit="1" customWidth="1"/>
  </cols>
  <sheetData>
    <row r="1" spans="1:11" ht="48" x14ac:dyDescent="0.25">
      <c r="A1" s="126" t="s">
        <v>0</v>
      </c>
      <c r="B1" s="127" t="s">
        <v>432</v>
      </c>
    </row>
    <row r="2" spans="1:11" ht="48" x14ac:dyDescent="0.25">
      <c r="A2" s="128" t="s">
        <v>2</v>
      </c>
      <c r="B2" s="129">
        <v>45277</v>
      </c>
    </row>
    <row r="3" spans="1:11" ht="23" x14ac:dyDescent="0.25">
      <c r="A3" s="131"/>
      <c r="B3" s="130"/>
    </row>
    <row r="4" spans="1:11" ht="23" x14ac:dyDescent="0.25">
      <c r="A4" s="166" t="s">
        <v>433</v>
      </c>
      <c r="B4" s="125" t="s">
        <v>4</v>
      </c>
      <c r="C4" s="125" t="s">
        <v>5</v>
      </c>
      <c r="D4" s="125" t="s">
        <v>6</v>
      </c>
      <c r="G4" s="254" t="s">
        <v>182</v>
      </c>
      <c r="H4" s="254" t="s">
        <v>480</v>
      </c>
      <c r="I4" s="254" t="s">
        <v>433</v>
      </c>
      <c r="J4" s="253" t="s">
        <v>477</v>
      </c>
      <c r="K4" s="254" t="s">
        <v>481</v>
      </c>
    </row>
    <row r="5" spans="1:11" ht="23" hidden="1" x14ac:dyDescent="0.25">
      <c r="A5" s="160" t="s">
        <v>434</v>
      </c>
      <c r="B5" s="125"/>
      <c r="C5" s="125"/>
      <c r="D5" s="125"/>
      <c r="G5" s="255">
        <v>2020</v>
      </c>
      <c r="H5" s="255" t="s">
        <v>434</v>
      </c>
      <c r="I5" s="256" t="s">
        <v>414</v>
      </c>
      <c r="J5" s="259">
        <v>1.0918137717</v>
      </c>
      <c r="K5" s="259">
        <v>1.0920657234</v>
      </c>
    </row>
    <row r="6" spans="1:11" ht="23" hidden="1" x14ac:dyDescent="0.25">
      <c r="A6" s="156" t="s">
        <v>414</v>
      </c>
      <c r="B6" s="133">
        <v>1.0918137717</v>
      </c>
      <c r="C6" s="133">
        <v>1.2817279677</v>
      </c>
      <c r="D6" s="133">
        <v>1.2906019797999999</v>
      </c>
      <c r="G6" s="255">
        <v>2020</v>
      </c>
      <c r="H6" s="255" t="s">
        <v>434</v>
      </c>
      <c r="I6" s="256" t="s">
        <v>415</v>
      </c>
      <c r="J6" s="259">
        <v>0.3813527048</v>
      </c>
      <c r="K6" s="259">
        <v>0.58048335360000003</v>
      </c>
    </row>
    <row r="7" spans="1:11" ht="23" hidden="1" x14ac:dyDescent="0.25">
      <c r="A7" s="157" t="s">
        <v>415</v>
      </c>
      <c r="B7" s="135">
        <v>0.3813527048</v>
      </c>
      <c r="C7" s="237">
        <v>0.41021422540000002</v>
      </c>
      <c r="D7" s="233">
        <v>0.29201478250000001</v>
      </c>
      <c r="G7" s="255">
        <v>2020</v>
      </c>
      <c r="H7" s="255" t="s">
        <v>479</v>
      </c>
      <c r="I7" s="256" t="s">
        <v>416</v>
      </c>
      <c r="J7" s="259">
        <v>3.4282768240660317</v>
      </c>
      <c r="K7" s="259"/>
    </row>
    <row r="8" spans="1:11" ht="23" hidden="1" x14ac:dyDescent="0.25">
      <c r="A8" s="158" t="s">
        <v>416</v>
      </c>
      <c r="B8" s="137">
        <f>IS!B8/BS!B24</f>
        <v>3.4282768240660317</v>
      </c>
      <c r="C8" s="236">
        <f>IS!C8/BS!C24</f>
        <v>3.5524288061977001</v>
      </c>
      <c r="D8" s="234">
        <f>IS!D8/BS!D24</f>
        <v>4.0998758800938484</v>
      </c>
      <c r="G8" s="255">
        <v>2020</v>
      </c>
      <c r="H8" s="255" t="s">
        <v>479</v>
      </c>
      <c r="I8" s="256" t="s">
        <v>417</v>
      </c>
      <c r="J8" s="259">
        <v>13.47</v>
      </c>
      <c r="K8" s="259">
        <v>20.613956205800001</v>
      </c>
    </row>
    <row r="9" spans="1:11" ht="23" x14ac:dyDescent="0.25">
      <c r="A9" s="157" t="s">
        <v>417</v>
      </c>
      <c r="B9" s="138">
        <v>13.47</v>
      </c>
      <c r="C9" s="235">
        <v>10.88</v>
      </c>
      <c r="D9" s="138">
        <v>10.24</v>
      </c>
      <c r="G9" s="255">
        <v>2020</v>
      </c>
      <c r="H9" s="255" t="s">
        <v>479</v>
      </c>
      <c r="I9" s="256" t="s">
        <v>418</v>
      </c>
      <c r="J9" s="259">
        <v>0.77</v>
      </c>
      <c r="K9" s="259">
        <v>0.97102695709999998</v>
      </c>
    </row>
    <row r="10" spans="1:11" ht="23" hidden="1" x14ac:dyDescent="0.25">
      <c r="A10" s="158" t="s">
        <v>418</v>
      </c>
      <c r="B10" s="135">
        <v>0.77</v>
      </c>
      <c r="C10" s="135">
        <v>0.97</v>
      </c>
      <c r="D10" s="136">
        <v>0.81</v>
      </c>
      <c r="G10" s="255">
        <v>2020</v>
      </c>
      <c r="H10" s="255" t="s">
        <v>479</v>
      </c>
      <c r="I10" s="256" t="s">
        <v>419</v>
      </c>
      <c r="J10" s="259">
        <v>1.86</v>
      </c>
      <c r="K10" s="259">
        <v>4.1212580000000001</v>
      </c>
    </row>
    <row r="11" spans="1:11" ht="23" hidden="1" x14ac:dyDescent="0.25">
      <c r="A11" s="159" t="s">
        <v>419</v>
      </c>
      <c r="B11" s="140">
        <v>1.86</v>
      </c>
      <c r="C11" s="139">
        <v>2.2200000000000002</v>
      </c>
      <c r="D11" s="139">
        <v>2.02</v>
      </c>
      <c r="G11" s="255">
        <v>2020</v>
      </c>
      <c r="H11" s="255" t="s">
        <v>435</v>
      </c>
      <c r="I11" s="255" t="s">
        <v>420</v>
      </c>
      <c r="J11" s="259">
        <v>1.22</v>
      </c>
      <c r="K11" s="259">
        <v>1.4071810924000001</v>
      </c>
    </row>
    <row r="12" spans="1:11" ht="23" hidden="1" x14ac:dyDescent="0.25">
      <c r="A12" s="162" t="s">
        <v>435</v>
      </c>
      <c r="B12" s="161"/>
      <c r="C12" s="161"/>
      <c r="D12" s="161"/>
      <c r="G12" s="255">
        <v>2020</v>
      </c>
      <c r="H12" s="255" t="s">
        <v>435</v>
      </c>
      <c r="I12" s="255" t="s">
        <v>421</v>
      </c>
      <c r="J12" s="259">
        <v>9.9432551519903249</v>
      </c>
      <c r="K12" s="259"/>
    </row>
    <row r="13" spans="1:11" ht="23" hidden="1" x14ac:dyDescent="0.25">
      <c r="A13" s="153" t="s">
        <v>420</v>
      </c>
      <c r="B13" s="133">
        <v>1.22</v>
      </c>
      <c r="C13" s="133">
        <v>0.96</v>
      </c>
      <c r="D13" s="133">
        <v>0.77</v>
      </c>
      <c r="G13" s="255">
        <v>2020</v>
      </c>
      <c r="H13" s="255" t="s">
        <v>435</v>
      </c>
      <c r="I13" s="255" t="s">
        <v>467</v>
      </c>
      <c r="J13" s="259">
        <v>0.54969857502263153</v>
      </c>
      <c r="K13" s="259"/>
    </row>
    <row r="14" spans="1:11" ht="23" hidden="1" x14ac:dyDescent="0.25">
      <c r="A14" s="154" t="s">
        <v>421</v>
      </c>
      <c r="B14" s="141">
        <v>9.9432551519903249</v>
      </c>
      <c r="C14" s="141">
        <v>16.534579699793589</v>
      </c>
      <c r="D14" s="141">
        <v>10.97204941944333</v>
      </c>
      <c r="G14" s="255">
        <v>2020</v>
      </c>
      <c r="H14" s="255" t="s">
        <v>436</v>
      </c>
      <c r="I14" s="255" t="s">
        <v>422</v>
      </c>
      <c r="J14" s="257">
        <v>0.20976879536760712</v>
      </c>
      <c r="K14" s="257">
        <v>0.1762287505</v>
      </c>
    </row>
    <row r="15" spans="1:11" ht="23" hidden="1" x14ac:dyDescent="0.25">
      <c r="A15" s="155" t="s">
        <v>467</v>
      </c>
      <c r="B15" s="142">
        <f>BS!B75/BS!B133</f>
        <v>0.54969857502263153</v>
      </c>
      <c r="C15" s="142">
        <f>BS!C75/BS!C133</f>
        <v>0.49067298192861442</v>
      </c>
      <c r="D15" s="142">
        <f>BS!D75/BS!D133</f>
        <v>0.43574340869524592</v>
      </c>
      <c r="G15" s="255">
        <v>2020</v>
      </c>
      <c r="H15" s="255" t="s">
        <v>436</v>
      </c>
      <c r="I15" s="255" t="s">
        <v>423</v>
      </c>
      <c r="J15" s="257">
        <v>0.19000488457367834</v>
      </c>
      <c r="K15" s="257">
        <v>0.1113002683</v>
      </c>
    </row>
    <row r="16" spans="1:11" ht="23" hidden="1" x14ac:dyDescent="0.25">
      <c r="A16" s="162" t="s">
        <v>436</v>
      </c>
      <c r="B16" s="163"/>
      <c r="C16" s="163"/>
      <c r="D16" s="164"/>
      <c r="G16" s="255">
        <v>2020</v>
      </c>
      <c r="H16" s="255" t="s">
        <v>436</v>
      </c>
      <c r="I16" s="255" t="s">
        <v>424</v>
      </c>
      <c r="J16" s="257">
        <v>0.14987115346284027</v>
      </c>
      <c r="K16" s="257">
        <v>0.1494462252</v>
      </c>
    </row>
    <row r="17" spans="1:11" ht="23" hidden="1" x14ac:dyDescent="0.25">
      <c r="A17" s="151" t="s">
        <v>422</v>
      </c>
      <c r="B17" s="143">
        <f>IS!B10/IS!B8</f>
        <v>0.20976879536760712</v>
      </c>
      <c r="C17" s="143">
        <f>IS!C10/IS!C8</f>
        <v>0.27464235177417562</v>
      </c>
      <c r="D17" s="143">
        <f>IS!D10/IS!D8</f>
        <v>0.11854545116288605</v>
      </c>
      <c r="G17" s="255">
        <v>2020</v>
      </c>
      <c r="H17" s="255" t="s">
        <v>436</v>
      </c>
      <c r="I17" s="255" t="s">
        <v>425</v>
      </c>
      <c r="J17" s="257">
        <v>0.1153</v>
      </c>
      <c r="K17" s="257">
        <v>9.83722655E-2</v>
      </c>
    </row>
    <row r="18" spans="1:11" ht="23" hidden="1" x14ac:dyDescent="0.25">
      <c r="A18" s="152" t="s">
        <v>423</v>
      </c>
      <c r="B18" s="144">
        <f>CFS!B59/IS!B8</f>
        <v>0.19000488457367834</v>
      </c>
      <c r="C18" s="144">
        <f>CFS!C59/IS!C8</f>
        <v>0.25163103025653921</v>
      </c>
      <c r="D18" s="144">
        <f>CFS!D59/IS!D8</f>
        <v>9.2484569507100697E-2</v>
      </c>
      <c r="G18" s="255">
        <v>2020</v>
      </c>
      <c r="H18" s="255" t="s">
        <v>436</v>
      </c>
      <c r="I18" s="255" t="s">
        <v>426</v>
      </c>
      <c r="J18" s="257">
        <v>0.25209999999999999</v>
      </c>
      <c r="K18" s="257">
        <v>0.21906932109999999</v>
      </c>
    </row>
    <row r="19" spans="1:11" ht="23" hidden="1" x14ac:dyDescent="0.25">
      <c r="A19" s="152" t="s">
        <v>424</v>
      </c>
      <c r="B19" s="145">
        <f>IS!B25/IS!B8</f>
        <v>0.14987115346284027</v>
      </c>
      <c r="C19" s="145">
        <f>IS!C25/IS!C8</f>
        <v>0.23063203747187047</v>
      </c>
      <c r="D19" s="144">
        <f>IS!D25/IS!D8</f>
        <v>5.9716232098106892E-2</v>
      </c>
      <c r="G19" s="255">
        <v>2020</v>
      </c>
      <c r="H19" s="255" t="s">
        <v>436</v>
      </c>
      <c r="I19" s="255" t="s">
        <v>427</v>
      </c>
      <c r="J19" s="257">
        <v>0.151</v>
      </c>
      <c r="K19" s="257">
        <v>0.22791865010000001</v>
      </c>
    </row>
    <row r="20" spans="1:11" ht="23" hidden="1" x14ac:dyDescent="0.25">
      <c r="A20" s="152" t="s">
        <v>425</v>
      </c>
      <c r="B20" s="146">
        <v>0.1153</v>
      </c>
      <c r="C20" s="147">
        <v>0.22259999999999999</v>
      </c>
      <c r="D20" s="148">
        <v>4.87E-2</v>
      </c>
      <c r="G20" s="255">
        <v>2020</v>
      </c>
      <c r="H20" s="255" t="s">
        <v>436</v>
      </c>
      <c r="I20" s="255" t="s">
        <v>428</v>
      </c>
      <c r="J20" s="259">
        <v>0.13020127049119493</v>
      </c>
      <c r="K20" s="259"/>
    </row>
    <row r="21" spans="1:11" ht="23" hidden="1" x14ac:dyDescent="0.25">
      <c r="A21" s="152" t="s">
        <v>426</v>
      </c>
      <c r="B21" s="149">
        <v>0.25209999999999999</v>
      </c>
      <c r="C21" s="146">
        <v>0.46060000000000001</v>
      </c>
      <c r="D21" s="147">
        <v>9.0899999999999995E-2</v>
      </c>
      <c r="G21" s="255">
        <v>2020</v>
      </c>
      <c r="H21" s="255" t="s">
        <v>437</v>
      </c>
      <c r="I21" s="255" t="s">
        <v>429</v>
      </c>
      <c r="J21" s="259">
        <v>11.42</v>
      </c>
      <c r="K21" s="259">
        <v>12.3223104098</v>
      </c>
    </row>
    <row r="22" spans="1:11" ht="23" hidden="1" x14ac:dyDescent="0.25">
      <c r="A22" s="152" t="s">
        <v>427</v>
      </c>
      <c r="B22" s="144">
        <v>0.151</v>
      </c>
      <c r="C22" s="238">
        <v>0.2545</v>
      </c>
      <c r="D22" s="238">
        <v>8.4900000000000003E-2</v>
      </c>
      <c r="G22" s="255">
        <v>2020</v>
      </c>
      <c r="H22" s="255" t="s">
        <v>437</v>
      </c>
      <c r="I22" s="255" t="s">
        <v>430</v>
      </c>
      <c r="J22" s="259">
        <v>2.0621915533999999</v>
      </c>
      <c r="K22" s="259">
        <v>2.1219475255</v>
      </c>
    </row>
    <row r="23" spans="1:11" ht="23" hidden="1" x14ac:dyDescent="0.25">
      <c r="A23" s="155" t="s">
        <v>428</v>
      </c>
      <c r="B23" s="142">
        <f>CFS!B59/BS!B72</f>
        <v>0.13020127049119493</v>
      </c>
      <c r="C23" s="142">
        <f>CFS!C59/BS!C72</f>
        <v>0.21131528148260018</v>
      </c>
      <c r="D23" s="142">
        <f>CFS!D59/BS!D72</f>
        <v>7.6778912058788965E-2</v>
      </c>
      <c r="G23" s="255">
        <v>2020</v>
      </c>
      <c r="H23" s="255" t="s">
        <v>437</v>
      </c>
      <c r="I23" s="255" t="s">
        <v>431</v>
      </c>
      <c r="J23" s="259">
        <v>8.8800000000000008</v>
      </c>
      <c r="K23" s="259">
        <v>9.4436327840000001</v>
      </c>
    </row>
    <row r="24" spans="1:11" ht="23" hidden="1" x14ac:dyDescent="0.25">
      <c r="A24" s="165" t="s">
        <v>437</v>
      </c>
      <c r="B24" s="163"/>
      <c r="C24" s="163"/>
      <c r="D24" s="163"/>
      <c r="G24" s="255">
        <v>2021</v>
      </c>
      <c r="H24" s="255" t="s">
        <v>434</v>
      </c>
      <c r="I24" s="256" t="s">
        <v>414</v>
      </c>
      <c r="J24" s="259">
        <v>1.2817279677</v>
      </c>
      <c r="K24" s="259">
        <v>1.2714282091</v>
      </c>
    </row>
    <row r="25" spans="1:11" ht="23" hidden="1" x14ac:dyDescent="0.25">
      <c r="A25" s="153" t="s">
        <v>429</v>
      </c>
      <c r="B25" s="133">
        <v>11.42</v>
      </c>
      <c r="C25" s="132">
        <v>6.63</v>
      </c>
      <c r="D25" s="132">
        <v>13.71</v>
      </c>
      <c r="G25" s="255">
        <v>2021</v>
      </c>
      <c r="H25" s="255" t="s">
        <v>434</v>
      </c>
      <c r="I25" s="256" t="s">
        <v>415</v>
      </c>
      <c r="J25" s="259">
        <v>0.41021422540000002</v>
      </c>
      <c r="K25" s="259">
        <v>0.65270706199999995</v>
      </c>
    </row>
    <row r="26" spans="1:11" ht="23" hidden="1" x14ac:dyDescent="0.25">
      <c r="A26" s="152" t="s">
        <v>430</v>
      </c>
      <c r="B26" s="136">
        <v>2.0621915533999999</v>
      </c>
      <c r="C26" s="134">
        <v>2.52</v>
      </c>
      <c r="D26" s="135">
        <v>1.21</v>
      </c>
      <c r="G26" s="255">
        <v>2021</v>
      </c>
      <c r="H26" s="255" t="s">
        <v>479</v>
      </c>
      <c r="I26" s="256" t="s">
        <v>416</v>
      </c>
      <c r="J26" s="259">
        <v>3.5524288061977001</v>
      </c>
      <c r="K26" s="259"/>
    </row>
    <row r="27" spans="1:11" ht="23" hidden="1" x14ac:dyDescent="0.25">
      <c r="A27" s="155" t="s">
        <v>431</v>
      </c>
      <c r="B27" s="139">
        <v>8.8800000000000008</v>
      </c>
      <c r="C27" s="139">
        <v>6.02</v>
      </c>
      <c r="D27" s="150">
        <v>8.34</v>
      </c>
      <c r="G27" s="255">
        <v>2021</v>
      </c>
      <c r="H27" s="255" t="s">
        <v>479</v>
      </c>
      <c r="I27" s="256" t="s">
        <v>417</v>
      </c>
      <c r="J27" s="259">
        <v>10.88</v>
      </c>
      <c r="K27" s="259">
        <v>20.820991963699999</v>
      </c>
    </row>
    <row r="28" spans="1:11" ht="18" x14ac:dyDescent="0.2">
      <c r="G28" s="255">
        <v>2021</v>
      </c>
      <c r="H28" s="255" t="s">
        <v>479</v>
      </c>
      <c r="I28" s="256" t="s">
        <v>418</v>
      </c>
      <c r="J28" s="259">
        <v>0.97</v>
      </c>
      <c r="K28" s="259">
        <v>1.2623968669000001</v>
      </c>
    </row>
    <row r="29" spans="1:11" ht="18" hidden="1" x14ac:dyDescent="0.2">
      <c r="G29" s="255">
        <v>2021</v>
      </c>
      <c r="H29" s="255" t="s">
        <v>479</v>
      </c>
      <c r="I29" s="256" t="s">
        <v>419</v>
      </c>
      <c r="J29" s="259">
        <v>2.2200000000000002</v>
      </c>
      <c r="K29" s="259">
        <v>6.1144540000000003</v>
      </c>
    </row>
    <row r="30" spans="1:11" ht="18" hidden="1" x14ac:dyDescent="0.2">
      <c r="G30" s="255">
        <v>2021</v>
      </c>
      <c r="H30" s="255" t="s">
        <v>435</v>
      </c>
      <c r="I30" s="255" t="s">
        <v>420</v>
      </c>
      <c r="J30" s="259">
        <v>0.96</v>
      </c>
      <c r="K30" s="259">
        <v>1.1670028883000001</v>
      </c>
    </row>
    <row r="31" spans="1:11" ht="18" hidden="1" x14ac:dyDescent="0.2">
      <c r="G31" s="255">
        <v>2021</v>
      </c>
      <c r="H31" s="255" t="s">
        <v>435</v>
      </c>
      <c r="I31" s="255" t="s">
        <v>421</v>
      </c>
      <c r="J31" s="259">
        <v>16.534579699793589</v>
      </c>
      <c r="K31" s="259"/>
    </row>
    <row r="32" spans="1:11" ht="18" hidden="1" x14ac:dyDescent="0.2">
      <c r="G32" s="255">
        <v>2021</v>
      </c>
      <c r="H32" s="255" t="s">
        <v>435</v>
      </c>
      <c r="I32" s="255" t="s">
        <v>467</v>
      </c>
      <c r="J32" s="259">
        <v>0.49067298192861442</v>
      </c>
      <c r="K32" s="259"/>
    </row>
    <row r="33" spans="3:14" ht="18" hidden="1" x14ac:dyDescent="0.2">
      <c r="G33" s="255">
        <v>2021</v>
      </c>
      <c r="H33" s="255" t="s">
        <v>436</v>
      </c>
      <c r="I33" s="255" t="s">
        <v>422</v>
      </c>
      <c r="J33" s="257">
        <v>0.27464235177417562</v>
      </c>
      <c r="K33" s="258">
        <v>0.23367865060000001</v>
      </c>
    </row>
    <row r="34" spans="3:14" ht="18" hidden="1" x14ac:dyDescent="0.2">
      <c r="G34" s="255">
        <v>2021</v>
      </c>
      <c r="H34" s="255" t="s">
        <v>436</v>
      </c>
      <c r="I34" s="255" t="s">
        <v>423</v>
      </c>
      <c r="J34" s="257">
        <v>0.25163103025653921</v>
      </c>
      <c r="K34" s="258">
        <v>0.18084776790000001</v>
      </c>
    </row>
    <row r="35" spans="3:14" ht="18" hidden="1" x14ac:dyDescent="0.2">
      <c r="C35">
        <v>-22097815712253</v>
      </c>
      <c r="G35" s="255">
        <v>2021</v>
      </c>
      <c r="H35" s="255" t="s">
        <v>436</v>
      </c>
      <c r="I35" s="255" t="s">
        <v>424</v>
      </c>
      <c r="J35" s="257">
        <v>0.23063203747187047</v>
      </c>
      <c r="K35" s="258">
        <v>0.20425586330000001</v>
      </c>
    </row>
    <row r="36" spans="3:14" ht="18" hidden="1" x14ac:dyDescent="0.2">
      <c r="G36" s="255">
        <v>2021</v>
      </c>
      <c r="H36" s="255" t="s">
        <v>436</v>
      </c>
      <c r="I36" s="255" t="s">
        <v>425</v>
      </c>
      <c r="J36" s="257">
        <v>0.22259999999999999</v>
      </c>
      <c r="K36" s="258">
        <v>0.1950883159</v>
      </c>
    </row>
    <row r="37" spans="3:14" ht="18" hidden="1" x14ac:dyDescent="0.2">
      <c r="G37" s="255">
        <v>2021</v>
      </c>
      <c r="H37" s="255" t="s">
        <v>436</v>
      </c>
      <c r="I37" s="255" t="s">
        <v>426</v>
      </c>
      <c r="J37" s="257">
        <v>0.46060000000000001</v>
      </c>
      <c r="K37" s="258">
        <v>0.41649280840000003</v>
      </c>
    </row>
    <row r="38" spans="3:14" ht="18" hidden="1" x14ac:dyDescent="0.2">
      <c r="G38" s="255">
        <v>2021</v>
      </c>
      <c r="H38" s="255" t="s">
        <v>436</v>
      </c>
      <c r="I38" s="255" t="s">
        <v>427</v>
      </c>
      <c r="J38" s="257">
        <v>0.2545</v>
      </c>
      <c r="K38" s="258">
        <v>0.25172598889999998</v>
      </c>
    </row>
    <row r="39" spans="3:14" ht="18" hidden="1" x14ac:dyDescent="0.2">
      <c r="G39" s="255">
        <v>2021</v>
      </c>
      <c r="H39" s="255" t="s">
        <v>436</v>
      </c>
      <c r="I39" s="255" t="s">
        <v>428</v>
      </c>
      <c r="J39" s="260">
        <v>0.21131528148260018</v>
      </c>
      <c r="K39" s="259"/>
    </row>
    <row r="40" spans="3:14" ht="18" hidden="1" x14ac:dyDescent="0.2">
      <c r="G40" s="255">
        <v>2021</v>
      </c>
      <c r="H40" s="255" t="s">
        <v>437</v>
      </c>
      <c r="I40" s="255" t="s">
        <v>429</v>
      </c>
      <c r="J40" s="259">
        <v>6.63</v>
      </c>
      <c r="K40" s="259">
        <v>6.0611012806</v>
      </c>
    </row>
    <row r="41" spans="3:14" ht="18" hidden="1" x14ac:dyDescent="0.2">
      <c r="G41" s="255">
        <v>2021</v>
      </c>
      <c r="H41" s="255" t="s">
        <v>437</v>
      </c>
      <c r="I41" s="255" t="s">
        <v>430</v>
      </c>
      <c r="J41" s="259">
        <v>2.52</v>
      </c>
      <c r="K41" s="259">
        <v>2.5221006460000002</v>
      </c>
      <c r="N41" s="319"/>
    </row>
    <row r="42" spans="3:14" ht="18" hidden="1" x14ac:dyDescent="0.2">
      <c r="G42" s="255">
        <v>2021</v>
      </c>
      <c r="H42" s="255" t="s">
        <v>437</v>
      </c>
      <c r="I42" s="255" t="s">
        <v>431</v>
      </c>
      <c r="J42" s="259">
        <v>6.02</v>
      </c>
      <c r="K42" s="259">
        <v>6.3554659727000002</v>
      </c>
    </row>
    <row r="43" spans="3:14" ht="18" hidden="1" x14ac:dyDescent="0.2">
      <c r="G43" s="255">
        <v>2022</v>
      </c>
      <c r="H43" s="255" t="s">
        <v>434</v>
      </c>
      <c r="I43" s="256" t="s">
        <v>414</v>
      </c>
      <c r="J43" s="259">
        <v>1.2906019797999999</v>
      </c>
      <c r="K43" s="259">
        <v>1.3012527698</v>
      </c>
    </row>
    <row r="44" spans="3:14" ht="18" hidden="1" x14ac:dyDescent="0.2">
      <c r="G44" s="255">
        <v>2022</v>
      </c>
      <c r="H44" s="255" t="s">
        <v>434</v>
      </c>
      <c r="I44" s="256" t="s">
        <v>415</v>
      </c>
      <c r="J44" s="259">
        <v>0.29201478250000001</v>
      </c>
      <c r="K44" s="259">
        <v>0.70143703570000004</v>
      </c>
    </row>
    <row r="45" spans="3:14" ht="18" hidden="1" x14ac:dyDescent="0.2">
      <c r="G45" s="255">
        <v>2022</v>
      </c>
      <c r="H45" s="255" t="s">
        <v>479</v>
      </c>
      <c r="I45" s="256" t="s">
        <v>416</v>
      </c>
      <c r="J45" s="259">
        <v>4.0998758800938484</v>
      </c>
      <c r="K45" s="259"/>
    </row>
    <row r="46" spans="3:14" ht="18" hidden="1" x14ac:dyDescent="0.2">
      <c r="G46" s="255">
        <v>2022</v>
      </c>
      <c r="H46" s="255" t="s">
        <v>479</v>
      </c>
      <c r="I46" s="256" t="s">
        <v>417</v>
      </c>
      <c r="J46" s="259">
        <v>10.24</v>
      </c>
      <c r="K46" s="259">
        <v>17.2377128525</v>
      </c>
    </row>
    <row r="47" spans="3:14" ht="18" x14ac:dyDescent="0.2">
      <c r="G47" s="255">
        <v>2022</v>
      </c>
      <c r="H47" s="255" t="s">
        <v>479</v>
      </c>
      <c r="I47" s="256" t="s">
        <v>418</v>
      </c>
      <c r="J47" s="259">
        <v>0.81</v>
      </c>
      <c r="K47" s="259">
        <v>1.0189066523000001</v>
      </c>
    </row>
    <row r="48" spans="3:14" ht="18" hidden="1" x14ac:dyDescent="0.2">
      <c r="G48" s="255">
        <v>2022</v>
      </c>
      <c r="H48" s="255" t="s">
        <v>479</v>
      </c>
      <c r="I48" s="256" t="s">
        <v>419</v>
      </c>
      <c r="J48" s="259">
        <v>2.02</v>
      </c>
      <c r="K48" s="259">
        <v>4.4108369999999999</v>
      </c>
    </row>
    <row r="49" spans="1:11" ht="18" hidden="1" x14ac:dyDescent="0.2">
      <c r="G49" s="255">
        <v>2022</v>
      </c>
      <c r="H49" s="255" t="s">
        <v>435</v>
      </c>
      <c r="I49" s="255" t="s">
        <v>420</v>
      </c>
      <c r="J49" s="259">
        <v>0.77</v>
      </c>
      <c r="K49" s="259">
        <v>0.93029423609999995</v>
      </c>
    </row>
    <row r="50" spans="1:11" ht="18" hidden="1" x14ac:dyDescent="0.2">
      <c r="G50" s="255">
        <v>2022</v>
      </c>
      <c r="H50" s="255" t="s">
        <v>435</v>
      </c>
      <c r="I50" s="255" t="s">
        <v>421</v>
      </c>
      <c r="J50" s="259">
        <v>10.97204941944333</v>
      </c>
      <c r="K50" s="259"/>
    </row>
    <row r="51" spans="1:11" ht="18" hidden="1" x14ac:dyDescent="0.2">
      <c r="G51" s="255">
        <v>2022</v>
      </c>
      <c r="H51" s="255" t="s">
        <v>435</v>
      </c>
      <c r="I51" s="255" t="s">
        <v>467</v>
      </c>
      <c r="J51" s="259">
        <v>0.43574340869524592</v>
      </c>
      <c r="K51" s="259"/>
    </row>
    <row r="52" spans="1:11" ht="18" hidden="1" x14ac:dyDescent="0.2">
      <c r="G52" s="255">
        <v>2022</v>
      </c>
      <c r="H52" s="255" t="s">
        <v>436</v>
      </c>
      <c r="I52" s="255" t="s">
        <v>422</v>
      </c>
      <c r="J52" s="257">
        <v>0.11854545116288605</v>
      </c>
      <c r="K52" s="258">
        <v>0.1064845427</v>
      </c>
    </row>
    <row r="53" spans="1:11" ht="18" hidden="1" x14ac:dyDescent="0.2">
      <c r="G53" s="255">
        <v>2022</v>
      </c>
      <c r="H53" s="255" t="s">
        <v>436</v>
      </c>
      <c r="I53" s="255" t="s">
        <v>423</v>
      </c>
      <c r="J53" s="257">
        <v>9.2484569507100697E-2</v>
      </c>
      <c r="K53" s="258">
        <v>4.2668056500000003E-2</v>
      </c>
    </row>
    <row r="54" spans="1:11" ht="18" hidden="1" x14ac:dyDescent="0.2">
      <c r="G54" s="255">
        <v>2022</v>
      </c>
      <c r="H54" s="255" t="s">
        <v>436</v>
      </c>
      <c r="I54" s="255" t="s">
        <v>424</v>
      </c>
      <c r="J54" s="257">
        <v>5.9716232098106892E-2</v>
      </c>
      <c r="K54" s="258">
        <v>7.4331892299999994E-2</v>
      </c>
    </row>
    <row r="55" spans="1:11" ht="18" hidden="1" x14ac:dyDescent="0.2">
      <c r="G55" s="255">
        <v>2022</v>
      </c>
      <c r="H55" s="255" t="s">
        <v>436</v>
      </c>
      <c r="I55" s="255" t="s">
        <v>425</v>
      </c>
      <c r="J55" s="257">
        <v>4.87E-2</v>
      </c>
      <c r="K55" s="258">
        <v>3.4881107000000001E-2</v>
      </c>
    </row>
    <row r="56" spans="1:11" ht="18" hidden="1" x14ac:dyDescent="0.2">
      <c r="G56" s="255">
        <v>2022</v>
      </c>
      <c r="H56" s="255" t="s">
        <v>436</v>
      </c>
      <c r="I56" s="255" t="s">
        <v>426</v>
      </c>
      <c r="J56" s="257">
        <v>9.0899999999999995E-2</v>
      </c>
      <c r="K56" s="258">
        <v>6.2999128599999996E-2</v>
      </c>
    </row>
    <row r="57" spans="1:11" ht="18" hidden="1" x14ac:dyDescent="0.2">
      <c r="G57" s="255">
        <v>2022</v>
      </c>
      <c r="H57" s="255" t="s">
        <v>436</v>
      </c>
      <c r="I57" s="255" t="s">
        <v>427</v>
      </c>
      <c r="J57" s="257">
        <v>8.4900000000000003E-2</v>
      </c>
      <c r="K57" s="258">
        <v>8.4915907700000001E-2</v>
      </c>
    </row>
    <row r="58" spans="1:11" ht="18" hidden="1" x14ac:dyDescent="0.2">
      <c r="G58" s="255">
        <v>2022</v>
      </c>
      <c r="H58" s="255" t="s">
        <v>436</v>
      </c>
      <c r="I58" s="255" t="s">
        <v>428</v>
      </c>
      <c r="J58" s="260">
        <v>7.6778912058788965E-2</v>
      </c>
      <c r="K58" s="259"/>
    </row>
    <row r="59" spans="1:11" ht="18" hidden="1" x14ac:dyDescent="0.2">
      <c r="G59" s="255">
        <v>2022</v>
      </c>
      <c r="H59" s="255" t="s">
        <v>437</v>
      </c>
      <c r="I59" s="255" t="s">
        <v>429</v>
      </c>
      <c r="J59" s="259">
        <v>13.71</v>
      </c>
      <c r="K59" s="259">
        <v>33.290345834500002</v>
      </c>
    </row>
    <row r="60" spans="1:11" ht="18" hidden="1" x14ac:dyDescent="0.2">
      <c r="G60" s="255">
        <v>2022</v>
      </c>
      <c r="H60" s="255" t="s">
        <v>437</v>
      </c>
      <c r="I60" s="255" t="s">
        <v>430</v>
      </c>
      <c r="J60" s="259">
        <v>1.21</v>
      </c>
      <c r="K60" s="259">
        <v>1.0782592249</v>
      </c>
    </row>
    <row r="61" spans="1:11" ht="18" hidden="1" x14ac:dyDescent="0.2">
      <c r="G61" s="255">
        <v>2022</v>
      </c>
      <c r="H61" s="255" t="s">
        <v>437</v>
      </c>
      <c r="I61" s="255" t="s">
        <v>431</v>
      </c>
      <c r="J61" s="259">
        <v>8.34</v>
      </c>
      <c r="K61" s="259">
        <v>12.007592088299999</v>
      </c>
    </row>
    <row r="62" spans="1:11" x14ac:dyDescent="0.15">
      <c r="A62" t="s">
        <v>182</v>
      </c>
      <c r="B62" t="s">
        <v>494</v>
      </c>
      <c r="C62" t="s">
        <v>477</v>
      </c>
      <c r="D62" t="s">
        <v>493</v>
      </c>
    </row>
    <row r="63" spans="1:11" x14ac:dyDescent="0.15">
      <c r="A63">
        <v>2020</v>
      </c>
      <c r="B63" t="s">
        <v>495</v>
      </c>
      <c r="C63" s="329">
        <v>0.22806843623333498</v>
      </c>
      <c r="D63" s="329">
        <v>0.21906932109999999</v>
      </c>
    </row>
    <row r="64" spans="1:11" x14ac:dyDescent="0.15">
      <c r="A64">
        <v>2020</v>
      </c>
      <c r="B64" t="s">
        <v>497</v>
      </c>
      <c r="C64" s="329">
        <v>0.14987115346284027</v>
      </c>
      <c r="D64" s="329">
        <v>0.1113002683</v>
      </c>
    </row>
    <row r="65" spans="1:7" x14ac:dyDescent="0.15">
      <c r="A65">
        <v>2020</v>
      </c>
      <c r="B65" t="s">
        <v>418</v>
      </c>
      <c r="C65" s="53">
        <v>0.68525222803262553</v>
      </c>
      <c r="D65" s="53">
        <v>0.97102695709999998</v>
      </c>
    </row>
    <row r="66" spans="1:7" x14ac:dyDescent="0.15">
      <c r="A66">
        <v>2020</v>
      </c>
      <c r="B66" t="s">
        <v>496</v>
      </c>
      <c r="C66" s="330">
        <v>2.2207347002072191</v>
      </c>
      <c r="D66" s="330">
        <v>2.2269419128097643</v>
      </c>
    </row>
    <row r="67" spans="1:7" x14ac:dyDescent="0.15">
      <c r="A67">
        <v>2021</v>
      </c>
      <c r="B67" t="s">
        <v>495</v>
      </c>
      <c r="C67" s="329">
        <v>0.38026786813611585</v>
      </c>
      <c r="D67" s="329">
        <v>0.41649280840000003</v>
      </c>
    </row>
    <row r="68" spans="1:7" x14ac:dyDescent="0.15">
      <c r="A68">
        <v>2021</v>
      </c>
      <c r="B68" t="s">
        <v>497</v>
      </c>
      <c r="C68" s="329">
        <v>0.23063203747187047</v>
      </c>
      <c r="D68" s="329">
        <v>0.18084776790000001</v>
      </c>
    </row>
    <row r="69" spans="1:7" x14ac:dyDescent="0.15">
      <c r="A69">
        <v>2021</v>
      </c>
      <c r="B69" t="s">
        <v>418</v>
      </c>
      <c r="C69" s="53">
        <v>0.8397822846695937</v>
      </c>
      <c r="D69" s="53">
        <v>1.2623968669000001</v>
      </c>
    </row>
    <row r="70" spans="1:7" x14ac:dyDescent="0.15">
      <c r="A70">
        <v>2021</v>
      </c>
      <c r="B70" t="s">
        <v>496</v>
      </c>
      <c r="C70" s="330">
        <v>1.9633751293748241</v>
      </c>
      <c r="D70" s="330">
        <v>2.1348936581803772</v>
      </c>
    </row>
    <row r="71" spans="1:7" x14ac:dyDescent="0.15">
      <c r="A71">
        <v>2022</v>
      </c>
      <c r="B71" t="s">
        <v>495</v>
      </c>
      <c r="C71" s="329">
        <v>8.7859440032456507E-2</v>
      </c>
      <c r="D71" s="329">
        <v>6.2999128599999996E-2</v>
      </c>
    </row>
    <row r="72" spans="1:7" x14ac:dyDescent="0.15">
      <c r="A72">
        <v>2022</v>
      </c>
      <c r="B72" t="s">
        <v>497</v>
      </c>
      <c r="C72" s="329">
        <v>5.9716232098106892E-2</v>
      </c>
      <c r="D72" s="329">
        <v>4.2668056500000003E-2</v>
      </c>
    </row>
    <row r="73" spans="1:7" x14ac:dyDescent="0.15">
      <c r="A73">
        <v>2022</v>
      </c>
      <c r="B73" t="s">
        <v>418</v>
      </c>
      <c r="C73" s="53">
        <v>0.83018078008022844</v>
      </c>
      <c r="D73" s="53">
        <v>1.0189066523000001</v>
      </c>
    </row>
    <row r="74" spans="1:7" x14ac:dyDescent="0.15">
      <c r="A74">
        <v>2022</v>
      </c>
      <c r="B74" t="s">
        <v>496</v>
      </c>
      <c r="C74" s="330">
        <v>1.7722433648274418</v>
      </c>
      <c r="D74" s="330">
        <v>1.8061103565319756</v>
      </c>
    </row>
    <row r="75" spans="1:7" x14ac:dyDescent="0.15">
      <c r="A75" s="58" t="s">
        <v>494</v>
      </c>
      <c r="B75" t="s">
        <v>495</v>
      </c>
      <c r="E75" s="58" t="s">
        <v>182</v>
      </c>
      <c r="F75" s="61">
        <v>2020</v>
      </c>
    </row>
    <row r="77" spans="1:7" x14ac:dyDescent="0.15">
      <c r="A77" s="58" t="s">
        <v>212</v>
      </c>
      <c r="B77" t="s">
        <v>508</v>
      </c>
      <c r="C77" t="s">
        <v>509</v>
      </c>
      <c r="E77" s="58" t="s">
        <v>212</v>
      </c>
      <c r="F77" t="s">
        <v>508</v>
      </c>
      <c r="G77" t="s">
        <v>509</v>
      </c>
    </row>
    <row r="78" spans="1:7" x14ac:dyDescent="0.15">
      <c r="A78" s="61">
        <v>2020</v>
      </c>
      <c r="B78" s="46">
        <v>0.22806843623333498</v>
      </c>
      <c r="C78" s="46">
        <v>0.21906932109999999</v>
      </c>
      <c r="E78" s="61" t="s">
        <v>496</v>
      </c>
      <c r="F78" s="330">
        <v>2.2207347002072191</v>
      </c>
      <c r="G78" s="330">
        <v>2.2269419128097643</v>
      </c>
    </row>
    <row r="79" spans="1:7" x14ac:dyDescent="0.15">
      <c r="A79" s="61">
        <v>2021</v>
      </c>
      <c r="B79" s="46">
        <v>0.38026786813611585</v>
      </c>
      <c r="C79" s="46">
        <v>0.41649280840000003</v>
      </c>
      <c r="E79" s="61" t="s">
        <v>497</v>
      </c>
      <c r="F79" s="46">
        <v>0.14987115346284027</v>
      </c>
      <c r="G79" s="46">
        <v>0.1113002683</v>
      </c>
    </row>
    <row r="80" spans="1:7" x14ac:dyDescent="0.15">
      <c r="A80" s="61">
        <v>2022</v>
      </c>
      <c r="B80" s="46">
        <v>8.7859440032456507E-2</v>
      </c>
      <c r="C80" s="46">
        <v>6.2999128599999996E-2</v>
      </c>
      <c r="E80" s="61" t="s">
        <v>495</v>
      </c>
      <c r="F80" s="46">
        <v>0.22806843623333498</v>
      </c>
      <c r="G80" s="46">
        <v>0.21906932109999999</v>
      </c>
    </row>
    <row r="81" spans="1:15" x14ac:dyDescent="0.15">
      <c r="E81" s="61" t="s">
        <v>418</v>
      </c>
      <c r="F81" s="330">
        <v>0.68525222803262553</v>
      </c>
      <c r="G81" s="330">
        <v>0.97102695709999998</v>
      </c>
    </row>
    <row r="82" spans="1:15" ht="15" x14ac:dyDescent="0.2">
      <c r="A82" s="63" t="s">
        <v>182</v>
      </c>
      <c r="B82" s="63" t="s">
        <v>221</v>
      </c>
      <c r="C82" s="63" t="s">
        <v>222</v>
      </c>
    </row>
    <row r="83" spans="1:15" ht="15" x14ac:dyDescent="0.2">
      <c r="A83" s="64">
        <v>2020</v>
      </c>
      <c r="B83" s="331">
        <f>IF($A83=$F$75,B78,0)</f>
        <v>0.22806843623333498</v>
      </c>
      <c r="C83" s="331">
        <f>IF($A83=$F$75,C78,0)</f>
        <v>0.21906932109999999</v>
      </c>
    </row>
    <row r="84" spans="1:15" ht="15" x14ac:dyDescent="0.2">
      <c r="A84" s="64">
        <v>2021</v>
      </c>
      <c r="B84" s="331">
        <f t="shared" ref="B84:C84" si="0">IF($A84=$F$75,B79,0)</f>
        <v>0</v>
      </c>
      <c r="C84" s="331">
        <f t="shared" si="0"/>
        <v>0</v>
      </c>
    </row>
    <row r="85" spans="1:15" ht="15" x14ac:dyDescent="0.2">
      <c r="A85" s="64">
        <v>2022</v>
      </c>
      <c r="B85" s="331">
        <f t="shared" ref="B85:C85" si="1">IF($A85=$F$75,B80,0)</f>
        <v>0</v>
      </c>
      <c r="C85" s="331">
        <f t="shared" si="1"/>
        <v>0</v>
      </c>
    </row>
    <row r="87" spans="1:15" x14ac:dyDescent="0.15">
      <c r="A87" t="s">
        <v>182</v>
      </c>
      <c r="B87" t="s">
        <v>494</v>
      </c>
      <c r="C87" t="s">
        <v>510</v>
      </c>
      <c r="D87" t="s">
        <v>511</v>
      </c>
    </row>
    <row r="88" spans="1:15" x14ac:dyDescent="0.15">
      <c r="A88">
        <v>2020</v>
      </c>
      <c r="B88" t="s">
        <v>495</v>
      </c>
      <c r="C88" t="s">
        <v>477</v>
      </c>
      <c r="D88" s="329">
        <v>0.22806843623333498</v>
      </c>
    </row>
    <row r="89" spans="1:15" x14ac:dyDescent="0.15">
      <c r="A89">
        <v>2020</v>
      </c>
      <c r="B89" t="s">
        <v>497</v>
      </c>
      <c r="C89" t="s">
        <v>477</v>
      </c>
      <c r="D89" s="329">
        <v>0.14987115346284027</v>
      </c>
    </row>
    <row r="90" spans="1:15" x14ac:dyDescent="0.15">
      <c r="A90">
        <v>2020</v>
      </c>
      <c r="B90" t="s">
        <v>418</v>
      </c>
      <c r="C90" t="s">
        <v>477</v>
      </c>
      <c r="D90" s="53">
        <v>0.68525222803262553</v>
      </c>
    </row>
    <row r="91" spans="1:15" x14ac:dyDescent="0.15">
      <c r="A91">
        <v>2020</v>
      </c>
      <c r="B91" t="s">
        <v>496</v>
      </c>
      <c r="C91" t="s">
        <v>477</v>
      </c>
      <c r="D91" s="330">
        <v>2.2207347002072191</v>
      </c>
      <c r="J91" s="58" t="s">
        <v>508</v>
      </c>
      <c r="K91" s="58" t="s">
        <v>214</v>
      </c>
    </row>
    <row r="92" spans="1:15" x14ac:dyDescent="0.15">
      <c r="A92">
        <v>2021</v>
      </c>
      <c r="B92" t="s">
        <v>495</v>
      </c>
      <c r="C92" t="s">
        <v>477</v>
      </c>
      <c r="D92" s="329">
        <v>0.38026786813611585</v>
      </c>
      <c r="J92" s="58" t="s">
        <v>212</v>
      </c>
      <c r="K92" t="s">
        <v>496</v>
      </c>
      <c r="L92" t="s">
        <v>497</v>
      </c>
      <c r="M92" t="s">
        <v>495</v>
      </c>
      <c r="N92" t="s">
        <v>418</v>
      </c>
      <c r="O92" t="s">
        <v>213</v>
      </c>
    </row>
    <row r="93" spans="1:15" x14ac:dyDescent="0.15">
      <c r="A93">
        <v>2021</v>
      </c>
      <c r="B93" t="s">
        <v>497</v>
      </c>
      <c r="C93" t="s">
        <v>477</v>
      </c>
      <c r="D93" s="329">
        <v>0.23063203747187047</v>
      </c>
      <c r="J93" s="61">
        <v>2020</v>
      </c>
      <c r="K93">
        <v>2.2207347002072191</v>
      </c>
      <c r="L93">
        <v>0.14987115346284027</v>
      </c>
      <c r="M93">
        <v>0.22806843623333498</v>
      </c>
      <c r="N93">
        <v>0.68525222803262553</v>
      </c>
      <c r="O93">
        <v>3.28392651793602</v>
      </c>
    </row>
    <row r="94" spans="1:15" x14ac:dyDescent="0.15">
      <c r="A94">
        <v>2021</v>
      </c>
      <c r="B94" t="s">
        <v>418</v>
      </c>
      <c r="C94" t="s">
        <v>477</v>
      </c>
      <c r="D94" s="53">
        <v>0.8397822846695937</v>
      </c>
      <c r="J94" s="61">
        <v>2021</v>
      </c>
      <c r="K94">
        <v>1.9633751293748241</v>
      </c>
      <c r="L94">
        <v>0.23063203747187047</v>
      </c>
      <c r="M94">
        <v>0.38026786813611585</v>
      </c>
      <c r="N94">
        <v>0.8397822846695937</v>
      </c>
      <c r="O94">
        <v>3.4140573196524042</v>
      </c>
    </row>
    <row r="95" spans="1:15" x14ac:dyDescent="0.15">
      <c r="A95">
        <v>2021</v>
      </c>
      <c r="B95" t="s">
        <v>496</v>
      </c>
      <c r="C95" t="s">
        <v>477</v>
      </c>
      <c r="D95" s="330">
        <v>1.9633751293748241</v>
      </c>
      <c r="J95" s="61">
        <v>2022</v>
      </c>
      <c r="K95">
        <v>1.7722433648274418</v>
      </c>
      <c r="L95">
        <v>5.9716232098106892E-2</v>
      </c>
      <c r="M95">
        <v>8.7859440032456507E-2</v>
      </c>
      <c r="N95">
        <v>0.83018078008022844</v>
      </c>
      <c r="O95">
        <v>2.7499998170382338</v>
      </c>
    </row>
    <row r="96" spans="1:15" x14ac:dyDescent="0.15">
      <c r="A96">
        <v>2022</v>
      </c>
      <c r="B96" t="s">
        <v>495</v>
      </c>
      <c r="C96" t="s">
        <v>477</v>
      </c>
      <c r="D96" s="329">
        <v>8.7859440032456507E-2</v>
      </c>
      <c r="J96" s="58" t="s">
        <v>510</v>
      </c>
      <c r="K96" t="s">
        <v>477</v>
      </c>
    </row>
    <row r="97" spans="1:13" x14ac:dyDescent="0.15">
      <c r="A97">
        <v>2022</v>
      </c>
      <c r="B97" t="s">
        <v>497</v>
      </c>
      <c r="C97" t="s">
        <v>477</v>
      </c>
      <c r="D97" s="329">
        <v>5.9716232098106892E-2</v>
      </c>
    </row>
    <row r="98" spans="1:13" x14ac:dyDescent="0.15">
      <c r="A98">
        <v>2022</v>
      </c>
      <c r="B98" t="s">
        <v>418</v>
      </c>
      <c r="C98" t="s">
        <v>477</v>
      </c>
      <c r="D98" s="53">
        <v>0.83018078008022844</v>
      </c>
      <c r="J98" s="58" t="s">
        <v>512</v>
      </c>
      <c r="K98" s="58" t="s">
        <v>214</v>
      </c>
    </row>
    <row r="99" spans="1:13" x14ac:dyDescent="0.15">
      <c r="A99">
        <v>2022</v>
      </c>
      <c r="B99" t="s">
        <v>496</v>
      </c>
      <c r="C99" t="s">
        <v>477</v>
      </c>
      <c r="D99" s="330">
        <v>1.7722433648274418</v>
      </c>
      <c r="J99" s="58" t="s">
        <v>212</v>
      </c>
      <c r="K99" t="s">
        <v>496</v>
      </c>
      <c r="L99" t="s">
        <v>497</v>
      </c>
      <c r="M99" t="s">
        <v>418</v>
      </c>
    </row>
    <row r="100" spans="1:13" x14ac:dyDescent="0.15">
      <c r="A100">
        <v>2020</v>
      </c>
      <c r="B100" t="s">
        <v>495</v>
      </c>
      <c r="C100" t="s">
        <v>493</v>
      </c>
      <c r="D100" s="329">
        <v>0.21906932109999999</v>
      </c>
      <c r="J100" s="61">
        <v>2020</v>
      </c>
      <c r="K100" s="330">
        <v>2.2207347002072191</v>
      </c>
      <c r="L100" s="330">
        <v>0.14987115346284027</v>
      </c>
      <c r="M100" s="330">
        <v>0.68525222803262553</v>
      </c>
    </row>
    <row r="101" spans="1:13" x14ac:dyDescent="0.15">
      <c r="A101">
        <v>2020</v>
      </c>
      <c r="B101" t="s">
        <v>497</v>
      </c>
      <c r="C101" t="s">
        <v>493</v>
      </c>
      <c r="D101" s="329">
        <v>0.1113002683</v>
      </c>
      <c r="J101" s="61">
        <v>2021</v>
      </c>
      <c r="K101" s="330">
        <v>1.9633751293748241</v>
      </c>
      <c r="L101" s="330">
        <v>0.23063203747187047</v>
      </c>
      <c r="M101" s="330">
        <v>0.8397822846695937</v>
      </c>
    </row>
    <row r="102" spans="1:13" x14ac:dyDescent="0.15">
      <c r="A102">
        <v>2020</v>
      </c>
      <c r="B102" t="s">
        <v>418</v>
      </c>
      <c r="C102" t="s">
        <v>493</v>
      </c>
      <c r="D102" s="53">
        <v>0.97102695709999998</v>
      </c>
      <c r="J102" s="61">
        <v>2022</v>
      </c>
      <c r="K102" s="330">
        <v>1.7722433648274418</v>
      </c>
      <c r="L102" s="330">
        <v>5.9716232098106892E-2</v>
      </c>
      <c r="M102" s="330">
        <v>0.83018078008022844</v>
      </c>
    </row>
    <row r="103" spans="1:13" x14ac:dyDescent="0.15">
      <c r="A103">
        <v>2020</v>
      </c>
      <c r="B103" t="s">
        <v>496</v>
      </c>
      <c r="C103" t="s">
        <v>493</v>
      </c>
      <c r="D103" s="330">
        <v>2.2269419128097643</v>
      </c>
    </row>
    <row r="104" spans="1:13" x14ac:dyDescent="0.15">
      <c r="A104">
        <v>2021</v>
      </c>
      <c r="B104" t="s">
        <v>495</v>
      </c>
      <c r="C104" t="s">
        <v>493</v>
      </c>
      <c r="D104" s="329">
        <v>0.41649280840000003</v>
      </c>
    </row>
    <row r="105" spans="1:13" x14ac:dyDescent="0.15">
      <c r="A105">
        <v>2021</v>
      </c>
      <c r="B105" t="s">
        <v>497</v>
      </c>
      <c r="C105" t="s">
        <v>493</v>
      </c>
      <c r="D105" s="329">
        <v>0.18084776790000001</v>
      </c>
    </row>
    <row r="106" spans="1:13" x14ac:dyDescent="0.15">
      <c r="A106">
        <v>2021</v>
      </c>
      <c r="B106" t="s">
        <v>418</v>
      </c>
      <c r="C106" t="s">
        <v>493</v>
      </c>
      <c r="D106" s="53">
        <v>1.2623968669000001</v>
      </c>
    </row>
    <row r="107" spans="1:13" x14ac:dyDescent="0.15">
      <c r="A107">
        <v>2021</v>
      </c>
      <c r="B107" t="s">
        <v>496</v>
      </c>
      <c r="C107" t="s">
        <v>493</v>
      </c>
      <c r="D107" s="330">
        <v>2.1348936581803772</v>
      </c>
    </row>
    <row r="108" spans="1:13" x14ac:dyDescent="0.15">
      <c r="A108">
        <v>2022</v>
      </c>
      <c r="B108" t="s">
        <v>495</v>
      </c>
      <c r="C108" t="s">
        <v>493</v>
      </c>
      <c r="D108" s="329">
        <v>6.2999128599999996E-2</v>
      </c>
    </row>
    <row r="109" spans="1:13" x14ac:dyDescent="0.15">
      <c r="A109">
        <v>2022</v>
      </c>
      <c r="B109" t="s">
        <v>497</v>
      </c>
      <c r="C109" t="s">
        <v>493</v>
      </c>
      <c r="D109" s="329">
        <v>4.2668056500000003E-2</v>
      </c>
    </row>
    <row r="110" spans="1:13" x14ac:dyDescent="0.15">
      <c r="A110">
        <v>2022</v>
      </c>
      <c r="B110" t="s">
        <v>418</v>
      </c>
      <c r="C110" t="s">
        <v>493</v>
      </c>
      <c r="D110" s="53">
        <v>1.0189066523000001</v>
      </c>
    </row>
    <row r="111" spans="1:13" x14ac:dyDescent="0.15">
      <c r="A111">
        <v>2022</v>
      </c>
      <c r="B111" t="s">
        <v>496</v>
      </c>
      <c r="C111" t="s">
        <v>493</v>
      </c>
      <c r="D111" s="330">
        <v>1.8061103565319756</v>
      </c>
    </row>
  </sheetData>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 xmlns:x15="http://schemas.microsoft.com/office/spreadsheetml/2010/11/main" uri="{3A4CF648-6AED-40f4-86FF-DC5316D8AED3}">
      <x14:slicerList xmlns:x14="http://schemas.microsoft.com/office/spreadsheetml/2009/9/main">
        <x14:slicer r:id="rId8"/>
      </x14:slicerList>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0498C-840F-6B4A-9179-070FF00D720C}">
  <dimension ref="A1:K6"/>
  <sheetViews>
    <sheetView zoomScale="44" workbookViewId="0">
      <selection activeCell="Q32" sqref="Q32"/>
    </sheetView>
  </sheetViews>
  <sheetFormatPr baseColWidth="10" defaultRowHeight="14" x14ac:dyDescent="0.15"/>
  <cols>
    <col min="1" max="1" width="19.6640625" customWidth="1"/>
    <col min="2" max="2" width="10.83203125" customWidth="1"/>
  </cols>
  <sheetData>
    <row r="1" spans="1:11" x14ac:dyDescent="0.15">
      <c r="A1" t="s">
        <v>223</v>
      </c>
      <c r="B1" s="62"/>
      <c r="C1" t="s">
        <v>226</v>
      </c>
      <c r="D1" t="s">
        <v>227</v>
      </c>
      <c r="E1" t="s">
        <v>228</v>
      </c>
      <c r="F1" t="s">
        <v>229</v>
      </c>
      <c r="G1" t="s">
        <v>230</v>
      </c>
      <c r="H1" t="s">
        <v>231</v>
      </c>
      <c r="I1" t="s">
        <v>232</v>
      </c>
      <c r="J1" t="s">
        <v>233</v>
      </c>
      <c r="K1" t="s">
        <v>234</v>
      </c>
    </row>
    <row r="2" spans="1:11" x14ac:dyDescent="0.15">
      <c r="A2" s="61" t="s">
        <v>216</v>
      </c>
      <c r="B2">
        <f>GETPIVOTDATA("Amount of Inflow/Outflow",'Cash Flow Statement'!$Y$19,"Cash Flow","The beginning of period")</f>
        <v>22.5</v>
      </c>
      <c r="C2">
        <v>1.5</v>
      </c>
      <c r="D2" s="67">
        <f>B2</f>
        <v>22.5</v>
      </c>
      <c r="G2">
        <f>B2</f>
        <v>22.5</v>
      </c>
      <c r="H2" t="b">
        <v>0</v>
      </c>
      <c r="I2" t="b">
        <v>0</v>
      </c>
      <c r="J2" t="b">
        <v>1</v>
      </c>
    </row>
    <row r="3" spans="1:11" x14ac:dyDescent="0.15">
      <c r="A3" s="61" t="s">
        <v>239</v>
      </c>
      <c r="B3">
        <f>GETPIVOTDATA("Amount of Inflow/Outflow",'Cash Flow Statement'!$Y$19,"Cash Flow","Operating activities")</f>
        <v>12.3</v>
      </c>
      <c r="C3">
        <f ca="1">OFFSET(C3,-1,0)+1</f>
        <v>2.5</v>
      </c>
      <c r="D3" s="67">
        <f ca="1">IF(LEN(B3)=0,OFFSET(G3,-1,0),0)</f>
        <v>0</v>
      </c>
      <c r="E3">
        <f ca="1">IF(OR(LEN(B3)=0,B3=0),NA(),OFFSET(E3,-1,2))</f>
        <v>22.5</v>
      </c>
      <c r="F3">
        <f ca="1">IF(OR(LEN(B3)=0,B3=0),NA(),OFFSET(F3,0,1))</f>
        <v>34.799999999999997</v>
      </c>
      <c r="G3">
        <f ca="1">SUM(B$2:OFFSET(G3,0,-5))</f>
        <v>34.799999999999997</v>
      </c>
      <c r="H3" t="e">
        <f ca="1">IF(H2,IF(LEN(B3)&gt;0,AVERAGE(OFFSET(G3,-1,0,2,1)),NA()),NA())</f>
        <v>#N/A</v>
      </c>
      <c r="I3" t="e">
        <f ca="1">IF(I2,IF(LEN(B3)&gt;0,MAX(OFFSET(G3,-1,0,2,1)),NA()),NA())</f>
        <v>#N/A</v>
      </c>
      <c r="J3">
        <f ca="1">IF(J2,IF(LEN(B3)&gt;0,MIN(OFFSET(G3,-1,0,2,1)),NA()),NA())</f>
        <v>22.5</v>
      </c>
      <c r="K3">
        <f>IF(LEN(B3)&gt;0,B3,"")</f>
        <v>12.3</v>
      </c>
    </row>
    <row r="4" spans="1:11" x14ac:dyDescent="0.15">
      <c r="A4" s="61" t="s">
        <v>240</v>
      </c>
      <c r="B4">
        <f>GETPIVOTDATA("Amount of Inflow/Outflow",'Cash Flow Statement'!$Y$19,"Cash Flow","Investing activities")</f>
        <v>-24.6</v>
      </c>
      <c r="C4">
        <f ca="1">OFFSET(C4,-1,0)+1</f>
        <v>3.5</v>
      </c>
      <c r="D4" s="67">
        <f ca="1">IF(LEN(B4)=0,OFFSET(G4,-1,0),0)</f>
        <v>0</v>
      </c>
      <c r="E4">
        <f ca="1">IF(OR(LEN(B4)=0,B4=0),NA(),OFFSET(E4,-1,2))</f>
        <v>34.799999999999997</v>
      </c>
      <c r="F4">
        <f ca="1">IF(OR(LEN(B4)=0,B4=0),NA(),OFFSET(F4,0,1))</f>
        <v>10.199999999999996</v>
      </c>
      <c r="G4">
        <f ca="1">SUM(B$2:OFFSET(G4,0,-5))</f>
        <v>10.199999999999996</v>
      </c>
      <c r="H4" t="e">
        <f ca="1">IF(H2,IF(LEN(B4)&gt;0,AVERAGE(OFFSET(G4,-1,0,2,1)),NA()),NA())</f>
        <v>#N/A</v>
      </c>
      <c r="I4" t="e">
        <f ca="1">IF(I2,IF(LEN(B4)&gt;0,MAX(OFFSET(G4,-1,0,2,1)),NA()),NA())</f>
        <v>#N/A</v>
      </c>
      <c r="J4">
        <f ca="1">IF(J2,IF(LEN(B4)&gt;0,MIN(OFFSET(G4,-1,0,2,1)),NA()),NA())</f>
        <v>10.199999999999996</v>
      </c>
      <c r="K4">
        <f>IF(LEN(B4)&gt;0,B4,"")</f>
        <v>-24.6</v>
      </c>
    </row>
    <row r="5" spans="1:11" x14ac:dyDescent="0.15">
      <c r="A5" s="61" t="s">
        <v>239</v>
      </c>
      <c r="B5">
        <f>GETPIVOTDATA("Amount of Inflow/Outflow",'Cash Flow Statement'!$Y$19,"Cash Flow","Financing activities")</f>
        <v>-1.8</v>
      </c>
      <c r="C5">
        <f ca="1">OFFSET(C5,-1,0)+1</f>
        <v>4.5</v>
      </c>
      <c r="D5" s="67">
        <f ca="1">IF(LEN(B5)=0,OFFSET(G5,-1,0),0)</f>
        <v>0</v>
      </c>
      <c r="E5">
        <f ca="1">IF(OR(LEN(B5)=0,B5=0),NA(),OFFSET(E5,-1,2))</f>
        <v>10.199999999999996</v>
      </c>
      <c r="F5">
        <f ca="1">IF(OR(LEN(B5)=0,B5=0),NA(),OFFSET(F5,0,1))</f>
        <v>8.399999999999995</v>
      </c>
      <c r="G5">
        <f ca="1">SUM(B$2:OFFSET(G5,0,-5))</f>
        <v>8.399999999999995</v>
      </c>
      <c r="H5" t="e">
        <f ca="1">IF(H2,IF(LEN(B5)&gt;0,AVERAGE(OFFSET(G5,-1,0,2,1)),NA()),NA())</f>
        <v>#N/A</v>
      </c>
      <c r="I5" t="e">
        <f ca="1">IF(I2,IF(LEN(B5)&gt;0,MAX(OFFSET(G5,-1,0,2,1)),NA()),NA())</f>
        <v>#N/A</v>
      </c>
      <c r="J5">
        <f ca="1">IF(J2,IF(LEN(B5)&gt;0,MIN(OFFSET(G5,-1,0,2,1)),NA()),NA())</f>
        <v>8.399999999999995</v>
      </c>
      <c r="K5">
        <f>IF(LEN(B5)&gt;0,B5,"")</f>
        <v>-1.8</v>
      </c>
    </row>
    <row r="6" spans="1:11" x14ac:dyDescent="0.15">
      <c r="A6" s="61" t="s">
        <v>235</v>
      </c>
      <c r="D6" s="67">
        <f>GETPIVOTDATA("Amount of Inflow/Outflow",'Cash Flow Statement'!$Y$19,"Cash Flow","The end of period")</f>
        <v>8.3000000000000007</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5" r:id="rId3" name="chkCenter">
              <controlPr defaultSize="0" autoFill="0" autoLine="0" autoPict="0">
                <anchor moveWithCells="1">
                  <from>
                    <xdr:col>7</xdr:col>
                    <xdr:colOff>12700</xdr:colOff>
                    <xdr:row>1</xdr:row>
                    <xdr:rowOff>12700</xdr:rowOff>
                  </from>
                  <to>
                    <xdr:col>7</xdr:col>
                    <xdr:colOff>571500</xdr:colOff>
                    <xdr:row>1</xdr:row>
                    <xdr:rowOff>152400</xdr:rowOff>
                  </to>
                </anchor>
              </controlPr>
            </control>
          </mc:Choice>
        </mc:AlternateContent>
        <mc:AlternateContent xmlns:mc="http://schemas.openxmlformats.org/markup-compatibility/2006">
          <mc:Choice Requires="x14">
            <control shapeId="11266" r:id="rId4" name="chkAbove">
              <controlPr defaultSize="0" autoFill="0" autoLine="0" autoPict="0">
                <anchor moveWithCells="1">
                  <from>
                    <xdr:col>8</xdr:col>
                    <xdr:colOff>12700</xdr:colOff>
                    <xdr:row>1</xdr:row>
                    <xdr:rowOff>12700</xdr:rowOff>
                  </from>
                  <to>
                    <xdr:col>8</xdr:col>
                    <xdr:colOff>571500</xdr:colOff>
                    <xdr:row>1</xdr:row>
                    <xdr:rowOff>152400</xdr:rowOff>
                  </to>
                </anchor>
              </controlPr>
            </control>
          </mc:Choice>
        </mc:AlternateContent>
        <mc:AlternateContent xmlns:mc="http://schemas.openxmlformats.org/markup-compatibility/2006">
          <mc:Choice Requires="x14">
            <control shapeId="11267" r:id="rId5" name="chkBelow">
              <controlPr defaultSize="0" autoFill="0" autoLine="0" autoPict="0">
                <anchor moveWithCells="1">
                  <from>
                    <xdr:col>9</xdr:col>
                    <xdr:colOff>12700</xdr:colOff>
                    <xdr:row>1</xdr:row>
                    <xdr:rowOff>12700</xdr:rowOff>
                  </from>
                  <to>
                    <xdr:col>9</xdr:col>
                    <xdr:colOff>571500</xdr:colOff>
                    <xdr:row>1</xdr:row>
                    <xdr:rowOff>152400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2959E-DAD6-994D-A6F0-A93A15E26FD4}">
  <dimension ref="A1:K8"/>
  <sheetViews>
    <sheetView zoomScale="75" workbookViewId="0">
      <selection activeCell="E10" sqref="E10"/>
    </sheetView>
  </sheetViews>
  <sheetFormatPr baseColWidth="10" defaultRowHeight="14" x14ac:dyDescent="0.15"/>
  <cols>
    <col min="1" max="1" width="26" customWidth="1"/>
  </cols>
  <sheetData>
    <row r="1" spans="1:11" x14ac:dyDescent="0.15">
      <c r="A1" t="s">
        <v>367</v>
      </c>
      <c r="B1" s="62"/>
      <c r="C1" t="s">
        <v>226</v>
      </c>
      <c r="D1" t="s">
        <v>227</v>
      </c>
      <c r="E1" t="s">
        <v>228</v>
      </c>
      <c r="F1" t="s">
        <v>229</v>
      </c>
      <c r="G1" t="s">
        <v>230</v>
      </c>
      <c r="H1" t="s">
        <v>231</v>
      </c>
      <c r="I1" t="s">
        <v>232</v>
      </c>
      <c r="J1" t="s">
        <v>233</v>
      </c>
      <c r="K1" t="s">
        <v>234</v>
      </c>
    </row>
    <row r="2" spans="1:11" x14ac:dyDescent="0.15">
      <c r="A2" s="61" t="s">
        <v>186</v>
      </c>
      <c r="B2">
        <f>GETPIVOTDATA("Money",'Income Statement'!$AN$34,"Expenses","Revenue")</f>
        <v>149.69999999999999</v>
      </c>
      <c r="C2">
        <v>1.5</v>
      </c>
      <c r="D2" s="67">
        <f>B2</f>
        <v>149.69999999999999</v>
      </c>
      <c r="G2">
        <f>B2</f>
        <v>149.69999999999999</v>
      </c>
      <c r="H2" t="b">
        <v>0</v>
      </c>
      <c r="I2" t="b">
        <v>0</v>
      </c>
      <c r="J2" t="b">
        <v>1</v>
      </c>
    </row>
    <row r="3" spans="1:11" x14ac:dyDescent="0.15">
      <c r="A3" s="61" t="s">
        <v>200</v>
      </c>
      <c r="B3">
        <f>GETPIVOTDATA("Money",'Income Statement'!$AN$34,"Expenses","Cost of Sales")</f>
        <v>-108.6</v>
      </c>
      <c r="C3">
        <f ca="1">OFFSET(C3,-1,0)+1</f>
        <v>2.5</v>
      </c>
      <c r="D3" s="67">
        <f ca="1">IF(LEN(B3)=0,OFFSET(G3,-1,0),0)</f>
        <v>0</v>
      </c>
      <c r="E3">
        <f ca="1">IF(OR(LEN(B3)=0,B3=0),NA(),OFFSET(E3,-1,2))</f>
        <v>149.69999999999999</v>
      </c>
      <c r="F3">
        <f ca="1">IF(OR(LEN(B3)=0,B3=0),NA(),OFFSET(F3,0,1))</f>
        <v>41.099999999999994</v>
      </c>
      <c r="G3">
        <f ca="1">SUM(B$2:OFFSET(G3,0,-5))</f>
        <v>41.099999999999994</v>
      </c>
      <c r="H3" t="e">
        <f ca="1">IF(H2,IF(LEN(B3)&gt;0,AVERAGE(OFFSET(G3,-1,0,2,1)),NA()),NA())</f>
        <v>#N/A</v>
      </c>
      <c r="I3" t="e">
        <f ca="1">IF(I2,IF(LEN(B3)&gt;0,MAX(OFFSET(G3,-1,0,2,1)),NA()),NA())</f>
        <v>#N/A</v>
      </c>
      <c r="J3">
        <f ca="1">IF(J2,IF(LEN(B3)&gt;0,MIN(OFFSET(G3,-1,0,2,1)),NA()),NA())</f>
        <v>41.099999999999994</v>
      </c>
      <c r="K3">
        <f>IF(LEN(B3)&gt;0,B3,"")</f>
        <v>-108.6</v>
      </c>
    </row>
    <row r="4" spans="1:11" x14ac:dyDescent="0.15">
      <c r="A4" s="61" t="s">
        <v>362</v>
      </c>
      <c r="B4">
        <f>GETPIVOTDATA("Money",'Income Statement'!$AN$34,"Expenses","Operating Expenses")</f>
        <v>-3.4</v>
      </c>
      <c r="C4">
        <f ca="1">OFFSET(C4,-1,0)+1</f>
        <v>3.5</v>
      </c>
      <c r="D4" s="67">
        <f ca="1">IF(LEN(B4)=0,OFFSET(G4,-1,0),0)</f>
        <v>0</v>
      </c>
      <c r="E4">
        <f ca="1">IF(OR(LEN(B4)=0,B4=0),NA(),OFFSET(E4,-1,2))</f>
        <v>41.099999999999994</v>
      </c>
      <c r="F4">
        <f ca="1">IF(OR(LEN(B4)=0,B4=0),NA(),OFFSET(F4,0,1))</f>
        <v>37.699999999999996</v>
      </c>
      <c r="G4">
        <f ca="1">SUM(B$2:OFFSET(G4,0,-5))</f>
        <v>37.699999999999996</v>
      </c>
      <c r="H4" t="e">
        <f ca="1">IF(H2,IF(LEN(B4)&gt;0,AVERAGE(OFFSET(G4,-1,0,2,1)),NA()),NA())</f>
        <v>#N/A</v>
      </c>
      <c r="I4" t="e">
        <f ca="1">IF(I2,IF(LEN(B4)&gt;0,MAX(OFFSET(G4,-1,0,2,1)),NA()),NA())</f>
        <v>#N/A</v>
      </c>
      <c r="J4">
        <f ca="1">IF(J2,IF(LEN(B4)&gt;0,MIN(OFFSET(G4,-1,0,2,1)),NA()),NA())</f>
        <v>37.699999999999996</v>
      </c>
      <c r="K4">
        <f>IF(LEN(B4)&gt;0,B4,"")</f>
        <v>-3.4</v>
      </c>
    </row>
    <row r="5" spans="1:11" x14ac:dyDescent="0.15">
      <c r="A5" s="61" t="s">
        <v>201</v>
      </c>
      <c r="B5">
        <f>GETPIVOTDATA("Money",'Income Statement'!$AN$34,"Expenses","Interest Expenses")</f>
        <v>-2.5</v>
      </c>
      <c r="C5">
        <f ca="1">OFFSET(C5,-1,0)+1</f>
        <v>4.5</v>
      </c>
      <c r="D5" s="67">
        <f ca="1">IF(LEN(B5)=0,OFFSET(G5,-1,0),0)</f>
        <v>0</v>
      </c>
      <c r="E5">
        <f ca="1">IF(OR(LEN(B5)=0,B5=0),NA(),OFFSET(E5,-1,2))</f>
        <v>37.699999999999996</v>
      </c>
      <c r="F5">
        <f ca="1">IF(OR(LEN(B5)=0,B5=0),NA(),OFFSET(F5,0,1))</f>
        <v>35.199999999999996</v>
      </c>
      <c r="G5">
        <f ca="1">SUM(B$2:OFFSET(G5,0,-5))</f>
        <v>35.199999999999996</v>
      </c>
      <c r="H5" t="e">
        <f ca="1">IF(H2,IF(LEN(B5)&gt;0,AVERAGE(OFFSET(G5,-1,0,2,1)),NA()),NA())</f>
        <v>#N/A</v>
      </c>
      <c r="I5" t="e">
        <f ca="1">IF(I2,IF(LEN(B5)&gt;0,MAX(OFFSET(G5,-1,0,2,1)),NA()),NA())</f>
        <v>#N/A</v>
      </c>
      <c r="J5">
        <f ca="1">IF(J2,IF(LEN(B5)&gt;0,MIN(OFFSET(G5,-1,0,2,1)),NA()),NA())</f>
        <v>35.199999999999996</v>
      </c>
      <c r="K5">
        <f>IF(LEN(B5)&gt;0,B5,"")</f>
        <v>-2.5</v>
      </c>
    </row>
    <row r="6" spans="1:11" x14ac:dyDescent="0.15">
      <c r="A6" s="61" t="s">
        <v>242</v>
      </c>
      <c r="B6">
        <f>GETPIVOTDATA("Money",'Income Statement'!$AN$34,"Expenses","Tax Expenses")</f>
        <v>-2.5</v>
      </c>
      <c r="C6">
        <f t="shared" ref="C6:C7" ca="1" si="0">OFFSET(C6,-1,0)+1</f>
        <v>5.5</v>
      </c>
      <c r="D6" s="67">
        <f t="shared" ref="D6:D7" ca="1" si="1">IF(LEN(B6)=0,OFFSET(G6,-1,0),0)</f>
        <v>0</v>
      </c>
      <c r="E6">
        <f t="shared" ref="E6:E7" ca="1" si="2">IF(OR(LEN(B6)=0,B6=0),NA(),OFFSET(E6,-1,2))</f>
        <v>35.199999999999996</v>
      </c>
      <c r="F6">
        <f t="shared" ref="F6:F7" ca="1" si="3">IF(OR(LEN(B6)=0,B6=0),NA(),OFFSET(F6,0,1))</f>
        <v>32.699999999999996</v>
      </c>
      <c r="G6">
        <f ca="1">SUM(B$2:OFFSET(G6,0,-5))</f>
        <v>32.699999999999996</v>
      </c>
      <c r="H6" t="e">
        <f t="shared" ref="H6:H7" ca="1" si="4">IF(H3,IF(LEN(B6)&gt;0,AVERAGE(OFFSET(G6,-1,0,2,1)),NA()),NA())</f>
        <v>#N/A</v>
      </c>
      <c r="I6" t="e">
        <f t="shared" ref="I6:I7" ca="1" si="5">IF(I3,IF(LEN(B6)&gt;0,MAX(OFFSET(G6,-1,0,2,1)),NA()),NA())</f>
        <v>#N/A</v>
      </c>
      <c r="J6">
        <f t="shared" ref="J6:J7" ca="1" si="6">IF(J3,IF(LEN(B6)&gt;0,MIN(OFFSET(G6,-1,0,2,1)),NA()),NA())</f>
        <v>32.699999999999996</v>
      </c>
      <c r="K6">
        <f t="shared" ref="K6:K7" si="7">IF(LEN(B6)&gt;0,B6,"")</f>
        <v>-2.5</v>
      </c>
    </row>
    <row r="7" spans="1:11" x14ac:dyDescent="0.15">
      <c r="A7" s="61" t="s">
        <v>363</v>
      </c>
      <c r="B7">
        <f>GETPIVOTDATA("Money",'Income Statement'!$AN$34,"Expenses","Other Profit/Loss")</f>
        <v>1.8</v>
      </c>
      <c r="C7">
        <f t="shared" ca="1" si="0"/>
        <v>6.5</v>
      </c>
      <c r="D7" s="67">
        <f t="shared" ca="1" si="1"/>
        <v>0</v>
      </c>
      <c r="E7">
        <f t="shared" ca="1" si="2"/>
        <v>32.699999999999996</v>
      </c>
      <c r="F7">
        <f t="shared" ca="1" si="3"/>
        <v>34.499999999999993</v>
      </c>
      <c r="G7">
        <f ca="1">SUM(B$2:OFFSET(G7,0,-5))</f>
        <v>34.499999999999993</v>
      </c>
      <c r="H7" t="e">
        <f t="shared" ca="1" si="4"/>
        <v>#N/A</v>
      </c>
      <c r="I7" t="e">
        <f t="shared" ca="1" si="5"/>
        <v>#N/A</v>
      </c>
      <c r="J7">
        <f t="shared" ca="1" si="6"/>
        <v>32.699999999999996</v>
      </c>
      <c r="K7">
        <f t="shared" si="7"/>
        <v>1.8</v>
      </c>
    </row>
    <row r="8" spans="1:11" x14ac:dyDescent="0.15">
      <c r="A8" s="61" t="s">
        <v>187</v>
      </c>
      <c r="D8">
        <f>GETPIVOTDATA("Money",'Income Statement'!$AN$34,"Expenses","Net Profit")</f>
        <v>34.5</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5361" r:id="rId3" name="chkCenter">
              <controlPr defaultSize="0" autoFill="0" autoLine="0" autoPict="0">
                <anchor moveWithCells="1">
                  <from>
                    <xdr:col>7</xdr:col>
                    <xdr:colOff>12700</xdr:colOff>
                    <xdr:row>1</xdr:row>
                    <xdr:rowOff>12700</xdr:rowOff>
                  </from>
                  <to>
                    <xdr:col>7</xdr:col>
                    <xdr:colOff>571500</xdr:colOff>
                    <xdr:row>1</xdr:row>
                    <xdr:rowOff>152400</xdr:rowOff>
                  </to>
                </anchor>
              </controlPr>
            </control>
          </mc:Choice>
        </mc:AlternateContent>
        <mc:AlternateContent xmlns:mc="http://schemas.openxmlformats.org/markup-compatibility/2006">
          <mc:Choice Requires="x14">
            <control shapeId="15362" r:id="rId4" name="chkAbove">
              <controlPr defaultSize="0" autoFill="0" autoLine="0" autoPict="0">
                <anchor moveWithCells="1">
                  <from>
                    <xdr:col>8</xdr:col>
                    <xdr:colOff>12700</xdr:colOff>
                    <xdr:row>1</xdr:row>
                    <xdr:rowOff>12700</xdr:rowOff>
                  </from>
                  <to>
                    <xdr:col>8</xdr:col>
                    <xdr:colOff>571500</xdr:colOff>
                    <xdr:row>1</xdr:row>
                    <xdr:rowOff>152400</xdr:rowOff>
                  </to>
                </anchor>
              </controlPr>
            </control>
          </mc:Choice>
        </mc:AlternateContent>
        <mc:AlternateContent xmlns:mc="http://schemas.openxmlformats.org/markup-compatibility/2006">
          <mc:Choice Requires="x14">
            <control shapeId="15363" r:id="rId5" name="chkBelow">
              <controlPr defaultSize="0" autoFill="0" autoLine="0" autoPict="0">
                <anchor moveWithCells="1">
                  <from>
                    <xdr:col>9</xdr:col>
                    <xdr:colOff>12700</xdr:colOff>
                    <xdr:row>1</xdr:row>
                    <xdr:rowOff>12700</xdr:rowOff>
                  </from>
                  <to>
                    <xdr:col>9</xdr:col>
                    <xdr:colOff>571500</xdr:colOff>
                    <xdr:row>1</xdr:row>
                    <xdr:rowOff>152400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48DE5-BAA7-514A-A363-72D2CD173C08}">
  <dimension ref="A1:I92"/>
  <sheetViews>
    <sheetView topLeftCell="A35" workbookViewId="0">
      <selection activeCell="K16" sqref="K16"/>
    </sheetView>
  </sheetViews>
  <sheetFormatPr baseColWidth="10" defaultRowHeight="14" x14ac:dyDescent="0.15"/>
  <cols>
    <col min="2" max="2" width="10.83203125" customWidth="1"/>
  </cols>
  <sheetData>
    <row r="1" spans="1:9" x14ac:dyDescent="0.15">
      <c r="A1" s="22" t="s">
        <v>174</v>
      </c>
      <c r="B1" s="23" t="s">
        <v>8</v>
      </c>
      <c r="C1" s="23" t="s">
        <v>31</v>
      </c>
      <c r="D1" s="16" t="s">
        <v>62</v>
      </c>
      <c r="E1" s="16" t="s">
        <v>76</v>
      </c>
      <c r="F1" s="16" t="s">
        <v>175</v>
      </c>
      <c r="G1" s="16" t="s">
        <v>40</v>
      </c>
      <c r="H1" s="16" t="s">
        <v>47</v>
      </c>
      <c r="I1" s="5" t="s">
        <v>189</v>
      </c>
    </row>
    <row r="2" spans="1:9" x14ac:dyDescent="0.15">
      <c r="A2" s="22">
        <v>2020</v>
      </c>
      <c r="B2" s="25">
        <v>0.43150056465224623</v>
      </c>
      <c r="C2" s="25">
        <v>0.56849943534775371</v>
      </c>
      <c r="D2" s="24">
        <v>0.39521443659282129</v>
      </c>
      <c r="E2" s="24">
        <v>0.15448413842981024</v>
      </c>
      <c r="F2" s="24">
        <v>0.45030142497736847</v>
      </c>
      <c r="G2" s="24">
        <v>0.5</v>
      </c>
      <c r="H2" s="24">
        <v>0.05</v>
      </c>
      <c r="I2" s="24">
        <v>0.01</v>
      </c>
    </row>
    <row r="3" spans="1:9" x14ac:dyDescent="0.15">
      <c r="A3" s="22">
        <v>2021</v>
      </c>
      <c r="B3" s="25">
        <v>0.52825824487800821</v>
      </c>
      <c r="C3" s="25">
        <v>0.47174175512199179</v>
      </c>
      <c r="D3" s="24">
        <v>0.41214536795846551</v>
      </c>
      <c r="E3" s="24">
        <v>7.852761397014893E-2</v>
      </c>
      <c r="F3" s="24">
        <v>0.50932701807138558</v>
      </c>
      <c r="G3" s="24">
        <v>0.39</v>
      </c>
      <c r="H3" s="24">
        <v>0.05</v>
      </c>
      <c r="I3" s="24">
        <v>0.03</v>
      </c>
    </row>
    <row r="4" spans="1:9" x14ac:dyDescent="0.15">
      <c r="A4" s="22">
        <v>2022</v>
      </c>
      <c r="B4" s="25">
        <v>0.47268302558358732</v>
      </c>
      <c r="C4" s="25">
        <v>0.52731697441641268</v>
      </c>
      <c r="D4" s="24">
        <v>0.36625003910418491</v>
      </c>
      <c r="E4" s="24">
        <v>6.9493369591061005E-2</v>
      </c>
      <c r="F4" s="24">
        <v>0.56425659130475403</v>
      </c>
      <c r="G4" s="24">
        <v>0.42</v>
      </c>
      <c r="H4" s="24">
        <v>0.08</v>
      </c>
      <c r="I4" s="24">
        <v>0.03</v>
      </c>
    </row>
    <row r="5" spans="1:9" x14ac:dyDescent="0.15">
      <c r="A5" s="5"/>
      <c r="B5" s="5"/>
      <c r="C5" s="5"/>
      <c r="D5" s="5"/>
      <c r="E5" s="5"/>
      <c r="F5" s="5"/>
      <c r="G5" s="5"/>
      <c r="H5" s="5"/>
      <c r="I5" s="5"/>
    </row>
    <row r="6" spans="1:9" x14ac:dyDescent="0.15">
      <c r="A6" s="5"/>
      <c r="B6" s="5"/>
      <c r="C6" s="5"/>
      <c r="D6" s="5"/>
      <c r="E6" s="5"/>
      <c r="F6" s="5"/>
      <c r="G6" s="5"/>
      <c r="H6" s="5"/>
      <c r="I6" s="5"/>
    </row>
    <row r="7" spans="1:9" x14ac:dyDescent="0.15">
      <c r="A7" s="23"/>
      <c r="B7" s="23"/>
      <c r="C7" s="23"/>
      <c r="D7" s="23"/>
      <c r="E7" s="23"/>
      <c r="F7" s="16"/>
      <c r="G7" s="5"/>
      <c r="H7" s="5"/>
      <c r="I7" s="5"/>
    </row>
    <row r="8" spans="1:9" x14ac:dyDescent="0.15">
      <c r="A8" s="23"/>
      <c r="B8" s="23"/>
      <c r="C8" s="23"/>
      <c r="D8" s="23"/>
      <c r="E8" s="23"/>
      <c r="F8" s="16"/>
      <c r="G8" s="5"/>
      <c r="H8" s="5"/>
      <c r="I8" s="5"/>
    </row>
    <row r="9" spans="1:9" x14ac:dyDescent="0.15">
      <c r="A9" s="25"/>
      <c r="B9" s="25"/>
      <c r="C9" s="25"/>
      <c r="D9" s="25"/>
      <c r="E9" s="25"/>
      <c r="F9" s="16"/>
      <c r="G9" s="5"/>
      <c r="H9" s="5"/>
      <c r="I9" s="5"/>
    </row>
    <row r="10" spans="1:9" x14ac:dyDescent="0.15">
      <c r="A10" s="16"/>
      <c r="B10" s="16"/>
      <c r="C10" s="16"/>
      <c r="D10" s="16"/>
      <c r="E10" s="16"/>
      <c r="F10" s="16"/>
      <c r="G10" s="5"/>
      <c r="H10" s="5"/>
      <c r="I10" s="5"/>
    </row>
    <row r="11" spans="1:9" x14ac:dyDescent="0.15">
      <c r="A11" s="5"/>
      <c r="B11" s="24"/>
      <c r="C11" s="24"/>
      <c r="D11" s="24"/>
      <c r="E11" s="24"/>
      <c r="F11" s="24"/>
      <c r="G11" s="5"/>
      <c r="H11" s="5"/>
      <c r="I11" s="5"/>
    </row>
    <row r="12" spans="1:9" x14ac:dyDescent="0.15">
      <c r="A12" s="26" t="s">
        <v>174</v>
      </c>
      <c r="B12" s="16" t="s">
        <v>9</v>
      </c>
      <c r="C12" s="16" t="s">
        <v>12</v>
      </c>
      <c r="D12" s="16" t="s">
        <v>15</v>
      </c>
      <c r="E12" s="16" t="s">
        <v>24</v>
      </c>
      <c r="F12" s="16" t="s">
        <v>26</v>
      </c>
      <c r="G12" s="5"/>
      <c r="H12" s="5"/>
      <c r="I12" s="5"/>
    </row>
    <row r="13" spans="1:9" x14ac:dyDescent="0.15">
      <c r="A13" s="27">
        <v>2020</v>
      </c>
      <c r="B13" s="24">
        <v>0.10414379070441161</v>
      </c>
      <c r="C13" s="24">
        <v>6.1796852214014313E-2</v>
      </c>
      <c r="D13" s="24">
        <v>4.6572303684118944E-2</v>
      </c>
      <c r="E13" s="24">
        <v>0.19988240833477888</v>
      </c>
      <c r="F13" s="24">
        <v>1.9105209714922487E-2</v>
      </c>
      <c r="G13" s="5"/>
      <c r="H13" s="5"/>
      <c r="I13" s="5"/>
    </row>
    <row r="14" spans="1:9" x14ac:dyDescent="0.15">
      <c r="A14" s="28">
        <v>2021</v>
      </c>
      <c r="B14" s="24">
        <v>0.12607622653558045</v>
      </c>
      <c r="C14" s="24">
        <v>0.10231440002438991</v>
      </c>
      <c r="D14" s="24">
        <v>4.2991666323077778E-2</v>
      </c>
      <c r="E14" s="24">
        <v>0.2363966543691117</v>
      </c>
      <c r="F14" s="24">
        <v>2.0479297625848391E-2</v>
      </c>
      <c r="G14" s="5"/>
      <c r="H14" s="5"/>
      <c r="I14" s="5"/>
    </row>
    <row r="15" spans="1:9" x14ac:dyDescent="0.15">
      <c r="A15" s="29">
        <v>2022</v>
      </c>
      <c r="B15" s="24">
        <v>4.8871714744320109E-2</v>
      </c>
      <c r="C15" s="24">
        <v>0.15421473308800943</v>
      </c>
      <c r="D15" s="24">
        <v>5.8078710781380535E-2</v>
      </c>
      <c r="E15" s="24">
        <v>0.20248924707965185</v>
      </c>
      <c r="F15" s="24">
        <v>9.0286198902254158E-3</v>
      </c>
      <c r="G15" s="5"/>
      <c r="H15" s="5"/>
      <c r="I15" s="5"/>
    </row>
    <row r="16" spans="1:9" x14ac:dyDescent="0.15">
      <c r="A16" s="5"/>
      <c r="B16" s="5"/>
      <c r="C16" s="16"/>
      <c r="D16" s="24"/>
      <c r="E16" s="24"/>
      <c r="F16" s="5"/>
      <c r="G16" s="5"/>
      <c r="H16" s="5"/>
      <c r="I16" s="5"/>
    </row>
    <row r="17" spans="1:9" x14ac:dyDescent="0.15">
      <c r="A17" s="5"/>
      <c r="B17" s="5"/>
      <c r="C17" s="16"/>
      <c r="D17" s="24"/>
      <c r="E17" s="24"/>
      <c r="F17" s="5"/>
      <c r="G17" s="5"/>
      <c r="H17" s="5"/>
      <c r="I17" s="5"/>
    </row>
    <row r="18" spans="1:9" x14ac:dyDescent="0.15">
      <c r="A18" s="5"/>
      <c r="B18" s="5"/>
      <c r="C18" s="16"/>
      <c r="D18" s="24"/>
      <c r="E18" s="24"/>
      <c r="F18" s="5"/>
      <c r="G18" s="5"/>
      <c r="H18" s="5"/>
      <c r="I18" s="5"/>
    </row>
    <row r="19" spans="1:9" x14ac:dyDescent="0.15">
      <c r="A19" s="24"/>
      <c r="B19" s="24"/>
      <c r="C19" s="5"/>
      <c r="D19" s="5"/>
      <c r="E19" s="5"/>
      <c r="F19" s="5"/>
      <c r="G19" s="5"/>
      <c r="H19" s="5"/>
      <c r="I19" s="5"/>
    </row>
    <row r="20" spans="1:9" x14ac:dyDescent="0.15">
      <c r="A20" s="24"/>
      <c r="B20" s="24"/>
      <c r="C20" s="24"/>
      <c r="D20" s="21"/>
      <c r="E20" s="5"/>
      <c r="F20" s="5"/>
      <c r="G20" s="5"/>
      <c r="H20" s="5"/>
      <c r="I20" s="5"/>
    </row>
    <row r="21" spans="1:9" x14ac:dyDescent="0.15">
      <c r="A21" s="24"/>
      <c r="B21" s="24"/>
      <c r="C21" s="24"/>
      <c r="D21" s="5"/>
      <c r="E21" s="5"/>
      <c r="F21" s="5"/>
      <c r="G21" s="5"/>
      <c r="H21" s="5"/>
      <c r="I21" s="5"/>
    </row>
    <row r="22" spans="1:9" x14ac:dyDescent="0.15">
      <c r="A22" s="24"/>
      <c r="B22" s="24"/>
      <c r="C22" s="24"/>
      <c r="D22" s="5"/>
      <c r="E22" s="5"/>
      <c r="F22" s="5"/>
      <c r="G22" s="5"/>
      <c r="H22" s="5"/>
      <c r="I22" s="5"/>
    </row>
    <row r="23" spans="1:9" x14ac:dyDescent="0.15">
      <c r="A23" s="5"/>
      <c r="B23" s="5"/>
      <c r="C23" s="5"/>
      <c r="D23" s="5"/>
      <c r="E23" s="5"/>
      <c r="F23" s="5"/>
      <c r="G23" s="5"/>
      <c r="H23" s="5"/>
      <c r="I23" s="5"/>
    </row>
    <row r="24" spans="1:9" x14ac:dyDescent="0.15">
      <c r="A24" s="5"/>
      <c r="B24" s="5"/>
      <c r="C24" s="5"/>
      <c r="D24" s="5"/>
      <c r="E24" s="5"/>
      <c r="F24" s="5"/>
      <c r="G24" s="5"/>
      <c r="H24" s="5"/>
      <c r="I24" s="5"/>
    </row>
    <row r="25" spans="1:9" x14ac:dyDescent="0.15">
      <c r="A25" s="5"/>
      <c r="B25" s="5"/>
      <c r="C25" s="5"/>
      <c r="D25" s="5"/>
      <c r="E25" s="5"/>
      <c r="F25" s="5"/>
      <c r="G25" s="5"/>
      <c r="H25" s="5"/>
      <c r="I25" s="5"/>
    </row>
    <row r="26" spans="1:9" x14ac:dyDescent="0.15">
      <c r="A26" s="5"/>
      <c r="B26" s="5"/>
      <c r="C26" s="5"/>
      <c r="D26" s="5"/>
      <c r="E26" s="5"/>
      <c r="F26" s="5"/>
      <c r="G26" s="5"/>
      <c r="H26" s="5"/>
      <c r="I26" s="5"/>
    </row>
    <row r="27" spans="1:9" x14ac:dyDescent="0.15">
      <c r="A27" s="5"/>
      <c r="B27" s="5"/>
      <c r="C27" s="5"/>
      <c r="D27" s="5"/>
      <c r="E27" s="5"/>
      <c r="F27" s="5"/>
      <c r="G27" s="5"/>
      <c r="H27" s="5"/>
      <c r="I27" s="5"/>
    </row>
    <row r="28" spans="1:9" x14ac:dyDescent="0.15">
      <c r="A28" s="5"/>
      <c r="B28" s="5"/>
      <c r="C28" s="5"/>
      <c r="D28" s="5"/>
      <c r="E28" s="5"/>
      <c r="F28" s="5"/>
      <c r="G28" s="5"/>
      <c r="H28" s="5"/>
      <c r="I28" s="5"/>
    </row>
    <row r="29" spans="1:9" x14ac:dyDescent="0.15">
      <c r="A29" s="5"/>
      <c r="B29" s="5"/>
      <c r="C29" s="5"/>
      <c r="D29" s="5"/>
      <c r="E29" s="5"/>
      <c r="F29" s="5"/>
      <c r="G29" s="5"/>
      <c r="H29" s="5"/>
      <c r="I29" s="5"/>
    </row>
    <row r="30" spans="1:9" x14ac:dyDescent="0.15">
      <c r="A30" s="5"/>
      <c r="B30" s="5"/>
      <c r="C30" s="5"/>
      <c r="D30" s="5"/>
      <c r="E30" s="5"/>
      <c r="F30" s="5"/>
      <c r="G30" s="5"/>
      <c r="H30" s="5"/>
      <c r="I30" s="5"/>
    </row>
    <row r="31" spans="1:9" x14ac:dyDescent="0.15">
      <c r="A31" s="5"/>
      <c r="B31" s="5"/>
      <c r="C31" s="5"/>
      <c r="D31" s="5"/>
      <c r="E31" s="5"/>
      <c r="F31" s="5"/>
      <c r="G31" s="5"/>
      <c r="H31" s="5"/>
      <c r="I31" s="5"/>
    </row>
    <row r="32" spans="1:9" x14ac:dyDescent="0.15">
      <c r="A32" s="5"/>
      <c r="B32" s="5"/>
      <c r="C32" s="5"/>
      <c r="D32" s="5"/>
      <c r="E32" s="5"/>
      <c r="F32" s="5"/>
      <c r="G32" s="5"/>
      <c r="H32" s="5"/>
      <c r="I32" s="5"/>
    </row>
    <row r="33" spans="1:9" x14ac:dyDescent="0.15">
      <c r="A33" s="5"/>
      <c r="B33" s="5"/>
      <c r="C33" s="5"/>
      <c r="D33" s="5"/>
      <c r="E33" s="5"/>
      <c r="F33" s="5"/>
      <c r="G33" s="5"/>
      <c r="H33" s="5"/>
      <c r="I33" s="5"/>
    </row>
    <row r="34" spans="1:9" x14ac:dyDescent="0.15">
      <c r="A34" s="5"/>
      <c r="B34" s="5"/>
      <c r="C34" s="5"/>
      <c r="D34" s="5"/>
      <c r="E34" s="5"/>
      <c r="F34" s="5"/>
      <c r="G34" s="5"/>
      <c r="H34" s="5"/>
      <c r="I34" s="5"/>
    </row>
    <row r="35" spans="1:9" x14ac:dyDescent="0.15">
      <c r="A35" s="5"/>
      <c r="B35" s="5"/>
      <c r="C35" s="5"/>
      <c r="D35" s="5"/>
      <c r="E35" s="5"/>
      <c r="F35" s="5"/>
      <c r="G35" s="5"/>
      <c r="H35" s="5"/>
      <c r="I35" s="5"/>
    </row>
    <row r="36" spans="1:9" x14ac:dyDescent="0.15">
      <c r="A36" s="5"/>
      <c r="B36" s="5"/>
      <c r="C36" s="5"/>
      <c r="D36" s="5"/>
      <c r="E36" s="5"/>
      <c r="F36" s="5"/>
      <c r="G36" s="5"/>
      <c r="H36" s="5"/>
      <c r="I36" s="5"/>
    </row>
    <row r="37" spans="1:9" x14ac:dyDescent="0.15">
      <c r="A37" s="40" t="s">
        <v>182</v>
      </c>
      <c r="B37" s="41" t="s">
        <v>188</v>
      </c>
      <c r="E37" t="s">
        <v>184</v>
      </c>
      <c r="F37" t="s">
        <v>185</v>
      </c>
      <c r="G37" s="5"/>
      <c r="H37" s="5"/>
      <c r="I37" s="5"/>
    </row>
    <row r="38" spans="1:9" x14ac:dyDescent="0.15">
      <c r="A38" s="42">
        <v>2018</v>
      </c>
      <c r="B38" s="39">
        <v>78.2</v>
      </c>
      <c r="E38" s="47">
        <f>B42-B41</f>
        <v>-7.8999999999999773</v>
      </c>
      <c r="F38" s="46">
        <f>Table612161963[[#This Row],[Absolute change]]/B41</f>
        <v>-4.433221099887754E-2</v>
      </c>
      <c r="G38" s="5"/>
      <c r="H38" s="5"/>
      <c r="I38" s="5"/>
    </row>
    <row r="39" spans="1:9" x14ac:dyDescent="0.15">
      <c r="A39" s="43">
        <v>2019</v>
      </c>
      <c r="B39" s="39">
        <v>101.8</v>
      </c>
      <c r="G39" s="5"/>
      <c r="H39" s="5"/>
      <c r="I39" s="5"/>
    </row>
    <row r="40" spans="1:9" x14ac:dyDescent="0.15">
      <c r="A40" s="44">
        <v>2020</v>
      </c>
      <c r="B40" s="39">
        <v>131.5</v>
      </c>
      <c r="E40" s="38" t="s">
        <v>182</v>
      </c>
      <c r="F40" s="41" t="s">
        <v>188</v>
      </c>
      <c r="G40" s="5"/>
      <c r="H40" s="5"/>
      <c r="I40" s="5"/>
    </row>
    <row r="41" spans="1:9" x14ac:dyDescent="0.15">
      <c r="A41" s="41">
        <v>2021</v>
      </c>
      <c r="B41" s="39">
        <v>178.2</v>
      </c>
      <c r="E41" s="39">
        <v>2021</v>
      </c>
      <c r="F41" s="39">
        <v>7.9</v>
      </c>
      <c r="G41" s="5"/>
      <c r="H41" s="5"/>
      <c r="I41" s="5"/>
    </row>
    <row r="42" spans="1:9" x14ac:dyDescent="0.15">
      <c r="A42" s="45">
        <v>2022</v>
      </c>
      <c r="B42" s="39">
        <v>170.3</v>
      </c>
      <c r="E42" s="39">
        <v>2022</v>
      </c>
      <c r="F42" s="39">
        <v>170.3</v>
      </c>
      <c r="G42" s="5"/>
      <c r="H42" s="5"/>
      <c r="I42" s="5"/>
    </row>
    <row r="43" spans="1:9" x14ac:dyDescent="0.15">
      <c r="A43" s="5"/>
      <c r="B43" s="5"/>
      <c r="C43" s="5"/>
      <c r="D43" s="5"/>
      <c r="E43" s="5"/>
      <c r="F43" s="5"/>
      <c r="G43" s="5"/>
      <c r="H43" s="5"/>
      <c r="I43" s="5"/>
    </row>
    <row r="44" spans="1:9" x14ac:dyDescent="0.15">
      <c r="A44" s="5"/>
      <c r="B44" s="5"/>
      <c r="C44" s="5"/>
      <c r="D44" s="5"/>
      <c r="E44" s="5"/>
      <c r="F44" s="5"/>
      <c r="G44" s="5"/>
      <c r="H44" s="5"/>
      <c r="I44" s="5"/>
    </row>
    <row r="45" spans="1:9" x14ac:dyDescent="0.15">
      <c r="A45" s="5"/>
      <c r="B45" s="5"/>
      <c r="C45" s="5"/>
      <c r="D45" s="5"/>
      <c r="E45" s="5"/>
      <c r="F45" s="5"/>
      <c r="G45" s="5"/>
      <c r="H45" s="5"/>
      <c r="I45" s="5"/>
    </row>
    <row r="46" spans="1:9" x14ac:dyDescent="0.15">
      <c r="A46" s="5"/>
      <c r="B46" s="5"/>
      <c r="C46" s="5"/>
      <c r="D46" s="5"/>
      <c r="E46" s="5"/>
      <c r="F46" s="5"/>
      <c r="G46" s="5"/>
      <c r="H46" s="5"/>
      <c r="I46" s="5"/>
    </row>
    <row r="47" spans="1:9" x14ac:dyDescent="0.15">
      <c r="A47" s="40" t="s">
        <v>182</v>
      </c>
      <c r="B47" s="41" t="s">
        <v>191</v>
      </c>
      <c r="C47" s="5"/>
      <c r="D47" s="49"/>
      <c r="E47" t="s">
        <v>184</v>
      </c>
      <c r="F47" t="s">
        <v>185</v>
      </c>
      <c r="G47" s="49"/>
      <c r="H47" s="49"/>
      <c r="I47" s="5"/>
    </row>
    <row r="48" spans="1:9" x14ac:dyDescent="0.15">
      <c r="A48" s="42">
        <v>2018</v>
      </c>
      <c r="B48" s="39">
        <v>25.31</v>
      </c>
      <c r="C48" s="5"/>
      <c r="D48" s="5"/>
      <c r="E48" s="47">
        <f>B52-B51</f>
        <v>-13.64</v>
      </c>
      <c r="F48" s="46">
        <f>Table61216193067[[#This Row],[Absolute change]]/B51</f>
        <v>-0.14487519915029209</v>
      </c>
      <c r="G48" s="5"/>
      <c r="H48" s="5"/>
      <c r="I48" s="5"/>
    </row>
    <row r="49" spans="1:9" x14ac:dyDescent="0.15">
      <c r="A49" s="43">
        <v>2019</v>
      </c>
      <c r="B49" s="39">
        <v>30.44</v>
      </c>
      <c r="C49" s="5"/>
      <c r="D49" s="5"/>
      <c r="E49" s="39"/>
      <c r="F49" s="39"/>
      <c r="G49" s="5"/>
      <c r="H49" s="5"/>
      <c r="I49" s="5"/>
    </row>
    <row r="50" spans="1:9" x14ac:dyDescent="0.15">
      <c r="A50" s="44">
        <v>2020</v>
      </c>
      <c r="B50" s="39">
        <v>56.75</v>
      </c>
      <c r="C50" s="5"/>
      <c r="D50" s="5"/>
      <c r="E50" s="38" t="s">
        <v>182</v>
      </c>
      <c r="F50" s="41" t="s">
        <v>192</v>
      </c>
      <c r="G50" s="5"/>
      <c r="H50" s="5"/>
      <c r="I50" s="5"/>
    </row>
    <row r="51" spans="1:9" x14ac:dyDescent="0.15">
      <c r="A51" s="41">
        <v>2021</v>
      </c>
      <c r="B51" s="39">
        <v>94.15</v>
      </c>
      <c r="C51" s="5"/>
      <c r="D51" s="5"/>
      <c r="E51" s="39">
        <v>2021</v>
      </c>
      <c r="F51" s="39">
        <f>94.15-80.51</f>
        <v>13.64</v>
      </c>
      <c r="G51" s="5"/>
      <c r="H51" s="5"/>
      <c r="I51" s="5"/>
    </row>
    <row r="52" spans="1:9" x14ac:dyDescent="0.15">
      <c r="A52" s="45">
        <v>2022</v>
      </c>
      <c r="B52" s="39">
        <v>80.510000000000005</v>
      </c>
      <c r="C52" s="5"/>
      <c r="D52" s="5"/>
      <c r="E52" s="39">
        <v>2022</v>
      </c>
      <c r="F52" s="39">
        <v>80.510000000000005</v>
      </c>
      <c r="G52" s="5"/>
      <c r="H52" s="5"/>
      <c r="I52" s="5"/>
    </row>
    <row r="53" spans="1:9" x14ac:dyDescent="0.15">
      <c r="A53" s="5"/>
      <c r="B53" s="5"/>
      <c r="C53" s="5"/>
      <c r="D53" s="5"/>
      <c r="E53" s="5"/>
      <c r="F53" s="5"/>
      <c r="G53" s="5"/>
      <c r="H53" s="5"/>
      <c r="I53" s="5"/>
    </row>
    <row r="54" spans="1:9" x14ac:dyDescent="0.15">
      <c r="A54" s="5"/>
      <c r="B54" s="5"/>
      <c r="C54" s="5"/>
      <c r="D54" s="5"/>
      <c r="E54" s="5"/>
      <c r="F54" s="5"/>
      <c r="G54" s="5"/>
      <c r="H54" s="5"/>
      <c r="I54" s="5"/>
    </row>
    <row r="55" spans="1:9" x14ac:dyDescent="0.15">
      <c r="A55" s="5"/>
      <c r="B55" s="5"/>
      <c r="C55" s="5"/>
      <c r="D55" s="5"/>
      <c r="E55" s="5"/>
      <c r="F55" s="5"/>
      <c r="G55" s="5"/>
      <c r="H55" s="5"/>
      <c r="I55" s="5"/>
    </row>
    <row r="56" spans="1:9" x14ac:dyDescent="0.15">
      <c r="A56" s="5"/>
      <c r="B56" s="5"/>
      <c r="C56" s="5"/>
      <c r="D56" s="5"/>
      <c r="E56" s="5"/>
      <c r="F56" s="5"/>
      <c r="G56" s="5"/>
      <c r="H56" s="5"/>
      <c r="I56" s="5"/>
    </row>
    <row r="57" spans="1:9" x14ac:dyDescent="0.15">
      <c r="A57" s="40" t="s">
        <v>182</v>
      </c>
      <c r="B57" s="41" t="s">
        <v>193</v>
      </c>
      <c r="C57" s="5"/>
      <c r="D57" s="5"/>
      <c r="E57" t="s">
        <v>184</v>
      </c>
      <c r="F57" t="s">
        <v>185</v>
      </c>
      <c r="G57" s="5"/>
      <c r="H57" s="5"/>
      <c r="I57" s="5"/>
    </row>
    <row r="58" spans="1:9" x14ac:dyDescent="0.15">
      <c r="A58" s="42">
        <v>2018</v>
      </c>
      <c r="B58" s="39">
        <v>52.91</v>
      </c>
      <c r="C58" s="5"/>
      <c r="D58" s="5"/>
      <c r="E58" s="47">
        <f>B62-B61</f>
        <v>5.7399999999999949</v>
      </c>
      <c r="F58" s="46">
        <f>Table6121619303370[[#This Row],[Absolute change]]/B61</f>
        <v>6.8268315889628867E-2</v>
      </c>
      <c r="G58" s="5"/>
      <c r="H58" s="5"/>
      <c r="I58" s="5"/>
    </row>
    <row r="59" spans="1:9" x14ac:dyDescent="0.15">
      <c r="A59" s="43">
        <v>2019</v>
      </c>
      <c r="B59" s="39">
        <v>71.34</v>
      </c>
      <c r="C59" s="5"/>
      <c r="D59" s="5"/>
      <c r="E59" s="39"/>
      <c r="F59" s="39"/>
      <c r="G59" s="5"/>
      <c r="H59" s="5"/>
      <c r="I59" s="5"/>
    </row>
    <row r="60" spans="1:9" x14ac:dyDescent="0.15">
      <c r="A60" s="44">
        <v>2020</v>
      </c>
      <c r="B60" s="39">
        <v>74.760000000000005</v>
      </c>
      <c r="C60" s="5"/>
      <c r="D60" s="5"/>
      <c r="E60" s="38" t="s">
        <v>182</v>
      </c>
      <c r="F60" s="41" t="s">
        <v>194</v>
      </c>
      <c r="G60" s="5"/>
      <c r="H60" s="5"/>
      <c r="I60" s="5"/>
    </row>
    <row r="61" spans="1:9" x14ac:dyDescent="0.15">
      <c r="A61" s="41">
        <v>2021</v>
      </c>
      <c r="B61" s="39">
        <v>84.08</v>
      </c>
      <c r="C61" s="5"/>
      <c r="D61" s="5"/>
      <c r="E61" s="39">
        <v>2021</v>
      </c>
      <c r="F61" s="50">
        <v>84.08</v>
      </c>
      <c r="G61" s="5"/>
      <c r="H61" s="5"/>
      <c r="I61" s="5"/>
    </row>
    <row r="62" spans="1:9" x14ac:dyDescent="0.15">
      <c r="A62" s="45">
        <v>2022</v>
      </c>
      <c r="B62" s="39">
        <v>89.82</v>
      </c>
      <c r="C62" s="5"/>
      <c r="D62" s="5"/>
      <c r="E62" s="39">
        <v>2022</v>
      </c>
      <c r="F62" s="39">
        <f>B62-B61</f>
        <v>5.7399999999999949</v>
      </c>
      <c r="G62" s="5"/>
      <c r="H62" s="5"/>
      <c r="I62" s="5"/>
    </row>
    <row r="63" spans="1:9" x14ac:dyDescent="0.15">
      <c r="A63" s="5"/>
      <c r="B63" s="5"/>
      <c r="C63" s="5"/>
      <c r="D63" s="5"/>
      <c r="E63" s="5"/>
      <c r="F63" s="5"/>
      <c r="G63" s="5"/>
      <c r="H63" s="5"/>
      <c r="I63" s="5"/>
    </row>
    <row r="64" spans="1:9" x14ac:dyDescent="0.15">
      <c r="A64" s="5"/>
      <c r="B64" s="5"/>
      <c r="C64" s="5"/>
      <c r="D64" s="5"/>
      <c r="E64" s="5"/>
      <c r="F64" s="5"/>
      <c r="G64" s="5"/>
      <c r="H64" s="5"/>
      <c r="I64" s="5"/>
    </row>
    <row r="65" spans="1:9" x14ac:dyDescent="0.15">
      <c r="A65" s="5"/>
      <c r="B65" s="5"/>
      <c r="C65" s="5"/>
      <c r="D65" s="5"/>
      <c r="E65" s="5"/>
      <c r="F65" s="5"/>
      <c r="G65" s="5"/>
      <c r="H65" s="5"/>
      <c r="I65" s="5"/>
    </row>
    <row r="66" spans="1:9" x14ac:dyDescent="0.15">
      <c r="A66" s="5"/>
      <c r="B66" s="5"/>
      <c r="C66" s="5"/>
      <c r="D66" s="5"/>
      <c r="E66" s="5"/>
      <c r="F66" s="5"/>
      <c r="G66" s="5"/>
      <c r="H66" s="5"/>
      <c r="I66" s="5"/>
    </row>
    <row r="67" spans="1:9" x14ac:dyDescent="0.15">
      <c r="A67" s="40" t="s">
        <v>182</v>
      </c>
      <c r="B67" s="41" t="s">
        <v>195</v>
      </c>
      <c r="C67" s="5"/>
      <c r="D67" s="5"/>
      <c r="E67" t="s">
        <v>184</v>
      </c>
      <c r="F67" t="s">
        <v>185</v>
      </c>
      <c r="G67" s="5"/>
      <c r="H67" s="5"/>
      <c r="I67" s="5"/>
    </row>
    <row r="68" spans="1:9" x14ac:dyDescent="0.15">
      <c r="A68" s="42">
        <v>2018</v>
      </c>
      <c r="B68" s="39">
        <v>22.64</v>
      </c>
      <c r="C68" s="5"/>
      <c r="D68" s="5"/>
      <c r="E68" s="47">
        <f>B72-B71</f>
        <v>-11.069999999999993</v>
      </c>
      <c r="F68" s="46">
        <f>(B72-B71)/B71</f>
        <v>-0.15069425537707587</v>
      </c>
      <c r="G68" s="5"/>
      <c r="H68" s="5"/>
      <c r="I68" s="5"/>
    </row>
    <row r="69" spans="1:9" x14ac:dyDescent="0.15">
      <c r="A69" s="43">
        <v>2019</v>
      </c>
      <c r="B69" s="39">
        <v>26.98</v>
      </c>
      <c r="C69" s="5"/>
      <c r="D69" s="5"/>
      <c r="E69" s="39"/>
      <c r="F69" s="39"/>
      <c r="G69" s="5"/>
      <c r="H69" s="5"/>
      <c r="I69" s="5"/>
    </row>
    <row r="70" spans="1:9" x14ac:dyDescent="0.15">
      <c r="A70" s="44">
        <v>2020</v>
      </c>
      <c r="B70" s="39">
        <v>51.98</v>
      </c>
      <c r="C70" s="5"/>
      <c r="D70" s="5"/>
      <c r="E70" s="38" t="s">
        <v>182</v>
      </c>
      <c r="F70" s="41" t="s">
        <v>195</v>
      </c>
      <c r="G70" s="5"/>
      <c r="H70" s="5"/>
      <c r="I70" s="5"/>
    </row>
    <row r="71" spans="1:9" x14ac:dyDescent="0.15">
      <c r="A71" s="41">
        <v>2021</v>
      </c>
      <c r="B71" s="39">
        <v>73.459999999999994</v>
      </c>
      <c r="C71" s="5"/>
      <c r="D71" s="5"/>
      <c r="E71" s="39">
        <v>2021</v>
      </c>
      <c r="F71" s="50">
        <f>Table511151827313471[[#This Row],[Current Liabilities]]-B72</f>
        <v>11.069999999999993</v>
      </c>
      <c r="G71" s="5"/>
      <c r="H71" s="5"/>
      <c r="I71" s="5"/>
    </row>
    <row r="72" spans="1:9" x14ac:dyDescent="0.15">
      <c r="A72" s="45">
        <v>2022</v>
      </c>
      <c r="B72" s="39">
        <v>62.39</v>
      </c>
      <c r="C72" s="5"/>
      <c r="D72" s="5"/>
      <c r="E72" s="39">
        <v>2022</v>
      </c>
      <c r="F72" s="50">
        <f>Table511151827313471[[#This Row],[Current Liabilities]]-B73</f>
        <v>62.39</v>
      </c>
      <c r="G72" s="5"/>
      <c r="H72" s="5"/>
      <c r="I72" s="5"/>
    </row>
    <row r="73" spans="1:9" x14ac:dyDescent="0.15">
      <c r="A73" s="5"/>
      <c r="B73" s="5"/>
      <c r="C73" s="5"/>
      <c r="D73" s="5"/>
      <c r="E73" s="5"/>
      <c r="F73" s="5"/>
      <c r="G73" s="5"/>
      <c r="H73" s="5"/>
      <c r="I73" s="5"/>
    </row>
    <row r="74" spans="1:9" x14ac:dyDescent="0.15">
      <c r="A74" s="5"/>
      <c r="B74" s="5"/>
      <c r="C74" s="5"/>
      <c r="D74" s="5"/>
      <c r="E74" s="5"/>
      <c r="F74" s="5"/>
      <c r="G74" s="5"/>
      <c r="H74" s="5"/>
      <c r="I74" s="5"/>
    </row>
    <row r="75" spans="1:9" x14ac:dyDescent="0.15">
      <c r="A75" s="5"/>
      <c r="B75" s="5"/>
      <c r="C75" s="5"/>
      <c r="D75" s="5"/>
      <c r="E75" s="5"/>
      <c r="F75" s="5"/>
      <c r="G75" s="5"/>
      <c r="H75" s="5"/>
      <c r="I75" s="5"/>
    </row>
    <row r="76" spans="1:9" x14ac:dyDescent="0.15">
      <c r="A76" s="5"/>
      <c r="B76" s="5"/>
      <c r="C76" s="5"/>
      <c r="D76" s="5"/>
      <c r="E76" s="5"/>
      <c r="F76" s="5"/>
      <c r="G76" s="5"/>
      <c r="H76" s="5"/>
      <c r="I76" s="5"/>
    </row>
    <row r="77" spans="1:9" x14ac:dyDescent="0.15">
      <c r="A77" s="40" t="s">
        <v>182</v>
      </c>
      <c r="B77" s="41" t="s">
        <v>196</v>
      </c>
      <c r="C77" s="5"/>
      <c r="D77" s="5"/>
      <c r="E77" t="s">
        <v>184</v>
      </c>
      <c r="F77" t="s">
        <v>185</v>
      </c>
      <c r="G77" s="5"/>
      <c r="H77" s="5"/>
      <c r="I77" s="5"/>
    </row>
    <row r="78" spans="1:9" x14ac:dyDescent="0.15">
      <c r="A78" s="42">
        <v>2018</v>
      </c>
      <c r="B78" s="39">
        <v>14.96</v>
      </c>
      <c r="C78" s="5"/>
      <c r="D78" s="5"/>
      <c r="E78" s="47">
        <f>B82-B81</f>
        <v>-2.16</v>
      </c>
      <c r="F78" s="46">
        <f>(B82-B81)/B81</f>
        <v>-0.1542857142857143</v>
      </c>
      <c r="G78" s="5"/>
      <c r="H78" s="5"/>
      <c r="I78" s="5"/>
    </row>
    <row r="79" spans="1:9" x14ac:dyDescent="0.15">
      <c r="A79" s="43">
        <v>2019</v>
      </c>
      <c r="B79" s="39">
        <v>27.01</v>
      </c>
      <c r="C79" s="5"/>
      <c r="D79" s="5"/>
      <c r="E79" s="39"/>
      <c r="F79" s="39"/>
      <c r="G79" s="5"/>
      <c r="H79" s="5"/>
      <c r="I79" s="5"/>
    </row>
    <row r="80" spans="1:9" x14ac:dyDescent="0.15">
      <c r="A80" s="44">
        <v>2020</v>
      </c>
      <c r="B80" s="39">
        <v>20.32</v>
      </c>
      <c r="C80" s="5"/>
      <c r="D80" s="5"/>
      <c r="E80" s="38" t="s">
        <v>182</v>
      </c>
      <c r="F80" s="41" t="s">
        <v>196</v>
      </c>
      <c r="G80" s="5"/>
      <c r="H80" s="5"/>
      <c r="I80" s="5"/>
    </row>
    <row r="81" spans="1:9" x14ac:dyDescent="0.15">
      <c r="A81" s="41">
        <v>2021</v>
      </c>
      <c r="B81" s="39">
        <v>14</v>
      </c>
      <c r="C81" s="5"/>
      <c r="D81" s="5"/>
      <c r="E81" s="39">
        <v>2021</v>
      </c>
      <c r="F81" s="50">
        <f>Table51115182731343774[[#This Row],[Long-term Liabilities]]-B82</f>
        <v>2.16</v>
      </c>
      <c r="G81" s="5"/>
      <c r="H81" s="5"/>
      <c r="I81" s="5"/>
    </row>
    <row r="82" spans="1:9" x14ac:dyDescent="0.15">
      <c r="A82" s="45">
        <v>2022</v>
      </c>
      <c r="B82" s="39">
        <v>11.84</v>
      </c>
      <c r="C82" s="5"/>
      <c r="D82" s="5"/>
      <c r="E82" s="39">
        <v>2022</v>
      </c>
      <c r="F82" s="50">
        <f>Table51115182731343774[[#This Row],[Long-term Liabilities]]-B83</f>
        <v>11.84</v>
      </c>
      <c r="G82" s="5"/>
      <c r="H82" s="5"/>
      <c r="I82" s="5"/>
    </row>
    <row r="83" spans="1:9" x14ac:dyDescent="0.15">
      <c r="A83" s="5"/>
      <c r="B83" s="5"/>
      <c r="C83" s="5"/>
      <c r="D83" s="5"/>
      <c r="E83" s="5"/>
      <c r="F83" s="5"/>
      <c r="G83" s="5"/>
      <c r="H83" s="5"/>
      <c r="I83" s="5"/>
    </row>
    <row r="84" spans="1:9" x14ac:dyDescent="0.15">
      <c r="A84" s="16"/>
      <c r="B84" s="16"/>
      <c r="C84" s="16"/>
      <c r="D84" s="16"/>
      <c r="E84" s="16"/>
      <c r="F84" s="16"/>
      <c r="G84" s="5"/>
      <c r="H84" s="5"/>
      <c r="I84" s="5"/>
    </row>
    <row r="85" spans="1:9" x14ac:dyDescent="0.15">
      <c r="A85" s="5"/>
      <c r="B85" s="5"/>
      <c r="C85" s="5"/>
      <c r="D85" s="5"/>
      <c r="E85" s="5"/>
      <c r="F85" s="5"/>
      <c r="G85" s="5"/>
      <c r="H85" s="5"/>
      <c r="I85" s="5"/>
    </row>
    <row r="86" spans="1:9" x14ac:dyDescent="0.15">
      <c r="A86" s="5"/>
      <c r="B86" s="5"/>
      <c r="C86" s="5"/>
      <c r="D86" s="5"/>
      <c r="E86" s="5"/>
      <c r="F86" s="5"/>
      <c r="G86" s="5"/>
      <c r="H86" s="5"/>
      <c r="I86" s="5"/>
    </row>
    <row r="87" spans="1:9" x14ac:dyDescent="0.15">
      <c r="A87" s="40" t="s">
        <v>182</v>
      </c>
      <c r="B87" s="41" t="s">
        <v>197</v>
      </c>
      <c r="C87" s="5"/>
      <c r="D87" s="5"/>
      <c r="E87" t="s">
        <v>184</v>
      </c>
      <c r="F87" t="s">
        <v>185</v>
      </c>
      <c r="G87" s="5"/>
      <c r="H87" s="5"/>
      <c r="I87" s="5"/>
    </row>
    <row r="88" spans="1:9" x14ac:dyDescent="0.15">
      <c r="A88" s="42">
        <v>2018</v>
      </c>
      <c r="B88" s="39">
        <v>40.619999999999997</v>
      </c>
      <c r="C88" s="5"/>
      <c r="D88" s="5"/>
      <c r="E88" s="47">
        <f>B92-B91</f>
        <v>5.3299999999999983</v>
      </c>
      <c r="F88" s="46">
        <f>(B92-B91)/B91</f>
        <v>5.8713372989645275E-2</v>
      </c>
      <c r="G88" s="5"/>
      <c r="H88" s="5"/>
      <c r="I88" s="5"/>
    </row>
    <row r="89" spans="1:9" x14ac:dyDescent="0.15">
      <c r="A89" s="43">
        <v>2019</v>
      </c>
      <c r="B89" s="39">
        <v>47.79</v>
      </c>
      <c r="C89" s="5"/>
      <c r="D89" s="5"/>
      <c r="E89" s="39"/>
      <c r="F89" s="39"/>
      <c r="G89" s="5"/>
      <c r="H89" s="5"/>
      <c r="I89" s="5"/>
    </row>
    <row r="90" spans="1:9" x14ac:dyDescent="0.15">
      <c r="A90" s="44">
        <v>2020</v>
      </c>
      <c r="B90" s="39">
        <v>59.22</v>
      </c>
      <c r="C90" s="5"/>
      <c r="D90" s="5"/>
      <c r="E90" s="38" t="s">
        <v>182</v>
      </c>
      <c r="F90" s="41" t="s">
        <v>196</v>
      </c>
      <c r="G90" s="5"/>
      <c r="H90" s="5"/>
      <c r="I90" s="5"/>
    </row>
    <row r="91" spans="1:9" x14ac:dyDescent="0.15">
      <c r="A91" s="41">
        <v>2021</v>
      </c>
      <c r="B91" s="39">
        <v>90.78</v>
      </c>
      <c r="C91" s="5"/>
      <c r="D91" s="5"/>
      <c r="E91" s="39">
        <v>2021</v>
      </c>
      <c r="F91" s="50">
        <v>90.78</v>
      </c>
      <c r="G91" s="5"/>
      <c r="H91" s="5"/>
      <c r="I91" s="5"/>
    </row>
    <row r="92" spans="1:9" x14ac:dyDescent="0.15">
      <c r="A92" s="45">
        <v>2022</v>
      </c>
      <c r="B92" s="39">
        <v>96.11</v>
      </c>
      <c r="C92" s="5"/>
      <c r="D92" s="5"/>
      <c r="E92" s="39">
        <v>2022</v>
      </c>
      <c r="F92" s="50">
        <f>Table5111518273134374177[[#This Row],[Owner''s Equity]]-B91</f>
        <v>5.3299999999999983</v>
      </c>
      <c r="G92" s="5"/>
      <c r="H92" s="5"/>
      <c r="I92" s="5"/>
    </row>
  </sheetData>
  <pageMargins left="0.7" right="0.7" top="0.75" bottom="0.75" header="0.3" footer="0.3"/>
  <tableParts count="2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0C888-7985-7246-98FB-100F7E4A601D}">
  <dimension ref="A1:I133"/>
  <sheetViews>
    <sheetView showGridLines="0" zoomScale="38" zoomScaleNormal="50" workbookViewId="0">
      <selection activeCell="P59" sqref="P59"/>
    </sheetView>
  </sheetViews>
  <sheetFormatPr baseColWidth="10" defaultRowHeight="14" x14ac:dyDescent="0.15"/>
  <cols>
    <col min="1" max="1" width="77.5" customWidth="1"/>
    <col min="2" max="2" width="43.83203125" customWidth="1"/>
    <col min="3" max="3" width="43.6640625" customWidth="1"/>
    <col min="4" max="4" width="43.33203125" customWidth="1"/>
    <col min="5" max="5" width="17.1640625" customWidth="1"/>
    <col min="6" max="6" width="16.1640625" customWidth="1"/>
    <col min="7" max="7" width="15.83203125" customWidth="1"/>
    <col min="8" max="8" width="19.5" customWidth="1"/>
    <col min="9" max="9" width="20.83203125" customWidth="1"/>
  </cols>
  <sheetData>
    <row r="1" spans="1:9" ht="59" x14ac:dyDescent="0.3">
      <c r="A1" s="73" t="s">
        <v>0</v>
      </c>
      <c r="B1" s="74" t="s">
        <v>247</v>
      </c>
      <c r="C1" s="75"/>
      <c r="D1" s="76"/>
    </row>
    <row r="2" spans="1:9" ht="59" x14ac:dyDescent="0.3">
      <c r="A2" s="73" t="s">
        <v>2</v>
      </c>
      <c r="B2" s="77">
        <v>45253.554678425899</v>
      </c>
      <c r="C2" s="78"/>
      <c r="D2" s="76"/>
    </row>
    <row r="3" spans="1:9" ht="24" thickBot="1" x14ac:dyDescent="0.2">
      <c r="A3" s="79"/>
      <c r="B3" s="79"/>
      <c r="C3" s="79"/>
      <c r="D3" s="79"/>
    </row>
    <row r="4" spans="1:9" ht="23" x14ac:dyDescent="0.25">
      <c r="A4" s="354" t="s">
        <v>3</v>
      </c>
      <c r="B4" s="355" t="s">
        <v>4</v>
      </c>
      <c r="C4" s="355" t="s">
        <v>5</v>
      </c>
      <c r="D4" s="356" t="s">
        <v>6</v>
      </c>
      <c r="E4" s="495" t="s">
        <v>589</v>
      </c>
      <c r="F4" s="496"/>
      <c r="G4" s="497"/>
      <c r="H4" s="498" t="s">
        <v>588</v>
      </c>
      <c r="I4" s="497"/>
    </row>
    <row r="5" spans="1:9" ht="24" thickBot="1" x14ac:dyDescent="0.3">
      <c r="A5" s="502"/>
      <c r="B5" s="503"/>
      <c r="C5" s="503"/>
      <c r="D5" s="504"/>
      <c r="E5" s="109">
        <v>2020</v>
      </c>
      <c r="F5" s="110">
        <v>2021</v>
      </c>
      <c r="G5" s="111">
        <v>2022</v>
      </c>
      <c r="H5" s="359" t="s">
        <v>179</v>
      </c>
      <c r="I5" s="111" t="s">
        <v>180</v>
      </c>
    </row>
    <row r="6" spans="1:9" ht="25" thickTop="1" thickBot="1" x14ac:dyDescent="0.3">
      <c r="A6" s="80" t="s">
        <v>248</v>
      </c>
      <c r="B6" s="81">
        <v>56747258197010</v>
      </c>
      <c r="C6" s="81">
        <v>94154859648304</v>
      </c>
      <c r="D6" s="82">
        <v>80514708725456</v>
      </c>
      <c r="E6" s="337">
        <f>B6/$B$72</f>
        <v>0.43150056465224623</v>
      </c>
      <c r="F6" s="353">
        <f>C6/$C$72</f>
        <v>0.52825824487800821</v>
      </c>
      <c r="G6" s="362">
        <f>D6/$D$72</f>
        <v>0.47268302558358732</v>
      </c>
      <c r="H6" s="337">
        <f>(C6-B6)/B6</f>
        <v>0.65919663151699193</v>
      </c>
      <c r="I6" s="336">
        <f>(D6-C6)/C6</f>
        <v>-0.14486932457653234</v>
      </c>
    </row>
    <row r="7" spans="1:9" ht="24" thickTop="1" x14ac:dyDescent="0.25">
      <c r="A7" s="508"/>
      <c r="B7" s="509"/>
      <c r="C7" s="509"/>
      <c r="D7" s="509"/>
      <c r="E7" s="509"/>
      <c r="F7" s="509"/>
      <c r="G7" s="509"/>
      <c r="H7" s="509"/>
      <c r="I7" s="510"/>
    </row>
    <row r="8" spans="1:9" ht="23" x14ac:dyDescent="0.25">
      <c r="A8" s="83" t="s">
        <v>249</v>
      </c>
      <c r="B8" s="84">
        <v>13696099298228</v>
      </c>
      <c r="C8" s="84">
        <v>22471375562130</v>
      </c>
      <c r="D8" s="85">
        <v>8324588920227</v>
      </c>
      <c r="E8" s="341">
        <f t="shared" ref="E8:E70" si="0">B8/$B$72</f>
        <v>0.10414379070441161</v>
      </c>
      <c r="F8" s="347">
        <f t="shared" ref="F8:F70" si="1">C8/$C$72</f>
        <v>0.12607622653558045</v>
      </c>
      <c r="G8" s="338">
        <f t="shared" ref="G8:G70" si="2">D8/$D$72</f>
        <v>4.8871714744320109E-2</v>
      </c>
      <c r="H8" s="363">
        <f>(C8-B8)/B8</f>
        <v>0.6407135398790037</v>
      </c>
      <c r="I8" s="338">
        <f t="shared" ref="I8:I68" si="3">(D8-C8)/C8</f>
        <v>-0.62954698090418393</v>
      </c>
    </row>
    <row r="9" spans="1:9" ht="23" x14ac:dyDescent="0.25">
      <c r="A9" s="86" t="s">
        <v>250</v>
      </c>
      <c r="B9" s="87">
        <v>2094314298228</v>
      </c>
      <c r="C9" s="87">
        <v>6316299666510</v>
      </c>
      <c r="D9" s="88">
        <v>3458049733104</v>
      </c>
      <c r="E9" s="342">
        <f t="shared" si="0"/>
        <v>1.5924959741795426E-2</v>
      </c>
      <c r="F9" s="348">
        <f t="shared" si="1"/>
        <v>3.5437760604364342E-2</v>
      </c>
      <c r="G9" s="360">
        <f t="shared" si="2"/>
        <v>2.0301401276079174E-2</v>
      </c>
      <c r="H9" s="342">
        <f t="shared" ref="H9:H68" si="4">(C9-B9)/B9</f>
        <v>2.0159272998585851</v>
      </c>
      <c r="I9" s="360">
        <f t="shared" si="3"/>
        <v>-0.45251968467564707</v>
      </c>
    </row>
    <row r="10" spans="1:9" ht="23" x14ac:dyDescent="0.25">
      <c r="A10" s="86" t="s">
        <v>251</v>
      </c>
      <c r="B10" s="87">
        <v>11601785000000</v>
      </c>
      <c r="C10" s="87">
        <v>16155075895620</v>
      </c>
      <c r="D10" s="88">
        <v>4866539187123</v>
      </c>
      <c r="E10" s="342">
        <f t="shared" si="0"/>
        <v>8.8218830962616179E-2</v>
      </c>
      <c r="F10" s="348">
        <f t="shared" si="1"/>
        <v>9.0638465931216119E-2</v>
      </c>
      <c r="G10" s="360">
        <f t="shared" si="2"/>
        <v>2.8570313468240932E-2</v>
      </c>
      <c r="H10" s="342">
        <f t="shared" si="4"/>
        <v>0.39246468501355608</v>
      </c>
      <c r="I10" s="360">
        <f t="shared" si="3"/>
        <v>-0.6987609827049821</v>
      </c>
    </row>
    <row r="11" spans="1:9" ht="23" x14ac:dyDescent="0.25">
      <c r="A11" s="83" t="s">
        <v>252</v>
      </c>
      <c r="B11" s="84">
        <v>8126992675380</v>
      </c>
      <c r="C11" s="84">
        <v>18236152616078</v>
      </c>
      <c r="D11" s="85">
        <v>26268246676354</v>
      </c>
      <c r="E11" s="341">
        <f t="shared" si="0"/>
        <v>6.1796852214014313E-2</v>
      </c>
      <c r="F11" s="347">
        <f t="shared" si="1"/>
        <v>0.10231440002438991</v>
      </c>
      <c r="G11" s="338">
        <f t="shared" si="2"/>
        <v>0.15421473308800943</v>
      </c>
      <c r="H11" s="363">
        <f t="shared" si="4"/>
        <v>1.2438992311784407</v>
      </c>
      <c r="I11" s="338">
        <f t="shared" si="3"/>
        <v>0.44044893840131949</v>
      </c>
    </row>
    <row r="12" spans="1:9" ht="23" x14ac:dyDescent="0.25">
      <c r="A12" s="86" t="s">
        <v>253</v>
      </c>
      <c r="B12" s="87">
        <v>0</v>
      </c>
      <c r="C12" s="87">
        <v>0</v>
      </c>
      <c r="D12" s="88">
        <v>0</v>
      </c>
      <c r="E12" s="342">
        <f t="shared" si="0"/>
        <v>0</v>
      </c>
      <c r="F12" s="348">
        <f t="shared" si="1"/>
        <v>0</v>
      </c>
      <c r="G12" s="360">
        <f t="shared" si="2"/>
        <v>0</v>
      </c>
      <c r="H12" s="342"/>
      <c r="I12" s="360"/>
    </row>
    <row r="13" spans="1:9" ht="23" x14ac:dyDescent="0.25">
      <c r="A13" s="86" t="s">
        <v>254</v>
      </c>
      <c r="B13" s="87">
        <v>0</v>
      </c>
      <c r="C13" s="87">
        <v>0</v>
      </c>
      <c r="D13" s="88">
        <v>0</v>
      </c>
      <c r="E13" s="342">
        <f t="shared" si="0"/>
        <v>0</v>
      </c>
      <c r="F13" s="348">
        <f t="shared" si="1"/>
        <v>0</v>
      </c>
      <c r="G13" s="360">
        <f t="shared" si="2"/>
        <v>0</v>
      </c>
      <c r="H13" s="342"/>
      <c r="I13" s="360"/>
    </row>
    <row r="14" spans="1:9" ht="23" x14ac:dyDescent="0.25">
      <c r="A14" s="86" t="s">
        <v>255</v>
      </c>
      <c r="B14" s="87">
        <v>8126992675380</v>
      </c>
      <c r="C14" s="87">
        <v>18236152616078</v>
      </c>
      <c r="D14" s="88">
        <v>26268246676354</v>
      </c>
      <c r="E14" s="342">
        <f t="shared" si="0"/>
        <v>6.1796852214014313E-2</v>
      </c>
      <c r="F14" s="348">
        <f t="shared" si="1"/>
        <v>0.10231440002438991</v>
      </c>
      <c r="G14" s="360">
        <f t="shared" si="2"/>
        <v>0.15421473308800943</v>
      </c>
      <c r="H14" s="342">
        <f>(C14-B14)/B14</f>
        <v>1.2438992311784407</v>
      </c>
      <c r="I14" s="360">
        <f t="shared" si="3"/>
        <v>0.44044893840131949</v>
      </c>
    </row>
    <row r="15" spans="1:9" ht="23" x14ac:dyDescent="0.25">
      <c r="A15" s="83" t="s">
        <v>256</v>
      </c>
      <c r="B15" s="84">
        <v>6124790460291</v>
      </c>
      <c r="C15" s="84">
        <v>7662680796645</v>
      </c>
      <c r="D15" s="85">
        <v>9892867373309</v>
      </c>
      <c r="E15" s="341">
        <f t="shared" si="0"/>
        <v>4.6572303684118944E-2</v>
      </c>
      <c r="F15" s="347">
        <f t="shared" si="1"/>
        <v>4.2991666323077778E-2</v>
      </c>
      <c r="G15" s="338">
        <f t="shared" si="2"/>
        <v>5.8078710781380535E-2</v>
      </c>
      <c r="H15" s="363">
        <f t="shared" si="4"/>
        <v>0.25109272657156861</v>
      </c>
      <c r="I15" s="338">
        <f t="shared" si="3"/>
        <v>0.29104521457300647</v>
      </c>
    </row>
    <row r="16" spans="1:9" ht="23" x14ac:dyDescent="0.25">
      <c r="A16" s="86" t="s">
        <v>257</v>
      </c>
      <c r="B16" s="87">
        <v>3949486943250</v>
      </c>
      <c r="C16" s="87">
        <v>4973095672343</v>
      </c>
      <c r="D16" s="88">
        <v>2958587125337</v>
      </c>
      <c r="E16" s="342">
        <f t="shared" si="0"/>
        <v>3.003150989572996E-2</v>
      </c>
      <c r="F16" s="348">
        <f t="shared" si="1"/>
        <v>2.7901680288147004E-2</v>
      </c>
      <c r="G16" s="360">
        <f t="shared" si="2"/>
        <v>1.7369173111282606E-2</v>
      </c>
      <c r="H16" s="342">
        <f t="shared" si="4"/>
        <v>0.25917511408473753</v>
      </c>
      <c r="I16" s="360">
        <f t="shared" si="3"/>
        <v>-0.40508139793274767</v>
      </c>
    </row>
    <row r="17" spans="1:9" ht="23" x14ac:dyDescent="0.25">
      <c r="A17" s="86" t="s">
        <v>258</v>
      </c>
      <c r="B17" s="87">
        <v>1303037835829</v>
      </c>
      <c r="C17" s="87">
        <v>1722371823278</v>
      </c>
      <c r="D17" s="88">
        <v>5366251939739</v>
      </c>
      <c r="E17" s="342">
        <f t="shared" si="0"/>
        <v>9.908171421629669E-3</v>
      </c>
      <c r="F17" s="348">
        <f t="shared" si="1"/>
        <v>9.6634111058181617E-3</v>
      </c>
      <c r="G17" s="360">
        <f t="shared" si="2"/>
        <v>3.150401017494657E-2</v>
      </c>
      <c r="H17" s="342">
        <f t="shared" si="4"/>
        <v>0.32181259509031629</v>
      </c>
      <c r="I17" s="360">
        <f t="shared" si="3"/>
        <v>2.1156175845503591</v>
      </c>
    </row>
    <row r="18" spans="1:9" ht="23" x14ac:dyDescent="0.25">
      <c r="A18" s="86" t="s">
        <v>259</v>
      </c>
      <c r="B18" s="87">
        <v>0</v>
      </c>
      <c r="C18" s="87">
        <v>0</v>
      </c>
      <c r="D18" s="88">
        <v>0</v>
      </c>
      <c r="E18" s="342">
        <f t="shared" si="0"/>
        <v>0</v>
      </c>
      <c r="F18" s="348">
        <f t="shared" si="1"/>
        <v>0</v>
      </c>
      <c r="G18" s="360">
        <f t="shared" si="2"/>
        <v>0</v>
      </c>
      <c r="H18" s="342"/>
      <c r="I18" s="360"/>
    </row>
    <row r="19" spans="1:9" ht="23" x14ac:dyDescent="0.25">
      <c r="A19" s="86" t="s">
        <v>260</v>
      </c>
      <c r="B19" s="87">
        <v>0</v>
      </c>
      <c r="C19" s="87">
        <v>0</v>
      </c>
      <c r="D19" s="88">
        <v>0</v>
      </c>
      <c r="E19" s="342">
        <f t="shared" si="0"/>
        <v>0</v>
      </c>
      <c r="F19" s="348">
        <f t="shared" si="1"/>
        <v>0</v>
      </c>
      <c r="G19" s="360">
        <f t="shared" si="2"/>
        <v>0</v>
      </c>
      <c r="H19" s="342"/>
      <c r="I19" s="360"/>
    </row>
    <row r="20" spans="1:9" ht="23" x14ac:dyDescent="0.25">
      <c r="A20" s="86" t="s">
        <v>261</v>
      </c>
      <c r="B20" s="87">
        <v>0</v>
      </c>
      <c r="C20" s="87">
        <v>23521740500</v>
      </c>
      <c r="D20" s="88">
        <v>124200000000</v>
      </c>
      <c r="E20" s="342">
        <f t="shared" si="0"/>
        <v>0</v>
      </c>
      <c r="F20" s="348">
        <f t="shared" si="1"/>
        <v>1.3196932584700404E-4</v>
      </c>
      <c r="G20" s="360">
        <f t="shared" si="2"/>
        <v>7.2914915431992772E-4</v>
      </c>
      <c r="H20" s="342"/>
      <c r="I20" s="360"/>
    </row>
    <row r="21" spans="1:9" ht="23" x14ac:dyDescent="0.25">
      <c r="A21" s="86" t="s">
        <v>262</v>
      </c>
      <c r="B21" s="87">
        <v>910365502671</v>
      </c>
      <c r="C21" s="87">
        <v>981799066828</v>
      </c>
      <c r="D21" s="88">
        <v>1482978249031</v>
      </c>
      <c r="E21" s="342">
        <f t="shared" si="0"/>
        <v>6.9223296582663837E-3</v>
      </c>
      <c r="F21" s="348">
        <f t="shared" si="1"/>
        <v>5.5084087406928424E-3</v>
      </c>
      <c r="G21" s="360">
        <f t="shared" si="2"/>
        <v>8.7062184875668341E-3</v>
      </c>
      <c r="H21" s="342">
        <f t="shared" si="4"/>
        <v>7.8466905816855864E-2</v>
      </c>
      <c r="I21" s="360">
        <f t="shared" si="3"/>
        <v>0.51047021649980939</v>
      </c>
    </row>
    <row r="22" spans="1:9" ht="23" x14ac:dyDescent="0.25">
      <c r="A22" s="86" t="s">
        <v>263</v>
      </c>
      <c r="B22" s="87">
        <v>-39336197606</v>
      </c>
      <c r="C22" s="87">
        <v>-39275168162</v>
      </c>
      <c r="D22" s="88">
        <v>-41074336139</v>
      </c>
      <c r="E22" s="342">
        <f t="shared" si="0"/>
        <v>-2.9910857400958397E-4</v>
      </c>
      <c r="F22" s="348">
        <f t="shared" si="1"/>
        <v>-2.2035433410494675E-4</v>
      </c>
      <c r="G22" s="360">
        <f t="shared" si="2"/>
        <v>-2.4113782173916501E-4</v>
      </c>
      <c r="H22" s="342">
        <f t="shared" si="4"/>
        <v>-1.5514830541397092E-3</v>
      </c>
      <c r="I22" s="360">
        <f t="shared" si="3"/>
        <v>4.5809300410348169E-2</v>
      </c>
    </row>
    <row r="23" spans="1:9" ht="23" x14ac:dyDescent="0.25">
      <c r="A23" s="86" t="s">
        <v>264</v>
      </c>
      <c r="B23" s="87">
        <v>1236376147</v>
      </c>
      <c r="C23" s="87">
        <v>1167661858</v>
      </c>
      <c r="D23" s="88">
        <v>1924395341</v>
      </c>
      <c r="E23" s="342">
        <f t="shared" si="0"/>
        <v>9.4012825025117861E-6</v>
      </c>
      <c r="F23" s="348">
        <f t="shared" si="1"/>
        <v>6.5511966777084446E-6</v>
      </c>
      <c r="G23" s="360">
        <f t="shared" si="2"/>
        <v>1.1297675003762954E-5</v>
      </c>
      <c r="H23" s="342">
        <f t="shared" si="4"/>
        <v>-5.5577171370324085E-2</v>
      </c>
      <c r="I23" s="360">
        <f t="shared" si="3"/>
        <v>0.64807587728878269</v>
      </c>
    </row>
    <row r="24" spans="1:9" ht="23" x14ac:dyDescent="0.25">
      <c r="A24" s="83" t="s">
        <v>265</v>
      </c>
      <c r="B24" s="84">
        <v>26286822229202</v>
      </c>
      <c r="C24" s="84">
        <v>42134493932210</v>
      </c>
      <c r="D24" s="85">
        <v>34491111096123</v>
      </c>
      <c r="E24" s="341">
        <f t="shared" si="0"/>
        <v>0.19988240833477888</v>
      </c>
      <c r="F24" s="347">
        <f t="shared" si="1"/>
        <v>0.2363966543691117</v>
      </c>
      <c r="G24" s="338">
        <f t="shared" si="2"/>
        <v>0.20248924707965185</v>
      </c>
      <c r="H24" s="363">
        <f t="shared" si="4"/>
        <v>0.60287514271705467</v>
      </c>
      <c r="I24" s="338">
        <f t="shared" si="3"/>
        <v>-0.18140440581496967</v>
      </c>
    </row>
    <row r="25" spans="1:9" ht="23" x14ac:dyDescent="0.25">
      <c r="A25" s="86" t="s">
        <v>266</v>
      </c>
      <c r="B25" s="87">
        <v>26373360826788</v>
      </c>
      <c r="C25" s="87">
        <v>42370012405544</v>
      </c>
      <c r="D25" s="88">
        <v>35727277739296</v>
      </c>
      <c r="E25" s="342">
        <f t="shared" si="0"/>
        <v>0.20054043931123477</v>
      </c>
      <c r="F25" s="348">
        <f t="shared" si="1"/>
        <v>0.23771803677915926</v>
      </c>
      <c r="G25" s="360">
        <f t="shared" si="2"/>
        <v>0.20974649234912124</v>
      </c>
      <c r="H25" s="342">
        <f t="shared" si="4"/>
        <v>0.60654581279257558</v>
      </c>
      <c r="I25" s="360">
        <f t="shared" si="3"/>
        <v>-0.15677915320550664</v>
      </c>
    </row>
    <row r="26" spans="1:9" ht="23" x14ac:dyDescent="0.25">
      <c r="A26" s="86" t="s">
        <v>267</v>
      </c>
      <c r="B26" s="87">
        <v>-86538597586</v>
      </c>
      <c r="C26" s="87">
        <v>-235518473334</v>
      </c>
      <c r="D26" s="88">
        <v>-1236166643173</v>
      </c>
      <c r="E26" s="342">
        <f t="shared" si="0"/>
        <v>-6.5803097645588142E-4</v>
      </c>
      <c r="F26" s="348">
        <f t="shared" si="1"/>
        <v>-1.3213824100475719E-3</v>
      </c>
      <c r="G26" s="360">
        <f t="shared" si="2"/>
        <v>-7.2572452694693789E-3</v>
      </c>
      <c r="H26" s="342">
        <f t="shared" si="4"/>
        <v>1.7215425244203586</v>
      </c>
      <c r="I26" s="360">
        <f t="shared" si="3"/>
        <v>4.2487035334163918</v>
      </c>
    </row>
    <row r="27" spans="1:9" ht="23" x14ac:dyDescent="0.25">
      <c r="A27" s="83" t="s">
        <v>268</v>
      </c>
      <c r="B27" s="84">
        <v>2512553533909</v>
      </c>
      <c r="C27" s="84">
        <v>3650156741241</v>
      </c>
      <c r="D27" s="85">
        <v>1537894659443</v>
      </c>
      <c r="E27" s="341">
        <f t="shared" si="0"/>
        <v>1.9105209714922487E-2</v>
      </c>
      <c r="F27" s="347">
        <f t="shared" si="1"/>
        <v>2.0479297625848391E-2</v>
      </c>
      <c r="G27" s="338">
        <f t="shared" si="2"/>
        <v>9.0286198902254158E-3</v>
      </c>
      <c r="H27" s="363">
        <f t="shared" si="4"/>
        <v>0.45276774881772602</v>
      </c>
      <c r="I27" s="338">
        <f t="shared" si="3"/>
        <v>-0.57867709020075164</v>
      </c>
    </row>
    <row r="28" spans="1:9" ht="23" x14ac:dyDescent="0.25">
      <c r="A28" s="86" t="s">
        <v>269</v>
      </c>
      <c r="B28" s="87">
        <v>141398046799</v>
      </c>
      <c r="C28" s="87">
        <v>296697348350</v>
      </c>
      <c r="D28" s="88">
        <v>320077470557</v>
      </c>
      <c r="E28" s="342">
        <f t="shared" si="0"/>
        <v>1.0751768274455244E-3</v>
      </c>
      <c r="F28" s="348">
        <f t="shared" si="1"/>
        <v>1.6646280509022373E-3</v>
      </c>
      <c r="G28" s="360">
        <f t="shared" si="2"/>
        <v>1.87909997563203E-3</v>
      </c>
      <c r="H28" s="342">
        <f t="shared" si="4"/>
        <v>1.09831291921423</v>
      </c>
      <c r="I28" s="360">
        <f t="shared" si="3"/>
        <v>7.8801250961702429E-2</v>
      </c>
    </row>
    <row r="29" spans="1:9" ht="23" x14ac:dyDescent="0.25">
      <c r="A29" s="86" t="s">
        <v>270</v>
      </c>
      <c r="B29" s="87">
        <v>2357338685110</v>
      </c>
      <c r="C29" s="87">
        <v>3335690250424</v>
      </c>
      <c r="D29" s="88">
        <v>1117646951943</v>
      </c>
      <c r="E29" s="342">
        <f t="shared" si="0"/>
        <v>1.7924971285311269E-2</v>
      </c>
      <c r="F29" s="348">
        <f t="shared" si="1"/>
        <v>1.8714975347291132E-2</v>
      </c>
      <c r="G29" s="360">
        <f t="shared" si="2"/>
        <v>6.5614438795288518E-3</v>
      </c>
      <c r="H29" s="342">
        <f t="shared" si="4"/>
        <v>0.41502376026563503</v>
      </c>
      <c r="I29" s="360">
        <f t="shared" si="3"/>
        <v>-0.66494282501172408</v>
      </c>
    </row>
    <row r="30" spans="1:9" ht="23" x14ac:dyDescent="0.25">
      <c r="A30" s="86" t="s">
        <v>271</v>
      </c>
      <c r="B30" s="87">
        <v>13816802000</v>
      </c>
      <c r="C30" s="87">
        <v>17769142467</v>
      </c>
      <c r="D30" s="88">
        <v>100170236943</v>
      </c>
      <c r="E30" s="342">
        <f t="shared" si="0"/>
        <v>1.0506160216569581E-4</v>
      </c>
      <c r="F30" s="348">
        <f t="shared" si="1"/>
        <v>9.9694227655022395E-5</v>
      </c>
      <c r="G30" s="360">
        <f t="shared" si="2"/>
        <v>5.8807603506453492E-4</v>
      </c>
      <c r="H30" s="342">
        <f t="shared" si="4"/>
        <v>0.28605320297707099</v>
      </c>
      <c r="I30" s="360">
        <f t="shared" si="3"/>
        <v>4.6373140757372715</v>
      </c>
    </row>
    <row r="31" spans="1:9" ht="23" x14ac:dyDescent="0.25">
      <c r="A31" s="86" t="s">
        <v>272</v>
      </c>
      <c r="B31" s="87">
        <v>0</v>
      </c>
      <c r="C31" s="87">
        <v>0</v>
      </c>
      <c r="D31" s="88">
        <v>0</v>
      </c>
      <c r="E31" s="342">
        <f t="shared" si="0"/>
        <v>0</v>
      </c>
      <c r="F31" s="348">
        <f t="shared" si="1"/>
        <v>0</v>
      </c>
      <c r="G31" s="360">
        <f t="shared" si="2"/>
        <v>0</v>
      </c>
      <c r="H31" s="342"/>
      <c r="I31" s="360"/>
    </row>
    <row r="32" spans="1:9" ht="23" x14ac:dyDescent="0.25">
      <c r="A32" s="86" t="s">
        <v>273</v>
      </c>
      <c r="B32" s="87">
        <v>0</v>
      </c>
      <c r="C32" s="87">
        <v>0</v>
      </c>
      <c r="D32" s="88">
        <v>0</v>
      </c>
      <c r="E32" s="342">
        <f t="shared" si="0"/>
        <v>0</v>
      </c>
      <c r="F32" s="348">
        <f t="shared" si="1"/>
        <v>0</v>
      </c>
      <c r="G32" s="360">
        <f t="shared" si="2"/>
        <v>0</v>
      </c>
      <c r="H32" s="342"/>
      <c r="I32" s="360"/>
    </row>
    <row r="33" spans="1:9" ht="24" thickBot="1" x14ac:dyDescent="0.3">
      <c r="A33" s="505"/>
      <c r="B33" s="506"/>
      <c r="C33" s="506"/>
      <c r="D33" s="507"/>
      <c r="E33" s="342">
        <f t="shared" si="0"/>
        <v>0</v>
      </c>
      <c r="F33" s="348">
        <f t="shared" si="1"/>
        <v>0</v>
      </c>
      <c r="G33" s="360">
        <f t="shared" si="2"/>
        <v>0</v>
      </c>
      <c r="H33" s="342"/>
      <c r="I33" s="360"/>
    </row>
    <row r="34" spans="1:9" ht="25" thickTop="1" thickBot="1" x14ac:dyDescent="0.3">
      <c r="A34" s="80" t="s">
        <v>274</v>
      </c>
      <c r="B34" s="81">
        <v>74764176191827</v>
      </c>
      <c r="C34" s="81">
        <v>84081562709945</v>
      </c>
      <c r="D34" s="82">
        <v>89820810782676</v>
      </c>
      <c r="E34" s="343">
        <f t="shared" si="0"/>
        <v>0.56849943534775371</v>
      </c>
      <c r="F34" s="349">
        <f t="shared" si="1"/>
        <v>0.47174175512199179</v>
      </c>
      <c r="G34" s="336">
        <f t="shared" si="2"/>
        <v>0.52731697441641268</v>
      </c>
      <c r="H34" s="364">
        <f t="shared" si="4"/>
        <v>0.12462367664176241</v>
      </c>
      <c r="I34" s="336">
        <f t="shared" si="3"/>
        <v>6.8258104247296211E-2</v>
      </c>
    </row>
    <row r="35" spans="1:9" ht="24" thickTop="1" x14ac:dyDescent="0.25">
      <c r="A35" s="334"/>
      <c r="B35" s="357"/>
      <c r="C35" s="357"/>
      <c r="D35" s="357"/>
      <c r="E35" s="344"/>
      <c r="F35" s="350"/>
      <c r="G35" s="361"/>
      <c r="H35" s="342"/>
      <c r="I35" s="360"/>
    </row>
    <row r="36" spans="1:9" ht="23" x14ac:dyDescent="0.25">
      <c r="A36" s="83" t="s">
        <v>275</v>
      </c>
      <c r="B36" s="84">
        <v>305165547431</v>
      </c>
      <c r="C36" s="84">
        <v>809234947969</v>
      </c>
      <c r="D36" s="85">
        <v>894484456379</v>
      </c>
      <c r="E36" s="341">
        <f t="shared" si="0"/>
        <v>2.3204487795998306E-3</v>
      </c>
      <c r="F36" s="347">
        <f t="shared" si="1"/>
        <v>4.5402333443524011E-3</v>
      </c>
      <c r="G36" s="338">
        <f t="shared" si="2"/>
        <v>5.2513090573354923E-3</v>
      </c>
      <c r="H36" s="363">
        <f t="shared" si="4"/>
        <v>1.651790003103065</v>
      </c>
      <c r="I36" s="338">
        <f t="shared" si="3"/>
        <v>0.10534580670787555</v>
      </c>
    </row>
    <row r="37" spans="1:9" ht="23" x14ac:dyDescent="0.25">
      <c r="A37" s="86" t="s">
        <v>276</v>
      </c>
      <c r="B37" s="87">
        <v>0</v>
      </c>
      <c r="C37" s="87">
        <v>0</v>
      </c>
      <c r="D37" s="88">
        <v>0</v>
      </c>
      <c r="E37" s="342">
        <f t="shared" si="0"/>
        <v>0</v>
      </c>
      <c r="F37" s="348">
        <f t="shared" si="1"/>
        <v>0</v>
      </c>
      <c r="G37" s="360">
        <f t="shared" si="2"/>
        <v>0</v>
      </c>
      <c r="H37" s="342"/>
      <c r="I37" s="360"/>
    </row>
    <row r="38" spans="1:9" ht="23" x14ac:dyDescent="0.25">
      <c r="A38" s="86" t="s">
        <v>277</v>
      </c>
      <c r="B38" s="87">
        <v>0</v>
      </c>
      <c r="C38" s="87">
        <v>0</v>
      </c>
      <c r="D38" s="88">
        <v>0</v>
      </c>
      <c r="E38" s="342">
        <f t="shared" si="0"/>
        <v>0</v>
      </c>
      <c r="F38" s="348">
        <f t="shared" si="1"/>
        <v>0</v>
      </c>
      <c r="G38" s="360">
        <f t="shared" si="2"/>
        <v>0</v>
      </c>
      <c r="H38" s="342"/>
      <c r="I38" s="360"/>
    </row>
    <row r="39" spans="1:9" ht="23" x14ac:dyDescent="0.25">
      <c r="A39" s="86" t="s">
        <v>278</v>
      </c>
      <c r="B39" s="87">
        <v>0</v>
      </c>
      <c r="C39" s="87">
        <v>0</v>
      </c>
      <c r="D39" s="88">
        <v>0</v>
      </c>
      <c r="E39" s="342">
        <f t="shared" si="0"/>
        <v>0</v>
      </c>
      <c r="F39" s="348">
        <f t="shared" si="1"/>
        <v>0</v>
      </c>
      <c r="G39" s="360">
        <f t="shared" si="2"/>
        <v>0</v>
      </c>
      <c r="H39" s="342"/>
      <c r="I39" s="360"/>
    </row>
    <row r="40" spans="1:9" ht="23" x14ac:dyDescent="0.25">
      <c r="A40" s="86" t="s">
        <v>279</v>
      </c>
      <c r="B40" s="87">
        <v>0</v>
      </c>
      <c r="C40" s="87">
        <v>0</v>
      </c>
      <c r="D40" s="88">
        <v>0</v>
      </c>
      <c r="E40" s="342">
        <f t="shared" si="0"/>
        <v>0</v>
      </c>
      <c r="F40" s="348">
        <f t="shared" si="1"/>
        <v>0</v>
      </c>
      <c r="G40" s="360">
        <f t="shared" si="2"/>
        <v>0</v>
      </c>
      <c r="H40" s="342"/>
      <c r="I40" s="360"/>
    </row>
    <row r="41" spans="1:9" ht="23" x14ac:dyDescent="0.25">
      <c r="A41" s="86" t="s">
        <v>280</v>
      </c>
      <c r="B41" s="87">
        <v>96007238800</v>
      </c>
      <c r="C41" s="87">
        <v>118401369280</v>
      </c>
      <c r="D41" s="88">
        <v>101693561714</v>
      </c>
      <c r="E41" s="342">
        <f t="shared" si="0"/>
        <v>7.300295920743856E-4</v>
      </c>
      <c r="F41" s="348">
        <f t="shared" si="1"/>
        <v>6.6429390644981293E-4</v>
      </c>
      <c r="G41" s="360">
        <f t="shared" si="2"/>
        <v>5.97019118547057E-4</v>
      </c>
      <c r="H41" s="342">
        <f t="shared" si="4"/>
        <v>0.23325460413095433</v>
      </c>
      <c r="I41" s="360">
        <f t="shared" si="3"/>
        <v>-0.14111160764102948</v>
      </c>
    </row>
    <row r="42" spans="1:9" ht="23" x14ac:dyDescent="0.25">
      <c r="A42" s="86" t="s">
        <v>281</v>
      </c>
      <c r="B42" s="87">
        <v>209158308631</v>
      </c>
      <c r="C42" s="87">
        <v>690833578689</v>
      </c>
      <c r="D42" s="88">
        <v>792790894665</v>
      </c>
      <c r="E42" s="342">
        <f t="shared" si="0"/>
        <v>1.5904191875254449E-3</v>
      </c>
      <c r="F42" s="348">
        <f t="shared" si="1"/>
        <v>3.8759394379025884E-3</v>
      </c>
      <c r="G42" s="360">
        <f t="shared" si="2"/>
        <v>4.6542899387884348E-3</v>
      </c>
      <c r="H42" s="342">
        <f t="shared" si="4"/>
        <v>2.3029219982256515</v>
      </c>
      <c r="I42" s="360">
        <f t="shared" si="3"/>
        <v>0.14758592969595535</v>
      </c>
    </row>
    <row r="43" spans="1:9" ht="23" x14ac:dyDescent="0.25">
      <c r="A43" s="86" t="s">
        <v>282</v>
      </c>
      <c r="B43" s="87">
        <v>0</v>
      </c>
      <c r="C43" s="87">
        <v>0</v>
      </c>
      <c r="D43" s="88">
        <v>0</v>
      </c>
      <c r="E43" s="342">
        <f t="shared" si="0"/>
        <v>0</v>
      </c>
      <c r="F43" s="348">
        <f t="shared" si="1"/>
        <v>0</v>
      </c>
      <c r="G43" s="360">
        <f t="shared" si="2"/>
        <v>0</v>
      </c>
      <c r="H43" s="342"/>
      <c r="I43" s="360"/>
    </row>
    <row r="44" spans="1:9" ht="23" x14ac:dyDescent="0.25">
      <c r="A44" s="83" t="s">
        <v>283</v>
      </c>
      <c r="B44" s="84">
        <v>65561657180137</v>
      </c>
      <c r="C44" s="84">
        <v>69280841784004</v>
      </c>
      <c r="D44" s="85">
        <v>70832915657865</v>
      </c>
      <c r="E44" s="341">
        <f t="shared" si="0"/>
        <v>0.49852438675630495</v>
      </c>
      <c r="F44" s="347">
        <f t="shared" si="1"/>
        <v>0.38870193233991157</v>
      </c>
      <c r="G44" s="338">
        <f t="shared" si="2"/>
        <v>0.41584348268878446</v>
      </c>
      <c r="H44" s="363">
        <f t="shared" si="4"/>
        <v>5.6728044467335231E-2</v>
      </c>
      <c r="I44" s="338">
        <f t="shared" si="3"/>
        <v>2.2402641681229581E-2</v>
      </c>
    </row>
    <row r="45" spans="1:9" ht="23" x14ac:dyDescent="0.25">
      <c r="A45" s="86" t="s">
        <v>284</v>
      </c>
      <c r="B45" s="87">
        <v>65307819877543</v>
      </c>
      <c r="C45" s="87">
        <v>68744125939109</v>
      </c>
      <c r="D45" s="88">
        <v>70199153681536</v>
      </c>
      <c r="E45" s="342">
        <f t="shared" si="0"/>
        <v>0.49659423289726112</v>
      </c>
      <c r="F45" s="348">
        <f t="shared" si="1"/>
        <v>0.38569067438380078</v>
      </c>
      <c r="G45" s="360">
        <f t="shared" si="2"/>
        <v>0.41212281433870063</v>
      </c>
      <c r="H45" s="342">
        <f t="shared" si="4"/>
        <v>5.2617068951456784E-2</v>
      </c>
      <c r="I45" s="360">
        <f t="shared" si="3"/>
        <v>2.1165848318673942E-2</v>
      </c>
    </row>
    <row r="46" spans="1:9" ht="23" x14ac:dyDescent="0.25">
      <c r="A46" s="89" t="s">
        <v>285</v>
      </c>
      <c r="B46" s="87">
        <v>82616601097978</v>
      </c>
      <c r="C46" s="87">
        <v>91026106008677</v>
      </c>
      <c r="D46" s="88">
        <v>98976369133844</v>
      </c>
      <c r="E46" s="342">
        <f t="shared" si="0"/>
        <v>0.62820850127531336</v>
      </c>
      <c r="F46" s="348">
        <f t="shared" si="1"/>
        <v>0.51070429267098782</v>
      </c>
      <c r="G46" s="360">
        <f t="shared" si="2"/>
        <v>0.58106711635748265</v>
      </c>
      <c r="H46" s="342">
        <f t="shared" si="4"/>
        <v>0.10178952896798388</v>
      </c>
      <c r="I46" s="360">
        <f t="shared" si="3"/>
        <v>8.7340472681640871E-2</v>
      </c>
    </row>
    <row r="47" spans="1:9" ht="23" x14ac:dyDescent="0.25">
      <c r="A47" s="89" t="s">
        <v>286</v>
      </c>
      <c r="B47" s="87">
        <v>-17308781220435</v>
      </c>
      <c r="C47" s="87">
        <v>-22281980069568</v>
      </c>
      <c r="D47" s="88">
        <v>-28777215452308</v>
      </c>
      <c r="E47" s="342">
        <f t="shared" si="0"/>
        <v>-0.13161426837805223</v>
      </c>
      <c r="F47" s="348">
        <f t="shared" si="1"/>
        <v>-0.1250136182871871</v>
      </c>
      <c r="G47" s="360">
        <f t="shared" si="2"/>
        <v>-0.16894430201878208</v>
      </c>
      <c r="H47" s="342">
        <f t="shared" si="4"/>
        <v>0.28732230107926771</v>
      </c>
      <c r="I47" s="360">
        <f t="shared" si="3"/>
        <v>0.29150171405148056</v>
      </c>
    </row>
    <row r="48" spans="1:9" ht="23" x14ac:dyDescent="0.25">
      <c r="A48" s="86" t="s">
        <v>287</v>
      </c>
      <c r="B48" s="87">
        <v>0</v>
      </c>
      <c r="C48" s="87">
        <v>0</v>
      </c>
      <c r="D48" s="88">
        <v>0</v>
      </c>
      <c r="E48" s="342">
        <f t="shared" si="0"/>
        <v>0</v>
      </c>
      <c r="F48" s="348">
        <f t="shared" si="1"/>
        <v>0</v>
      </c>
      <c r="G48" s="360">
        <f t="shared" si="2"/>
        <v>0</v>
      </c>
      <c r="H48" s="342"/>
      <c r="I48" s="360"/>
    </row>
    <row r="49" spans="1:9" ht="23" x14ac:dyDescent="0.25">
      <c r="A49" s="89" t="s">
        <v>285</v>
      </c>
      <c r="B49" s="87">
        <v>0</v>
      </c>
      <c r="C49" s="87">
        <v>0</v>
      </c>
      <c r="D49" s="88">
        <v>0</v>
      </c>
      <c r="E49" s="342">
        <f t="shared" si="0"/>
        <v>0</v>
      </c>
      <c r="F49" s="348">
        <f t="shared" si="1"/>
        <v>0</v>
      </c>
      <c r="G49" s="360">
        <f t="shared" si="2"/>
        <v>0</v>
      </c>
      <c r="H49" s="342"/>
      <c r="I49" s="360"/>
    </row>
    <row r="50" spans="1:9" ht="23" x14ac:dyDescent="0.25">
      <c r="A50" s="89" t="s">
        <v>286</v>
      </c>
      <c r="B50" s="87">
        <v>0</v>
      </c>
      <c r="C50" s="87">
        <v>0</v>
      </c>
      <c r="D50" s="88">
        <v>0</v>
      </c>
      <c r="E50" s="342">
        <f t="shared" si="0"/>
        <v>0</v>
      </c>
      <c r="F50" s="348">
        <f t="shared" si="1"/>
        <v>0</v>
      </c>
      <c r="G50" s="360">
        <f t="shared" si="2"/>
        <v>0</v>
      </c>
      <c r="H50" s="342"/>
      <c r="I50" s="360"/>
    </row>
    <row r="51" spans="1:9" ht="23" x14ac:dyDescent="0.25">
      <c r="A51" s="86" t="s">
        <v>288</v>
      </c>
      <c r="B51" s="87">
        <v>253837302594</v>
      </c>
      <c r="C51" s="87">
        <v>536715844895</v>
      </c>
      <c r="D51" s="88">
        <v>633761976329</v>
      </c>
      <c r="E51" s="342">
        <f t="shared" si="0"/>
        <v>1.9301538590438057E-3</v>
      </c>
      <c r="F51" s="348">
        <f t="shared" si="1"/>
        <v>3.0112579561107876E-3</v>
      </c>
      <c r="G51" s="360">
        <f t="shared" si="2"/>
        <v>3.720668350083868E-3</v>
      </c>
      <c r="H51" s="342">
        <f t="shared" si="4"/>
        <v>1.1144088729679342</v>
      </c>
      <c r="I51" s="360">
        <f t="shared" si="3"/>
        <v>0.18081473158852901</v>
      </c>
    </row>
    <row r="52" spans="1:9" ht="23" x14ac:dyDescent="0.25">
      <c r="A52" s="89" t="s">
        <v>285</v>
      </c>
      <c r="B52" s="87">
        <v>342995279178</v>
      </c>
      <c r="C52" s="87">
        <v>618321659402</v>
      </c>
      <c r="D52" s="88">
        <v>744538077973</v>
      </c>
      <c r="E52" s="342">
        <f t="shared" si="0"/>
        <v>2.6081023355267598E-3</v>
      </c>
      <c r="F52" s="348">
        <f t="shared" si="1"/>
        <v>3.4691094627067581E-3</v>
      </c>
      <c r="G52" s="360">
        <f t="shared" si="2"/>
        <v>4.3710089364975635E-3</v>
      </c>
      <c r="H52" s="342">
        <f t="shared" si="4"/>
        <v>0.80271186496743963</v>
      </c>
      <c r="I52" s="360">
        <f t="shared" si="3"/>
        <v>0.20412744184486148</v>
      </c>
    </row>
    <row r="53" spans="1:9" ht="23" x14ac:dyDescent="0.25">
      <c r="A53" s="89" t="s">
        <v>286</v>
      </c>
      <c r="B53" s="87">
        <v>-89157976584</v>
      </c>
      <c r="C53" s="87">
        <v>-81605814507</v>
      </c>
      <c r="D53" s="88">
        <v>-110776101644</v>
      </c>
      <c r="E53" s="342">
        <f t="shared" si="0"/>
        <v>-6.7794847648295394E-4</v>
      </c>
      <c r="F53" s="348">
        <f t="shared" si="1"/>
        <v>-4.5785150659597036E-4</v>
      </c>
      <c r="G53" s="360">
        <f t="shared" si="2"/>
        <v>-6.5034058641369528E-4</v>
      </c>
      <c r="H53" s="342">
        <f t="shared" si="4"/>
        <v>-8.470540008144696E-2</v>
      </c>
      <c r="I53" s="360">
        <f t="shared" si="3"/>
        <v>0.35745353824631976</v>
      </c>
    </row>
    <row r="54" spans="1:9" ht="23" x14ac:dyDescent="0.25">
      <c r="A54" s="83" t="s">
        <v>289</v>
      </c>
      <c r="B54" s="84">
        <v>564296973801</v>
      </c>
      <c r="C54" s="84">
        <v>548210755123</v>
      </c>
      <c r="D54" s="85">
        <v>629111776960</v>
      </c>
      <c r="E54" s="341">
        <f t="shared" si="0"/>
        <v>4.2908586346382281E-3</v>
      </c>
      <c r="F54" s="347">
        <f t="shared" si="1"/>
        <v>3.0757504435379402E-3</v>
      </c>
      <c r="G54" s="338">
        <f t="shared" si="2"/>
        <v>3.6933681170941302E-3</v>
      </c>
      <c r="H54" s="363">
        <f t="shared" si="4"/>
        <v>-2.8506654164111862E-2</v>
      </c>
      <c r="I54" s="338">
        <f t="shared" si="3"/>
        <v>0.1475728469041957</v>
      </c>
    </row>
    <row r="55" spans="1:9" ht="23" x14ac:dyDescent="0.25">
      <c r="A55" s="86" t="s">
        <v>290</v>
      </c>
      <c r="B55" s="87">
        <v>681931844756</v>
      </c>
      <c r="C55" s="87">
        <v>698820145314</v>
      </c>
      <c r="D55" s="88">
        <v>859667015615</v>
      </c>
      <c r="E55" s="342">
        <f t="shared" si="0"/>
        <v>5.1853426124130542E-3</v>
      </c>
      <c r="F55" s="348">
        <f t="shared" si="1"/>
        <v>3.9207482739380614E-3</v>
      </c>
      <c r="G55" s="360">
        <f t="shared" si="2"/>
        <v>5.0469040050918953E-3</v>
      </c>
      <c r="H55" s="342">
        <f t="shared" si="4"/>
        <v>2.4765378956665019E-2</v>
      </c>
      <c r="I55" s="360">
        <f t="shared" si="3"/>
        <v>0.23016919500614408</v>
      </c>
    </row>
    <row r="56" spans="1:9" ht="23" x14ac:dyDescent="0.25">
      <c r="A56" s="86" t="s">
        <v>291</v>
      </c>
      <c r="B56" s="87">
        <v>-117634870955</v>
      </c>
      <c r="C56" s="87">
        <v>-150609390191</v>
      </c>
      <c r="D56" s="88">
        <v>-230555238655</v>
      </c>
      <c r="E56" s="342">
        <f t="shared" si="0"/>
        <v>-8.9448397777482634E-4</v>
      </c>
      <c r="F56" s="348">
        <f t="shared" si="1"/>
        <v>-8.4499783040012085E-4</v>
      </c>
      <c r="G56" s="360">
        <f t="shared" si="2"/>
        <v>-1.3535358879977646E-3</v>
      </c>
      <c r="H56" s="342">
        <f t="shared" si="4"/>
        <v>0.28031245300225693</v>
      </c>
      <c r="I56" s="360">
        <f t="shared" si="3"/>
        <v>0.53081583002636279</v>
      </c>
    </row>
    <row r="57" spans="1:9" ht="23" x14ac:dyDescent="0.25">
      <c r="A57" s="83" t="s">
        <v>292</v>
      </c>
      <c r="B57" s="84">
        <v>6247213506994</v>
      </c>
      <c r="C57" s="84">
        <v>9698699397713</v>
      </c>
      <c r="D57" s="85">
        <v>13363274912355</v>
      </c>
      <c r="E57" s="342">
        <f t="shared" si="0"/>
        <v>4.7503196478893228E-2</v>
      </c>
      <c r="F57" s="348">
        <f t="shared" si="1"/>
        <v>5.4414800686578821E-2</v>
      </c>
      <c r="G57" s="360">
        <f t="shared" si="2"/>
        <v>7.8452661846122013E-2</v>
      </c>
      <c r="H57" s="342">
        <f t="shared" si="4"/>
        <v>0.55248406139071871</v>
      </c>
      <c r="I57" s="360">
        <f t="shared" si="3"/>
        <v>0.3778419522421867</v>
      </c>
    </row>
    <row r="58" spans="1:9" ht="23" x14ac:dyDescent="0.25">
      <c r="A58" s="86" t="s">
        <v>293</v>
      </c>
      <c r="B58" s="87">
        <v>918470731946</v>
      </c>
      <c r="C58" s="87">
        <v>1409414047105</v>
      </c>
      <c r="D58" s="88">
        <v>28953988212</v>
      </c>
      <c r="E58" s="342">
        <f t="shared" si="0"/>
        <v>6.9839610237264812E-3</v>
      </c>
      <c r="F58" s="348">
        <f t="shared" si="1"/>
        <v>7.9075535093053369E-3</v>
      </c>
      <c r="G58" s="360">
        <f t="shared" si="2"/>
        <v>1.6998209355047469E-4</v>
      </c>
      <c r="H58" s="342">
        <f t="shared" si="4"/>
        <v>0.53452254718973913</v>
      </c>
      <c r="I58" s="360">
        <f t="shared" si="3"/>
        <v>-0.97945671942785528</v>
      </c>
    </row>
    <row r="59" spans="1:9" ht="23" x14ac:dyDescent="0.25">
      <c r="A59" s="86" t="s">
        <v>294</v>
      </c>
      <c r="B59" s="87">
        <v>0</v>
      </c>
      <c r="C59" s="87"/>
      <c r="D59" s="88">
        <v>0</v>
      </c>
      <c r="E59" s="342">
        <f t="shared" si="0"/>
        <v>0</v>
      </c>
      <c r="F59" s="348">
        <f t="shared" si="1"/>
        <v>0</v>
      </c>
      <c r="G59" s="360">
        <f t="shared" si="2"/>
        <v>0</v>
      </c>
      <c r="H59" s="342"/>
      <c r="I59" s="360"/>
    </row>
    <row r="60" spans="1:9" ht="23" x14ac:dyDescent="0.25">
      <c r="A60" s="83" t="s">
        <v>295</v>
      </c>
      <c r="B60" s="84">
        <v>171085206311</v>
      </c>
      <c r="C60" s="84">
        <v>6715955617</v>
      </c>
      <c r="D60" s="85">
        <v>700000000</v>
      </c>
      <c r="E60" s="342">
        <f t="shared" si="0"/>
        <v>1.3009150657208718E-3</v>
      </c>
      <c r="F60" s="348">
        <f t="shared" si="1"/>
        <v>3.7680040522251751E-5</v>
      </c>
      <c r="G60" s="360">
        <f t="shared" si="2"/>
        <v>4.1095362964891257E-6</v>
      </c>
      <c r="H60" s="342">
        <f t="shared" si="4"/>
        <v>-0.96074496584589741</v>
      </c>
      <c r="I60" s="360">
        <f t="shared" si="3"/>
        <v>-0.8957706036311347</v>
      </c>
    </row>
    <row r="61" spans="1:9" ht="23" x14ac:dyDescent="0.25">
      <c r="A61" s="86" t="s">
        <v>296</v>
      </c>
      <c r="B61" s="87">
        <v>0</v>
      </c>
      <c r="C61" s="87">
        <v>0</v>
      </c>
      <c r="D61" s="88">
        <v>0</v>
      </c>
      <c r="E61" s="342">
        <f t="shared" si="0"/>
        <v>0</v>
      </c>
      <c r="F61" s="348">
        <f t="shared" si="1"/>
        <v>0</v>
      </c>
      <c r="G61" s="360">
        <f t="shared" si="2"/>
        <v>0</v>
      </c>
      <c r="H61" s="342"/>
      <c r="I61" s="360"/>
    </row>
    <row r="62" spans="1:9" ht="23" x14ac:dyDescent="0.25">
      <c r="A62" s="86" t="s">
        <v>297</v>
      </c>
      <c r="B62" s="87">
        <v>385206311</v>
      </c>
      <c r="C62" s="87">
        <v>6015955617</v>
      </c>
      <c r="D62" s="88">
        <v>0</v>
      </c>
      <c r="E62" s="342">
        <f t="shared" si="0"/>
        <v>2.9290708658919258E-6</v>
      </c>
      <c r="F62" s="348">
        <f t="shared" si="1"/>
        <v>3.3752672643463069E-5</v>
      </c>
      <c r="G62" s="360">
        <f t="shared" si="2"/>
        <v>0</v>
      </c>
      <c r="H62" s="342">
        <f t="shared" si="4"/>
        <v>14.617489758624437</v>
      </c>
      <c r="I62" s="360">
        <f t="shared" si="3"/>
        <v>-1</v>
      </c>
    </row>
    <row r="63" spans="1:9" ht="23" x14ac:dyDescent="0.25">
      <c r="A63" s="86" t="s">
        <v>298</v>
      </c>
      <c r="B63" s="87">
        <v>700000000</v>
      </c>
      <c r="C63" s="87">
        <v>700000000</v>
      </c>
      <c r="D63" s="88">
        <v>700000000</v>
      </c>
      <c r="E63" s="342">
        <f t="shared" si="0"/>
        <v>5.3227310861071228E-6</v>
      </c>
      <c r="F63" s="348">
        <f t="shared" si="1"/>
        <v>3.9273678787886821E-6</v>
      </c>
      <c r="G63" s="360">
        <f t="shared" si="2"/>
        <v>4.1095362964891257E-6</v>
      </c>
      <c r="H63" s="342">
        <f t="shared" si="4"/>
        <v>0</v>
      </c>
      <c r="I63" s="360">
        <f t="shared" si="3"/>
        <v>0</v>
      </c>
    </row>
    <row r="64" spans="1:9" ht="23" x14ac:dyDescent="0.25">
      <c r="A64" s="86" t="s">
        <v>299</v>
      </c>
      <c r="B64" s="87">
        <v>0</v>
      </c>
      <c r="C64" s="87">
        <v>0</v>
      </c>
      <c r="D64" s="88">
        <v>0</v>
      </c>
      <c r="E64" s="342">
        <f t="shared" si="0"/>
        <v>0</v>
      </c>
      <c r="F64" s="348">
        <f t="shared" si="1"/>
        <v>0</v>
      </c>
      <c r="G64" s="360">
        <f t="shared" si="2"/>
        <v>0</v>
      </c>
      <c r="H64" s="342"/>
      <c r="I64" s="360"/>
    </row>
    <row r="65" spans="1:9" ht="23" x14ac:dyDescent="0.25">
      <c r="A65" s="86" t="s">
        <v>300</v>
      </c>
      <c r="B65" s="87">
        <v>170000000000</v>
      </c>
      <c r="C65" s="87">
        <v>0</v>
      </c>
      <c r="D65" s="88">
        <v>0</v>
      </c>
      <c r="E65" s="342">
        <f t="shared" si="0"/>
        <v>1.2926632637688727E-3</v>
      </c>
      <c r="F65" s="348">
        <f t="shared" si="1"/>
        <v>0</v>
      </c>
      <c r="G65" s="360">
        <f t="shared" si="2"/>
        <v>0</v>
      </c>
      <c r="H65" s="342"/>
      <c r="I65" s="360"/>
    </row>
    <row r="66" spans="1:9" ht="23" x14ac:dyDescent="0.25">
      <c r="A66" s="83" t="s">
        <v>301</v>
      </c>
      <c r="B66" s="84">
        <v>1914757777153</v>
      </c>
      <c r="C66" s="84">
        <v>3737859869519</v>
      </c>
      <c r="D66" s="85">
        <v>4100323979117</v>
      </c>
      <c r="E66" s="341">
        <f t="shared" si="0"/>
        <v>1.4559629632596641E-2</v>
      </c>
      <c r="F66" s="347">
        <f t="shared" si="1"/>
        <v>2.0971358267088822E-2</v>
      </c>
      <c r="G66" s="338">
        <f t="shared" si="2"/>
        <v>2.4072043170780044E-2</v>
      </c>
      <c r="H66" s="363">
        <f t="shared" si="4"/>
        <v>0.95213196892022534</v>
      </c>
      <c r="I66" s="338">
        <f t="shared" si="3"/>
        <v>9.6971026804341665E-2</v>
      </c>
    </row>
    <row r="67" spans="1:9" ht="23" x14ac:dyDescent="0.25">
      <c r="A67" s="86" t="s">
        <v>302</v>
      </c>
      <c r="B67" s="87">
        <v>1646094518464</v>
      </c>
      <c r="C67" s="87">
        <v>3171382188206</v>
      </c>
      <c r="D67" s="88">
        <v>3929243956403</v>
      </c>
      <c r="E67" s="342">
        <f t="shared" si="0"/>
        <v>1.2516740662998384E-2</v>
      </c>
      <c r="F67" s="348">
        <f t="shared" si="1"/>
        <v>1.7793120767604011E-2</v>
      </c>
      <c r="G67" s="360">
        <f t="shared" si="2"/>
        <v>2.3067672366569519E-2</v>
      </c>
      <c r="H67" s="342">
        <f t="shared" si="4"/>
        <v>0.92661001700271317</v>
      </c>
      <c r="I67" s="360">
        <f t="shared" si="3"/>
        <v>0.23896891740623361</v>
      </c>
    </row>
    <row r="68" spans="1:9" ht="23" x14ac:dyDescent="0.25">
      <c r="A68" s="86" t="s">
        <v>303</v>
      </c>
      <c r="B68" s="87">
        <v>225553308024</v>
      </c>
      <c r="C68" s="87">
        <v>529355730648</v>
      </c>
      <c r="D68" s="88">
        <v>83071062718</v>
      </c>
      <c r="E68" s="342">
        <f t="shared" si="0"/>
        <v>1.715085148848057E-3</v>
      </c>
      <c r="F68" s="348">
        <f t="shared" si="1"/>
        <v>2.969963847142384E-3</v>
      </c>
      <c r="G68" s="360">
        <f t="shared" si="2"/>
        <v>4.8769078203935085E-4</v>
      </c>
      <c r="H68" s="342">
        <f t="shared" si="4"/>
        <v>1.3469207137129371</v>
      </c>
      <c r="I68" s="360">
        <f t="shared" si="3"/>
        <v>-0.84307138298793849</v>
      </c>
    </row>
    <row r="69" spans="1:9" ht="23" x14ac:dyDescent="0.25">
      <c r="A69" s="86" t="s">
        <v>304</v>
      </c>
      <c r="B69" s="87">
        <v>0</v>
      </c>
      <c r="C69" s="87">
        <v>0</v>
      </c>
      <c r="D69" s="88">
        <v>0</v>
      </c>
      <c r="E69" s="342">
        <f t="shared" si="0"/>
        <v>0</v>
      </c>
      <c r="F69" s="348">
        <f t="shared" si="1"/>
        <v>0</v>
      </c>
      <c r="G69" s="360">
        <f t="shared" si="2"/>
        <v>0</v>
      </c>
      <c r="H69" s="342"/>
      <c r="I69" s="360"/>
    </row>
    <row r="70" spans="1:9" ht="23" x14ac:dyDescent="0.25">
      <c r="A70" s="86" t="s">
        <v>305</v>
      </c>
      <c r="B70" s="87">
        <v>0</v>
      </c>
      <c r="C70" s="87">
        <v>0</v>
      </c>
      <c r="D70" s="88">
        <v>0</v>
      </c>
      <c r="E70" s="342">
        <f t="shared" si="0"/>
        <v>0</v>
      </c>
      <c r="F70" s="348">
        <f t="shared" si="1"/>
        <v>0</v>
      </c>
      <c r="G70" s="360">
        <f t="shared" si="2"/>
        <v>0</v>
      </c>
      <c r="H70" s="342"/>
      <c r="I70" s="360"/>
    </row>
    <row r="71" spans="1:9" ht="24" thickBot="1" x14ac:dyDescent="0.3">
      <c r="A71" s="90" t="s">
        <v>306</v>
      </c>
      <c r="B71" s="91">
        <v>0</v>
      </c>
      <c r="C71" s="91"/>
      <c r="D71" s="92">
        <v>0</v>
      </c>
      <c r="E71" s="342">
        <f t="shared" ref="E71:E133" si="5">B71/$B$72</f>
        <v>0</v>
      </c>
      <c r="F71" s="348">
        <f t="shared" ref="F71:F133" si="6">C71/$C$72</f>
        <v>0</v>
      </c>
      <c r="G71" s="360">
        <f t="shared" ref="G71:G133" si="7">D71/$D$72</f>
        <v>0</v>
      </c>
      <c r="H71" s="342"/>
      <c r="I71" s="360"/>
    </row>
    <row r="72" spans="1:9" ht="24" thickBot="1" x14ac:dyDescent="0.3">
      <c r="A72" s="93" t="s">
        <v>7</v>
      </c>
      <c r="B72" s="94">
        <v>131511434388837</v>
      </c>
      <c r="C72" s="94">
        <v>178236422358249</v>
      </c>
      <c r="D72" s="95">
        <v>170335519508132</v>
      </c>
      <c r="E72" s="345">
        <f t="shared" si="5"/>
        <v>1</v>
      </c>
      <c r="F72" s="351">
        <f t="shared" si="6"/>
        <v>1</v>
      </c>
      <c r="G72" s="339">
        <f t="shared" si="7"/>
        <v>1</v>
      </c>
      <c r="H72" s="365">
        <f t="shared" ref="H72:H133" si="8">(C72-B72)/B72</f>
        <v>0.35529220851824367</v>
      </c>
      <c r="I72" s="339">
        <f t="shared" ref="I72:I133" si="9">(D72-C72)/C72</f>
        <v>-4.4328217238542078E-2</v>
      </c>
    </row>
    <row r="73" spans="1:9" ht="23" customHeight="1" x14ac:dyDescent="0.25">
      <c r="A73" s="334"/>
      <c r="B73" s="357"/>
      <c r="C73" s="357"/>
      <c r="D73" s="357"/>
      <c r="E73" s="344"/>
      <c r="F73" s="350"/>
      <c r="G73" s="361"/>
      <c r="H73" s="342"/>
      <c r="I73" s="360"/>
    </row>
    <row r="74" spans="1:9" ht="15" customHeight="1" thickBot="1" x14ac:dyDescent="0.3">
      <c r="A74" s="334"/>
      <c r="B74" s="357"/>
      <c r="C74" s="357"/>
      <c r="D74" s="357"/>
      <c r="E74" s="344"/>
      <c r="F74" s="350"/>
      <c r="G74" s="361"/>
      <c r="H74" s="342"/>
      <c r="I74" s="360"/>
    </row>
    <row r="75" spans="1:9" ht="25" thickTop="1" thickBot="1" x14ac:dyDescent="0.3">
      <c r="A75" s="96" t="s">
        <v>307</v>
      </c>
      <c r="B75" s="97">
        <v>72291648082726</v>
      </c>
      <c r="C75" s="97">
        <v>87455796846810</v>
      </c>
      <c r="D75" s="98">
        <v>74222579892349</v>
      </c>
      <c r="E75" s="346">
        <f t="shared" si="5"/>
        <v>0.54969857502263153</v>
      </c>
      <c r="F75" s="352">
        <f t="shared" si="6"/>
        <v>0.49067298192861442</v>
      </c>
      <c r="G75" s="340">
        <f t="shared" si="7"/>
        <v>0.43574340869524592</v>
      </c>
      <c r="H75" s="366">
        <f t="shared" si="8"/>
        <v>0.2097634950406872</v>
      </c>
      <c r="I75" s="340">
        <f t="shared" si="9"/>
        <v>-0.15131320543154697</v>
      </c>
    </row>
    <row r="76" spans="1:9" ht="24" thickTop="1" x14ac:dyDescent="0.25">
      <c r="A76" s="334"/>
      <c r="B76" s="357"/>
      <c r="C76" s="357"/>
      <c r="D76" s="357"/>
      <c r="E76" s="344"/>
      <c r="F76" s="350"/>
      <c r="G76" s="361"/>
      <c r="H76" s="342"/>
      <c r="I76" s="360"/>
    </row>
    <row r="77" spans="1:9" ht="23" x14ac:dyDescent="0.25">
      <c r="A77" s="83" t="s">
        <v>308</v>
      </c>
      <c r="B77" s="84">
        <v>51975217447498</v>
      </c>
      <c r="C77" s="84">
        <v>73459315876441</v>
      </c>
      <c r="D77" s="85">
        <v>62385390680685</v>
      </c>
      <c r="E77" s="341">
        <f t="shared" si="5"/>
        <v>0.39521443659282129</v>
      </c>
      <c r="F77" s="347">
        <f t="shared" si="6"/>
        <v>0.41214536795846551</v>
      </c>
      <c r="G77" s="338">
        <f t="shared" si="7"/>
        <v>0.36625003910418491</v>
      </c>
      <c r="H77" s="363">
        <f t="shared" si="8"/>
        <v>0.41335273778594278</v>
      </c>
      <c r="I77" s="338">
        <f t="shared" si="9"/>
        <v>-0.15074909238717124</v>
      </c>
    </row>
    <row r="78" spans="1:9" ht="23" x14ac:dyDescent="0.25">
      <c r="A78" s="86" t="s">
        <v>309</v>
      </c>
      <c r="B78" s="87">
        <v>10915752723952</v>
      </c>
      <c r="C78" s="87">
        <v>23729142569420</v>
      </c>
      <c r="D78" s="88">
        <v>11107160795326</v>
      </c>
      <c r="E78" s="342">
        <f t="shared" si="5"/>
        <v>8.3002309074339739E-2</v>
      </c>
      <c r="F78" s="348">
        <f t="shared" si="6"/>
        <v>0.1331329604547675</v>
      </c>
      <c r="G78" s="360">
        <f t="shared" si="7"/>
        <v>6.5207543484761751E-2</v>
      </c>
      <c r="H78" s="342">
        <f t="shared" si="8"/>
        <v>1.1738439088448835</v>
      </c>
      <c r="I78" s="360">
        <f t="shared" si="9"/>
        <v>-0.5319189994821002</v>
      </c>
    </row>
    <row r="79" spans="1:9" ht="23" x14ac:dyDescent="0.25">
      <c r="A79" s="86" t="s">
        <v>310</v>
      </c>
      <c r="B79" s="87">
        <v>1257272765123</v>
      </c>
      <c r="C79" s="87">
        <v>788002603134</v>
      </c>
      <c r="D79" s="88">
        <v>860793139245</v>
      </c>
      <c r="E79" s="342">
        <f t="shared" si="5"/>
        <v>9.5601783294800742E-3</v>
      </c>
      <c r="F79" s="348">
        <f t="shared" si="6"/>
        <v>4.4211087313576246E-3</v>
      </c>
      <c r="G79" s="360">
        <f t="shared" si="7"/>
        <v>5.0535152135659225E-3</v>
      </c>
      <c r="H79" s="342">
        <f t="shared" si="8"/>
        <v>-0.37324451384508511</v>
      </c>
      <c r="I79" s="360">
        <f t="shared" si="9"/>
        <v>9.2373471637658994E-2</v>
      </c>
    </row>
    <row r="80" spans="1:9" ht="23" x14ac:dyDescent="0.25">
      <c r="A80" s="86" t="s">
        <v>311</v>
      </c>
      <c r="B80" s="87">
        <v>548579261453</v>
      </c>
      <c r="C80" s="87">
        <v>796022241121</v>
      </c>
      <c r="D80" s="88">
        <v>648407591981</v>
      </c>
      <c r="E80" s="342">
        <f t="shared" si="5"/>
        <v>4.1713426973279573E-3</v>
      </c>
      <c r="F80" s="348">
        <f t="shared" si="6"/>
        <v>4.4661031151142783E-3</v>
      </c>
      <c r="G80" s="360">
        <f t="shared" si="7"/>
        <v>3.8066493345214726E-3</v>
      </c>
      <c r="H80" s="342">
        <f t="shared" si="8"/>
        <v>0.45106149111909127</v>
      </c>
      <c r="I80" s="360">
        <f t="shared" si="9"/>
        <v>-0.18544035771176615</v>
      </c>
    </row>
    <row r="81" spans="1:9" ht="23" x14ac:dyDescent="0.25">
      <c r="A81" s="86" t="s">
        <v>312</v>
      </c>
      <c r="B81" s="87">
        <v>313099678402</v>
      </c>
      <c r="C81" s="87">
        <v>816457005628</v>
      </c>
      <c r="D81" s="88">
        <v>306208839467</v>
      </c>
      <c r="E81" s="342">
        <f t="shared" si="5"/>
        <v>2.380779130400669E-3</v>
      </c>
      <c r="F81" s="348">
        <f t="shared" si="6"/>
        <v>4.5807528833077104E-3</v>
      </c>
      <c r="G81" s="360">
        <f t="shared" si="7"/>
        <v>1.7976804858506406E-3</v>
      </c>
      <c r="H81" s="342">
        <f t="shared" si="8"/>
        <v>1.6076583974631917</v>
      </c>
      <c r="I81" s="360">
        <f t="shared" si="9"/>
        <v>-0.62495411594702266</v>
      </c>
    </row>
    <row r="82" spans="1:9" ht="23" x14ac:dyDescent="0.25">
      <c r="A82" s="86" t="s">
        <v>313</v>
      </c>
      <c r="B82" s="87">
        <v>640129684182</v>
      </c>
      <c r="C82" s="87">
        <v>772615123352</v>
      </c>
      <c r="D82" s="88">
        <v>460508546638</v>
      </c>
      <c r="E82" s="342">
        <f t="shared" si="5"/>
        <v>4.8674830987649517E-3</v>
      </c>
      <c r="F82" s="348">
        <f t="shared" si="6"/>
        <v>4.334776883027143E-3</v>
      </c>
      <c r="G82" s="360">
        <f t="shared" si="7"/>
        <v>2.7035379817890231E-3</v>
      </c>
      <c r="H82" s="342">
        <f t="shared" si="8"/>
        <v>0.20696656075135564</v>
      </c>
      <c r="I82" s="360">
        <f t="shared" si="9"/>
        <v>-0.40396125739801969</v>
      </c>
    </row>
    <row r="83" spans="1:9" ht="23" x14ac:dyDescent="0.25">
      <c r="A83" s="86" t="s">
        <v>314</v>
      </c>
      <c r="B83" s="87">
        <v>0</v>
      </c>
      <c r="C83" s="87">
        <v>0</v>
      </c>
      <c r="D83" s="88">
        <v>0</v>
      </c>
      <c r="E83" s="342">
        <f t="shared" si="5"/>
        <v>0</v>
      </c>
      <c r="F83" s="348">
        <f t="shared" si="6"/>
        <v>0</v>
      </c>
      <c r="G83" s="360">
        <f t="shared" si="7"/>
        <v>0</v>
      </c>
      <c r="H83" s="342"/>
      <c r="I83" s="360"/>
    </row>
    <row r="84" spans="1:9" ht="23" x14ac:dyDescent="0.25">
      <c r="A84" s="86" t="s">
        <v>315</v>
      </c>
      <c r="B84" s="87">
        <v>0</v>
      </c>
      <c r="C84" s="87">
        <v>0</v>
      </c>
      <c r="D84" s="88">
        <v>0</v>
      </c>
      <c r="E84" s="342">
        <f t="shared" si="5"/>
        <v>0</v>
      </c>
      <c r="F84" s="348">
        <f t="shared" si="6"/>
        <v>0</v>
      </c>
      <c r="G84" s="360">
        <f t="shared" si="7"/>
        <v>0</v>
      </c>
      <c r="H84" s="342"/>
      <c r="I84" s="360"/>
    </row>
    <row r="85" spans="1:9" ht="23" x14ac:dyDescent="0.25">
      <c r="A85" s="86" t="s">
        <v>316</v>
      </c>
      <c r="B85" s="87">
        <v>34564307818</v>
      </c>
      <c r="C85" s="87">
        <v>16951911160</v>
      </c>
      <c r="D85" s="88">
        <v>16974936888</v>
      </c>
      <c r="E85" s="342">
        <f t="shared" si="5"/>
        <v>2.6282359384663438E-4</v>
      </c>
      <c r="F85" s="348">
        <f t="shared" si="6"/>
        <v>9.5109130534090549E-5</v>
      </c>
      <c r="G85" s="360">
        <f t="shared" si="7"/>
        <v>9.9655884674068804E-5</v>
      </c>
      <c r="H85" s="342">
        <f t="shared" si="8"/>
        <v>-0.50955444416069051</v>
      </c>
      <c r="I85" s="360">
        <f t="shared" si="9"/>
        <v>1.3582968777191256E-3</v>
      </c>
    </row>
    <row r="86" spans="1:9" ht="23" x14ac:dyDescent="0.25">
      <c r="A86" s="86" t="s">
        <v>317</v>
      </c>
      <c r="B86" s="87">
        <v>328061400351</v>
      </c>
      <c r="C86" s="87">
        <v>1047158508079</v>
      </c>
      <c r="D86" s="88">
        <v>418512269668</v>
      </c>
      <c r="E86" s="342">
        <f t="shared" si="5"/>
        <v>2.4945465911430029E-3</v>
      </c>
      <c r="F86" s="348">
        <f t="shared" si="6"/>
        <v>5.8751095551853472E-3</v>
      </c>
      <c r="G86" s="360">
        <f t="shared" si="7"/>
        <v>2.4569876610381299E-3</v>
      </c>
      <c r="H86" s="342">
        <f t="shared" si="8"/>
        <v>2.191958904517942</v>
      </c>
      <c r="I86" s="360">
        <f t="shared" si="9"/>
        <v>-0.60033532035588777</v>
      </c>
    </row>
    <row r="87" spans="1:9" ht="23" x14ac:dyDescent="0.25">
      <c r="A87" s="86" t="s">
        <v>318</v>
      </c>
      <c r="B87" s="87">
        <v>36798465672104</v>
      </c>
      <c r="C87" s="87">
        <v>43747643082356</v>
      </c>
      <c r="D87" s="88">
        <v>46748670400471</v>
      </c>
      <c r="E87" s="342">
        <f t="shared" si="5"/>
        <v>0.27981191021993401</v>
      </c>
      <c r="F87" s="348">
        <f t="shared" si="6"/>
        <v>0.24544726887765264</v>
      </c>
      <c r="G87" s="360">
        <f t="shared" si="7"/>
        <v>0.27445051117620345</v>
      </c>
      <c r="H87" s="342">
        <f t="shared" si="8"/>
        <v>0.18884421628263698</v>
      </c>
      <c r="I87" s="360">
        <f t="shared" si="9"/>
        <v>6.8598605700094364E-2</v>
      </c>
    </row>
    <row r="88" spans="1:9" ht="23" x14ac:dyDescent="0.25">
      <c r="A88" s="86" t="s">
        <v>319</v>
      </c>
      <c r="B88" s="87">
        <v>5846534626</v>
      </c>
      <c r="C88" s="87">
        <v>4755735476</v>
      </c>
      <c r="D88" s="88">
        <v>5198833687</v>
      </c>
      <c r="E88" s="342">
        <f t="shared" si="5"/>
        <v>4.4456473714016977E-5</v>
      </c>
      <c r="F88" s="348">
        <f t="shared" si="6"/>
        <v>2.6682175354940292E-5</v>
      </c>
      <c r="G88" s="360">
        <f t="shared" si="7"/>
        <v>3.0521136765909837E-5</v>
      </c>
      <c r="H88" s="342">
        <f t="shared" si="8"/>
        <v>-0.18657191306951817</v>
      </c>
      <c r="I88" s="360">
        <f t="shared" si="9"/>
        <v>9.3171332433461027E-2</v>
      </c>
    </row>
    <row r="89" spans="1:9" ht="23" x14ac:dyDescent="0.25">
      <c r="A89" s="86" t="s">
        <v>320</v>
      </c>
      <c r="B89" s="87">
        <v>1133445419487</v>
      </c>
      <c r="C89" s="87">
        <v>1740567096715</v>
      </c>
      <c r="D89" s="88">
        <v>1812955327314</v>
      </c>
      <c r="E89" s="342">
        <f t="shared" si="5"/>
        <v>8.6186073838702623E-3</v>
      </c>
      <c r="F89" s="348">
        <f t="shared" si="6"/>
        <v>9.7654961521642346E-3</v>
      </c>
      <c r="G89" s="360">
        <f t="shared" si="7"/>
        <v>1.064343674501458E-2</v>
      </c>
      <c r="H89" s="342">
        <f t="shared" si="8"/>
        <v>0.53564262274118557</v>
      </c>
      <c r="I89" s="360">
        <f t="shared" si="9"/>
        <v>4.1588876829637571E-2</v>
      </c>
    </row>
    <row r="90" spans="1:9" ht="23" x14ac:dyDescent="0.25">
      <c r="A90" s="86" t="s">
        <v>321</v>
      </c>
      <c r="B90" s="87">
        <v>0</v>
      </c>
      <c r="C90" s="87">
        <v>0</v>
      </c>
      <c r="D90" s="88">
        <v>0</v>
      </c>
      <c r="E90" s="342">
        <f t="shared" si="5"/>
        <v>0</v>
      </c>
      <c r="F90" s="348">
        <f t="shared" si="6"/>
        <v>0</v>
      </c>
      <c r="G90" s="360">
        <f t="shared" si="7"/>
        <v>0</v>
      </c>
      <c r="H90" s="342"/>
      <c r="I90" s="360"/>
    </row>
    <row r="91" spans="1:9" ht="23" x14ac:dyDescent="0.25">
      <c r="A91" s="86" t="s">
        <v>322</v>
      </c>
      <c r="B91" s="87">
        <v>0</v>
      </c>
      <c r="C91" s="87">
        <v>0</v>
      </c>
      <c r="D91" s="88">
        <v>0</v>
      </c>
      <c r="E91" s="342">
        <f t="shared" si="5"/>
        <v>0</v>
      </c>
      <c r="F91" s="348">
        <f t="shared" si="6"/>
        <v>0</v>
      </c>
      <c r="G91" s="360">
        <f t="shared" si="7"/>
        <v>0</v>
      </c>
      <c r="H91" s="342"/>
      <c r="I91" s="360"/>
    </row>
    <row r="92" spans="1:9" ht="23" x14ac:dyDescent="0.25">
      <c r="A92" s="83" t="s">
        <v>323</v>
      </c>
      <c r="B92" s="84">
        <v>20316430635228</v>
      </c>
      <c r="C92" s="84">
        <v>13996480970369</v>
      </c>
      <c r="D92" s="85">
        <v>11837189211664</v>
      </c>
      <c r="E92" s="341">
        <f t="shared" si="5"/>
        <v>0.15448413842981024</v>
      </c>
      <c r="F92" s="347">
        <f t="shared" si="6"/>
        <v>7.852761397014893E-2</v>
      </c>
      <c r="G92" s="338">
        <f t="shared" si="7"/>
        <v>6.9493369591061005E-2</v>
      </c>
      <c r="H92" s="363">
        <f t="shared" si="8"/>
        <v>-0.31107578778628675</v>
      </c>
      <c r="I92" s="338">
        <f t="shared" si="9"/>
        <v>-0.15427390379598202</v>
      </c>
    </row>
    <row r="93" spans="1:9" ht="23" x14ac:dyDescent="0.25">
      <c r="A93" s="86" t="s">
        <v>324</v>
      </c>
      <c r="B93" s="87">
        <v>2637987658239</v>
      </c>
      <c r="C93" s="87">
        <v>0</v>
      </c>
      <c r="D93" s="88">
        <v>0</v>
      </c>
      <c r="E93" s="342">
        <f t="shared" si="5"/>
        <v>2.0058998447536655E-2</v>
      </c>
      <c r="F93" s="348">
        <f t="shared" si="6"/>
        <v>0</v>
      </c>
      <c r="G93" s="360">
        <f t="shared" si="7"/>
        <v>0</v>
      </c>
      <c r="H93" s="342">
        <f t="shared" si="8"/>
        <v>-1</v>
      </c>
      <c r="I93" s="360"/>
    </row>
    <row r="94" spans="1:9" ht="23" x14ac:dyDescent="0.25">
      <c r="A94" s="86" t="s">
        <v>325</v>
      </c>
      <c r="B94" s="87">
        <v>0</v>
      </c>
      <c r="C94" s="87">
        <v>0</v>
      </c>
      <c r="D94" s="88">
        <v>0</v>
      </c>
      <c r="E94" s="342">
        <f t="shared" si="5"/>
        <v>0</v>
      </c>
      <c r="F94" s="348">
        <f t="shared" si="6"/>
        <v>0</v>
      </c>
      <c r="G94" s="360">
        <f t="shared" si="7"/>
        <v>0</v>
      </c>
      <c r="H94" s="342"/>
      <c r="I94" s="360"/>
    </row>
    <row r="95" spans="1:9" ht="23" x14ac:dyDescent="0.25">
      <c r="A95" s="86" t="s">
        <v>326</v>
      </c>
      <c r="B95" s="87">
        <v>223664493846</v>
      </c>
      <c r="C95" s="87">
        <v>410407940262</v>
      </c>
      <c r="D95" s="88">
        <v>531620146455</v>
      </c>
      <c r="E95" s="342">
        <f t="shared" si="5"/>
        <v>1.7007227917893136E-3</v>
      </c>
      <c r="F95" s="348">
        <f t="shared" si="6"/>
        <v>2.3026042311211472E-3</v>
      </c>
      <c r="G95" s="360">
        <f t="shared" si="7"/>
        <v>3.1210175540024106E-3</v>
      </c>
      <c r="H95" s="342">
        <f t="shared" si="8"/>
        <v>0.8349266493079528</v>
      </c>
      <c r="I95" s="360">
        <f t="shared" si="9"/>
        <v>0.29534566537776885</v>
      </c>
    </row>
    <row r="96" spans="1:9" ht="23" x14ac:dyDescent="0.25">
      <c r="A96" s="86" t="s">
        <v>327</v>
      </c>
      <c r="B96" s="87">
        <v>0</v>
      </c>
      <c r="C96" s="87">
        <v>0</v>
      </c>
      <c r="D96" s="88">
        <v>0</v>
      </c>
      <c r="E96" s="342">
        <f t="shared" si="5"/>
        <v>0</v>
      </c>
      <c r="F96" s="348">
        <f t="shared" si="6"/>
        <v>0</v>
      </c>
      <c r="G96" s="360">
        <f t="shared" si="7"/>
        <v>0</v>
      </c>
      <c r="H96" s="342"/>
      <c r="I96" s="360"/>
    </row>
    <row r="97" spans="1:9" ht="23" x14ac:dyDescent="0.25">
      <c r="A97" s="86" t="s">
        <v>328</v>
      </c>
      <c r="B97" s="87">
        <v>0</v>
      </c>
      <c r="C97" s="87">
        <v>0</v>
      </c>
      <c r="D97" s="88">
        <v>0</v>
      </c>
      <c r="E97" s="342">
        <f t="shared" si="5"/>
        <v>0</v>
      </c>
      <c r="F97" s="348">
        <f t="shared" si="6"/>
        <v>0</v>
      </c>
      <c r="G97" s="360">
        <f t="shared" si="7"/>
        <v>0</v>
      </c>
      <c r="H97" s="342"/>
      <c r="I97" s="360"/>
    </row>
    <row r="98" spans="1:9" ht="23" x14ac:dyDescent="0.25">
      <c r="A98" s="86" t="s">
        <v>329</v>
      </c>
      <c r="B98" s="87">
        <v>16127650192</v>
      </c>
      <c r="C98" s="87">
        <v>8803217550</v>
      </c>
      <c r="D98" s="88">
        <v>4109316288</v>
      </c>
      <c r="E98" s="342">
        <f t="shared" si="5"/>
        <v>1.2263306431831416E-4</v>
      </c>
      <c r="F98" s="348">
        <f t="shared" si="6"/>
        <v>4.9390676908369716E-5</v>
      </c>
      <c r="G98" s="360">
        <f t="shared" si="7"/>
        <v>2.4124834913271374E-5</v>
      </c>
      <c r="H98" s="342">
        <f t="shared" si="8"/>
        <v>-0.45415373937321818</v>
      </c>
      <c r="I98" s="360">
        <f t="shared" si="9"/>
        <v>-0.53320291533633635</v>
      </c>
    </row>
    <row r="99" spans="1:9" ht="23" x14ac:dyDescent="0.25">
      <c r="A99" s="86" t="s">
        <v>330</v>
      </c>
      <c r="B99" s="87">
        <v>68736086170</v>
      </c>
      <c r="C99" s="87">
        <v>63027061241</v>
      </c>
      <c r="D99" s="88">
        <v>61033120562</v>
      </c>
      <c r="E99" s="342">
        <f t="shared" si="5"/>
        <v>5.2266243227770985E-4</v>
      </c>
      <c r="F99" s="348">
        <f t="shared" si="6"/>
        <v>3.536149368747865E-4</v>
      </c>
      <c r="G99" s="360">
        <f t="shared" si="7"/>
        <v>3.5831117748219397E-4</v>
      </c>
      <c r="H99" s="342">
        <f t="shared" si="8"/>
        <v>-8.3057171961759366E-2</v>
      </c>
      <c r="I99" s="360">
        <f t="shared" si="9"/>
        <v>-3.1636262896276579E-2</v>
      </c>
    </row>
    <row r="100" spans="1:9" ht="23" x14ac:dyDescent="0.25">
      <c r="A100" s="86" t="s">
        <v>331</v>
      </c>
      <c r="B100" s="87">
        <v>17343247551512</v>
      </c>
      <c r="C100" s="87">
        <v>13464931998700</v>
      </c>
      <c r="D100" s="88">
        <v>11151651204402</v>
      </c>
      <c r="E100" s="342">
        <f t="shared" si="5"/>
        <v>0.13187634696640596</v>
      </c>
      <c r="F100" s="348">
        <f t="shared" si="6"/>
        <v>7.5545344888240384E-2</v>
      </c>
      <c r="G100" s="360">
        <f t="shared" si="7"/>
        <v>6.5468736271823841E-2</v>
      </c>
      <c r="H100" s="342">
        <f t="shared" si="8"/>
        <v>-0.22362106873541598</v>
      </c>
      <c r="I100" s="360">
        <f t="shared" si="9"/>
        <v>-0.17180040675447456</v>
      </c>
    </row>
    <row r="101" spans="1:9" ht="23" x14ac:dyDescent="0.25">
      <c r="A101" s="86" t="s">
        <v>332</v>
      </c>
      <c r="B101" s="87">
        <v>0</v>
      </c>
      <c r="C101" s="87">
        <v>0</v>
      </c>
      <c r="D101" s="88">
        <v>0</v>
      </c>
      <c r="E101" s="342">
        <f t="shared" si="5"/>
        <v>0</v>
      </c>
      <c r="F101" s="348">
        <f t="shared" si="6"/>
        <v>0</v>
      </c>
      <c r="G101" s="360">
        <f t="shared" si="7"/>
        <v>0</v>
      </c>
      <c r="H101" s="342"/>
      <c r="I101" s="360"/>
    </row>
    <row r="102" spans="1:9" ht="23" x14ac:dyDescent="0.25">
      <c r="A102" s="86" t="s">
        <v>333</v>
      </c>
      <c r="B102" s="87"/>
      <c r="C102" s="87"/>
      <c r="D102" s="88"/>
      <c r="E102" s="342">
        <f t="shared" si="5"/>
        <v>0</v>
      </c>
      <c r="F102" s="348">
        <f t="shared" si="6"/>
        <v>0</v>
      </c>
      <c r="G102" s="360">
        <f t="shared" si="7"/>
        <v>0</v>
      </c>
      <c r="H102" s="342"/>
      <c r="I102" s="360"/>
    </row>
    <row r="103" spans="1:9" ht="23" x14ac:dyDescent="0.25">
      <c r="A103" s="86" t="s">
        <v>334</v>
      </c>
      <c r="B103" s="87">
        <v>666262529</v>
      </c>
      <c r="C103" s="87">
        <v>0</v>
      </c>
      <c r="D103" s="88">
        <v>31207164756</v>
      </c>
      <c r="E103" s="342">
        <f t="shared" si="5"/>
        <v>5.0661946780237833E-6</v>
      </c>
      <c r="F103" s="348">
        <f t="shared" si="6"/>
        <v>0</v>
      </c>
      <c r="G103" s="360">
        <f t="shared" si="7"/>
        <v>1.8320996610756888E-4</v>
      </c>
      <c r="H103" s="342"/>
      <c r="I103" s="360"/>
    </row>
    <row r="104" spans="1:9" ht="23" x14ac:dyDescent="0.25">
      <c r="A104" s="86" t="s">
        <v>335</v>
      </c>
      <c r="B104" s="87">
        <v>0</v>
      </c>
      <c r="C104" s="87"/>
      <c r="D104" s="88">
        <v>0</v>
      </c>
      <c r="E104" s="342">
        <f t="shared" si="5"/>
        <v>0</v>
      </c>
      <c r="F104" s="348">
        <f t="shared" si="6"/>
        <v>0</v>
      </c>
      <c r="G104" s="360">
        <f t="shared" si="7"/>
        <v>0</v>
      </c>
      <c r="H104" s="342"/>
      <c r="I104" s="360"/>
    </row>
    <row r="105" spans="1:9" ht="23" x14ac:dyDescent="0.25">
      <c r="A105" s="86" t="s">
        <v>336</v>
      </c>
      <c r="B105" s="87">
        <v>26000932740</v>
      </c>
      <c r="C105" s="87">
        <v>49310752616</v>
      </c>
      <c r="D105" s="88">
        <v>57568259201</v>
      </c>
      <c r="E105" s="342">
        <f t="shared" si="5"/>
        <v>1.9770853280425492E-4</v>
      </c>
      <c r="F105" s="348">
        <f t="shared" si="6"/>
        <v>2.7665923700424767E-4</v>
      </c>
      <c r="G105" s="360">
        <f t="shared" si="7"/>
        <v>3.3796978673171941E-4</v>
      </c>
      <c r="H105" s="342">
        <f t="shared" si="8"/>
        <v>0.89649937212214026</v>
      </c>
      <c r="I105" s="360">
        <f t="shared" si="9"/>
        <v>0.16745853889726808</v>
      </c>
    </row>
    <row r="106" spans="1:9" ht="23" x14ac:dyDescent="0.25">
      <c r="A106" s="86" t="s">
        <v>337</v>
      </c>
      <c r="B106" s="87">
        <v>0</v>
      </c>
      <c r="C106" s="87">
        <v>0</v>
      </c>
      <c r="D106" s="88">
        <v>0</v>
      </c>
      <c r="E106" s="342">
        <f t="shared" si="5"/>
        <v>0</v>
      </c>
      <c r="F106" s="348">
        <f t="shared" si="6"/>
        <v>0</v>
      </c>
      <c r="G106" s="360">
        <f t="shared" si="7"/>
        <v>0</v>
      </c>
      <c r="H106" s="342"/>
      <c r="I106" s="360"/>
    </row>
    <row r="107" spans="1:9" ht="24" thickBot="1" x14ac:dyDescent="0.3">
      <c r="A107" s="499"/>
      <c r="B107" s="500"/>
      <c r="C107" s="500"/>
      <c r="D107" s="501"/>
      <c r="E107" s="342">
        <f t="shared" si="5"/>
        <v>0</v>
      </c>
      <c r="F107" s="348">
        <f t="shared" si="6"/>
        <v>0</v>
      </c>
      <c r="G107" s="360">
        <f t="shared" si="7"/>
        <v>0</v>
      </c>
      <c r="H107" s="342"/>
      <c r="I107" s="360"/>
    </row>
    <row r="108" spans="1:9" ht="25" thickTop="1" thickBot="1" x14ac:dyDescent="0.3">
      <c r="A108" s="96" t="s">
        <v>338</v>
      </c>
      <c r="B108" s="97">
        <v>59219786306111</v>
      </c>
      <c r="C108" s="97">
        <v>90780625511439</v>
      </c>
      <c r="D108" s="98">
        <v>96112939615783</v>
      </c>
      <c r="E108" s="346">
        <f t="shared" si="5"/>
        <v>0.45030142497736847</v>
      </c>
      <c r="F108" s="352">
        <f t="shared" si="6"/>
        <v>0.50932701807138558</v>
      </c>
      <c r="G108" s="340">
        <f t="shared" si="7"/>
        <v>0.56425659130475403</v>
      </c>
      <c r="H108" s="366">
        <f t="shared" si="8"/>
        <v>0.53294415893681091</v>
      </c>
      <c r="I108" s="340">
        <f t="shared" si="9"/>
        <v>5.8738459603058041E-2</v>
      </c>
    </row>
    <row r="109" spans="1:9" ht="24" thickTop="1" x14ac:dyDescent="0.25">
      <c r="A109" s="334"/>
      <c r="B109" s="357"/>
      <c r="C109" s="357"/>
      <c r="D109" s="357"/>
      <c r="E109" s="344"/>
      <c r="F109" s="350"/>
      <c r="G109" s="361"/>
      <c r="H109" s="342"/>
      <c r="I109" s="360"/>
    </row>
    <row r="110" spans="1:9" ht="23" x14ac:dyDescent="0.25">
      <c r="A110" s="83" t="s">
        <v>339</v>
      </c>
      <c r="B110" s="84">
        <v>59219786306111</v>
      </c>
      <c r="C110" s="84">
        <v>90780625511439</v>
      </c>
      <c r="D110" s="85">
        <v>96112939615783</v>
      </c>
      <c r="E110" s="341">
        <f t="shared" si="5"/>
        <v>0.45030142497736847</v>
      </c>
      <c r="F110" s="347">
        <f t="shared" si="6"/>
        <v>0.50932701807138558</v>
      </c>
      <c r="G110" s="338">
        <f t="shared" si="7"/>
        <v>0.56425659130475403</v>
      </c>
      <c r="H110" s="363">
        <f t="shared" si="8"/>
        <v>0.53294415893681091</v>
      </c>
      <c r="I110" s="338">
        <f t="shared" si="9"/>
        <v>5.8738459603058041E-2</v>
      </c>
    </row>
    <row r="111" spans="1:9" ht="23" x14ac:dyDescent="0.25">
      <c r="A111" s="86" t="s">
        <v>340</v>
      </c>
      <c r="B111" s="87">
        <v>33132826590000</v>
      </c>
      <c r="C111" s="87">
        <v>44729227060000</v>
      </c>
      <c r="D111" s="88">
        <v>58147857000000</v>
      </c>
      <c r="E111" s="342">
        <f t="shared" si="5"/>
        <v>0.25193875151598522</v>
      </c>
      <c r="F111" s="348">
        <f t="shared" si="6"/>
        <v>0.25095447085498501</v>
      </c>
      <c r="G111" s="360">
        <f t="shared" si="7"/>
        <v>0.3413724698636561</v>
      </c>
      <c r="H111" s="342">
        <f t="shared" si="8"/>
        <v>0.34999731877690066</v>
      </c>
      <c r="I111" s="360">
        <f t="shared" si="9"/>
        <v>0.29999691078945284</v>
      </c>
    </row>
    <row r="112" spans="1:9" ht="23" x14ac:dyDescent="0.25">
      <c r="A112" s="89" t="s">
        <v>341</v>
      </c>
      <c r="B112" s="87">
        <v>33132826590000</v>
      </c>
      <c r="C112" s="87">
        <v>44729227060000</v>
      </c>
      <c r="D112" s="88">
        <v>58147857000000</v>
      </c>
      <c r="E112" s="342">
        <f t="shared" si="5"/>
        <v>0.25193875151598522</v>
      </c>
      <c r="F112" s="348">
        <f t="shared" si="6"/>
        <v>0.25095447085498501</v>
      </c>
      <c r="G112" s="360">
        <f t="shared" si="7"/>
        <v>0.3413724698636561</v>
      </c>
      <c r="H112" s="342">
        <f t="shared" si="8"/>
        <v>0.34999731877690066</v>
      </c>
      <c r="I112" s="360">
        <f t="shared" si="9"/>
        <v>0.29999691078945284</v>
      </c>
    </row>
    <row r="113" spans="1:9" ht="23" x14ac:dyDescent="0.25">
      <c r="A113" s="89" t="s">
        <v>342</v>
      </c>
      <c r="B113" s="87">
        <v>0</v>
      </c>
      <c r="C113" s="87">
        <v>0</v>
      </c>
      <c r="D113" s="88">
        <v>0</v>
      </c>
      <c r="E113" s="342">
        <f t="shared" si="5"/>
        <v>0</v>
      </c>
      <c r="F113" s="348">
        <f t="shared" si="6"/>
        <v>0</v>
      </c>
      <c r="G113" s="360">
        <f t="shared" si="7"/>
        <v>0</v>
      </c>
      <c r="H113" s="342"/>
      <c r="I113" s="360"/>
    </row>
    <row r="114" spans="1:9" ht="23" x14ac:dyDescent="0.25">
      <c r="A114" s="86" t="s">
        <v>343</v>
      </c>
      <c r="B114" s="87">
        <v>3211560416270</v>
      </c>
      <c r="C114" s="87">
        <v>3211560416270</v>
      </c>
      <c r="D114" s="88">
        <v>3211560416270</v>
      </c>
      <c r="E114" s="342">
        <f t="shared" si="5"/>
        <v>2.4420389232273517E-2</v>
      </c>
      <c r="F114" s="348">
        <f t="shared" si="6"/>
        <v>1.8018541742354295E-2</v>
      </c>
      <c r="G114" s="360">
        <f t="shared" si="7"/>
        <v>1.8854320141470416E-2</v>
      </c>
      <c r="H114" s="342">
        <f t="shared" si="8"/>
        <v>0</v>
      </c>
      <c r="I114" s="360">
        <f t="shared" si="9"/>
        <v>0</v>
      </c>
    </row>
    <row r="115" spans="1:9" ht="23" x14ac:dyDescent="0.25">
      <c r="A115" s="86" t="s">
        <v>344</v>
      </c>
      <c r="B115" s="87">
        <v>0</v>
      </c>
      <c r="C115" s="87">
        <v>0</v>
      </c>
      <c r="D115" s="88">
        <v>0</v>
      </c>
      <c r="E115" s="342">
        <f t="shared" si="5"/>
        <v>0</v>
      </c>
      <c r="F115" s="348">
        <f t="shared" si="6"/>
        <v>0</v>
      </c>
      <c r="G115" s="360">
        <f t="shared" si="7"/>
        <v>0</v>
      </c>
      <c r="H115" s="342"/>
      <c r="I115" s="360"/>
    </row>
    <row r="116" spans="1:9" ht="23" x14ac:dyDescent="0.25">
      <c r="A116" s="86" t="s">
        <v>345</v>
      </c>
      <c r="B116" s="87">
        <v>0</v>
      </c>
      <c r="C116" s="87">
        <v>0</v>
      </c>
      <c r="D116" s="88">
        <v>0</v>
      </c>
      <c r="E116" s="342">
        <f t="shared" si="5"/>
        <v>0</v>
      </c>
      <c r="F116" s="348">
        <f t="shared" si="6"/>
        <v>0</v>
      </c>
      <c r="G116" s="360">
        <f t="shared" si="7"/>
        <v>0</v>
      </c>
      <c r="H116" s="342"/>
      <c r="I116" s="360"/>
    </row>
    <row r="117" spans="1:9" ht="23" x14ac:dyDescent="0.25">
      <c r="A117" s="86" t="s">
        <v>346</v>
      </c>
      <c r="B117" s="87">
        <v>0</v>
      </c>
      <c r="C117" s="87">
        <v>0</v>
      </c>
      <c r="D117" s="88">
        <v>0</v>
      </c>
      <c r="E117" s="342">
        <f t="shared" si="5"/>
        <v>0</v>
      </c>
      <c r="F117" s="348">
        <f t="shared" si="6"/>
        <v>0</v>
      </c>
      <c r="G117" s="360">
        <f t="shared" si="7"/>
        <v>0</v>
      </c>
      <c r="H117" s="342"/>
      <c r="I117" s="360"/>
    </row>
    <row r="118" spans="1:9" ht="23" x14ac:dyDescent="0.25">
      <c r="A118" s="86" t="s">
        <v>347</v>
      </c>
      <c r="B118" s="87">
        <v>0</v>
      </c>
      <c r="C118" s="87">
        <v>0</v>
      </c>
      <c r="D118" s="88">
        <v>0</v>
      </c>
      <c r="E118" s="342">
        <f t="shared" si="5"/>
        <v>0</v>
      </c>
      <c r="F118" s="348">
        <f t="shared" si="6"/>
        <v>0</v>
      </c>
      <c r="G118" s="360">
        <f t="shared" si="7"/>
        <v>0</v>
      </c>
      <c r="H118" s="342"/>
      <c r="I118" s="360"/>
    </row>
    <row r="119" spans="1:9" ht="23" x14ac:dyDescent="0.25">
      <c r="A119" s="86" t="s">
        <v>348</v>
      </c>
      <c r="B119" s="87">
        <v>5568369072</v>
      </c>
      <c r="C119" s="87">
        <v>-1925960852</v>
      </c>
      <c r="D119" s="88">
        <v>-20652355005</v>
      </c>
      <c r="E119" s="342">
        <f t="shared" si="5"/>
        <v>4.234133022635982E-5</v>
      </c>
      <c r="F119" s="348">
        <f t="shared" si="6"/>
        <v>-1.0805652551356118E-5</v>
      </c>
      <c r="G119" s="360">
        <f t="shared" si="7"/>
        <v>-1.2124514643003766E-4</v>
      </c>
      <c r="H119" s="342">
        <f t="shared" si="8"/>
        <v>-1.3458752153632392</v>
      </c>
      <c r="I119" s="360">
        <f t="shared" si="9"/>
        <v>9.723143714761239</v>
      </c>
    </row>
    <row r="120" spans="1:9" ht="23" x14ac:dyDescent="0.25">
      <c r="A120" s="86" t="s">
        <v>349</v>
      </c>
      <c r="B120" s="87">
        <v>928641612156</v>
      </c>
      <c r="C120" s="87">
        <v>923549304122</v>
      </c>
      <c r="D120" s="88">
        <v>834782434216</v>
      </c>
      <c r="E120" s="342">
        <f t="shared" si="5"/>
        <v>7.0612993955362505E-3</v>
      </c>
      <c r="F120" s="348">
        <f t="shared" si="6"/>
        <v>5.1815969592662612E-3</v>
      </c>
      <c r="G120" s="360">
        <f t="shared" si="7"/>
        <v>4.9008124472602827E-3</v>
      </c>
      <c r="H120" s="342">
        <f t="shared" si="8"/>
        <v>-5.4836095726717845E-3</v>
      </c>
      <c r="I120" s="360">
        <f t="shared" si="9"/>
        <v>-9.6114922624936525E-2</v>
      </c>
    </row>
    <row r="121" spans="1:9" ht="23" x14ac:dyDescent="0.25">
      <c r="A121" s="86" t="s">
        <v>350</v>
      </c>
      <c r="B121" s="87">
        <v>0</v>
      </c>
      <c r="C121" s="87">
        <v>0</v>
      </c>
      <c r="D121" s="88">
        <v>0</v>
      </c>
      <c r="E121" s="342">
        <f t="shared" si="5"/>
        <v>0</v>
      </c>
      <c r="F121" s="348">
        <f t="shared" si="6"/>
        <v>0</v>
      </c>
      <c r="G121" s="360">
        <f t="shared" si="7"/>
        <v>0</v>
      </c>
      <c r="H121" s="342"/>
      <c r="I121" s="360"/>
    </row>
    <row r="122" spans="1:9" ht="23" x14ac:dyDescent="0.25">
      <c r="A122" s="86" t="s">
        <v>351</v>
      </c>
      <c r="B122" s="87">
        <v>0</v>
      </c>
      <c r="C122" s="87"/>
      <c r="D122" s="88">
        <v>0</v>
      </c>
      <c r="E122" s="342">
        <f t="shared" si="5"/>
        <v>0</v>
      </c>
      <c r="F122" s="348">
        <f t="shared" si="6"/>
        <v>0</v>
      </c>
      <c r="G122" s="360">
        <f t="shared" si="7"/>
        <v>0</v>
      </c>
      <c r="H122" s="342"/>
      <c r="I122" s="360"/>
    </row>
    <row r="123" spans="1:9" ht="23" x14ac:dyDescent="0.25">
      <c r="A123" s="86" t="s">
        <v>352</v>
      </c>
      <c r="B123" s="87">
        <v>0</v>
      </c>
      <c r="C123" s="87">
        <v>0</v>
      </c>
      <c r="D123" s="88">
        <v>0</v>
      </c>
      <c r="E123" s="342">
        <f t="shared" si="5"/>
        <v>0</v>
      </c>
      <c r="F123" s="348">
        <f t="shared" si="6"/>
        <v>0</v>
      </c>
      <c r="G123" s="360">
        <f t="shared" si="7"/>
        <v>0</v>
      </c>
      <c r="H123" s="342"/>
      <c r="I123" s="360"/>
    </row>
    <row r="124" spans="1:9" ht="23" x14ac:dyDescent="0.25">
      <c r="A124" s="86" t="s">
        <v>353</v>
      </c>
      <c r="B124" s="87">
        <v>21792442633285</v>
      </c>
      <c r="C124" s="87">
        <v>41763425970912</v>
      </c>
      <c r="D124" s="88">
        <v>33833829973987</v>
      </c>
      <c r="E124" s="342">
        <f t="shared" si="5"/>
        <v>0.1657075883519889</v>
      </c>
      <c r="F124" s="348">
        <f t="shared" si="6"/>
        <v>0.23431476809475546</v>
      </c>
      <c r="G124" s="360">
        <f t="shared" si="7"/>
        <v>0.19863050332477331</v>
      </c>
      <c r="H124" s="342">
        <f t="shared" si="8"/>
        <v>0.91641784602539378</v>
      </c>
      <c r="I124" s="360">
        <f t="shared" si="9"/>
        <v>-0.18986938481646407</v>
      </c>
    </row>
    <row r="125" spans="1:9" ht="23" x14ac:dyDescent="0.25">
      <c r="A125" s="89" t="s">
        <v>354</v>
      </c>
      <c r="B125" s="87">
        <v>8342142580473</v>
      </c>
      <c r="C125" s="87">
        <v>7285282773452</v>
      </c>
      <c r="D125" s="88">
        <v>25350319419956</v>
      </c>
      <c r="E125" s="342">
        <f t="shared" si="5"/>
        <v>6.3432830911173618E-2</v>
      </c>
      <c r="F125" s="348">
        <f t="shared" si="6"/>
        <v>4.0874265074782729E-2</v>
      </c>
      <c r="G125" s="360">
        <f t="shared" si="7"/>
        <v>0.14882579683414621</v>
      </c>
      <c r="H125" s="342">
        <f t="shared" si="8"/>
        <v>-0.12668925241038928</v>
      </c>
      <c r="I125" s="360">
        <f t="shared" si="9"/>
        <v>2.479661697186835</v>
      </c>
    </row>
    <row r="126" spans="1:9" ht="23" x14ac:dyDescent="0.25">
      <c r="A126" s="89" t="s">
        <v>355</v>
      </c>
      <c r="B126" s="87">
        <v>13450300052812</v>
      </c>
      <c r="C126" s="87">
        <v>34478143197460</v>
      </c>
      <c r="D126" s="88">
        <v>8483510554031</v>
      </c>
      <c r="E126" s="342">
        <f t="shared" si="5"/>
        <v>0.10227475744081529</v>
      </c>
      <c r="F126" s="348">
        <f t="shared" si="6"/>
        <v>0.19344050301997273</v>
      </c>
      <c r="G126" s="360">
        <f t="shared" si="7"/>
        <v>4.9804706490627092E-2</v>
      </c>
      <c r="H126" s="342">
        <f t="shared" si="8"/>
        <v>1.5633735353176597</v>
      </c>
      <c r="I126" s="360">
        <f t="shared" si="9"/>
        <v>-0.75394526017700458</v>
      </c>
    </row>
    <row r="127" spans="1:9" ht="23" x14ac:dyDescent="0.25">
      <c r="A127" s="86" t="s">
        <v>356</v>
      </c>
      <c r="B127" s="87">
        <v>148746685328</v>
      </c>
      <c r="C127" s="87">
        <v>154788720987</v>
      </c>
      <c r="D127" s="88">
        <v>105562146315</v>
      </c>
      <c r="E127" s="342">
        <f t="shared" si="5"/>
        <v>1.1310551513581998E-3</v>
      </c>
      <c r="F127" s="348">
        <f t="shared" si="6"/>
        <v>8.6844607257589618E-4</v>
      </c>
      <c r="G127" s="360">
        <f t="shared" si="7"/>
        <v>6.1973067402398331E-4</v>
      </c>
      <c r="H127" s="342">
        <f t="shared" si="8"/>
        <v>4.0619632267278834E-2</v>
      </c>
      <c r="I127" s="360">
        <f t="shared" si="9"/>
        <v>-0.31802430020811606</v>
      </c>
    </row>
    <row r="128" spans="1:9" ht="23" x14ac:dyDescent="0.25">
      <c r="A128" s="83" t="s">
        <v>357</v>
      </c>
      <c r="B128" s="84">
        <v>0</v>
      </c>
      <c r="C128" s="84">
        <v>0</v>
      </c>
      <c r="D128" s="85">
        <v>0</v>
      </c>
      <c r="E128" s="341">
        <f t="shared" si="5"/>
        <v>0</v>
      </c>
      <c r="F128" s="347">
        <f t="shared" si="6"/>
        <v>0</v>
      </c>
      <c r="G128" s="338">
        <f t="shared" si="7"/>
        <v>0</v>
      </c>
      <c r="H128" s="363"/>
      <c r="I128" s="338"/>
    </row>
    <row r="129" spans="1:9" ht="23" x14ac:dyDescent="0.25">
      <c r="A129" s="83" t="s">
        <v>358</v>
      </c>
      <c r="B129" s="84">
        <v>0</v>
      </c>
      <c r="C129" s="84"/>
      <c r="D129" s="85">
        <v>0</v>
      </c>
      <c r="E129" s="341">
        <f t="shared" si="5"/>
        <v>0</v>
      </c>
      <c r="F129" s="347">
        <f t="shared" si="6"/>
        <v>0</v>
      </c>
      <c r="G129" s="338">
        <f t="shared" si="7"/>
        <v>0</v>
      </c>
      <c r="H129" s="363"/>
      <c r="I129" s="338"/>
    </row>
    <row r="130" spans="1:9" ht="23" x14ac:dyDescent="0.25">
      <c r="A130" s="86" t="s">
        <v>359</v>
      </c>
      <c r="B130" s="87">
        <v>0</v>
      </c>
      <c r="C130" s="87">
        <v>0</v>
      </c>
      <c r="D130" s="88">
        <v>0</v>
      </c>
      <c r="E130" s="342">
        <f t="shared" si="5"/>
        <v>0</v>
      </c>
      <c r="F130" s="348">
        <f t="shared" si="6"/>
        <v>0</v>
      </c>
      <c r="G130" s="358">
        <f t="shared" si="7"/>
        <v>0</v>
      </c>
      <c r="H130" s="342"/>
      <c r="I130" s="360"/>
    </row>
    <row r="131" spans="1:9" ht="23" x14ac:dyDescent="0.25">
      <c r="A131" s="86" t="s">
        <v>360</v>
      </c>
      <c r="B131" s="87">
        <v>0</v>
      </c>
      <c r="C131" s="87">
        <v>0</v>
      </c>
      <c r="D131" s="88">
        <v>0</v>
      </c>
      <c r="E131" s="342">
        <f t="shared" si="5"/>
        <v>0</v>
      </c>
      <c r="F131" s="348">
        <f t="shared" si="6"/>
        <v>0</v>
      </c>
      <c r="G131" s="358">
        <f t="shared" si="7"/>
        <v>0</v>
      </c>
      <c r="H131" s="342"/>
      <c r="I131" s="360"/>
    </row>
    <row r="132" spans="1:9" ht="24" thickBot="1" x14ac:dyDescent="0.3">
      <c r="A132" s="93" t="s">
        <v>361</v>
      </c>
      <c r="B132" s="94">
        <v>0</v>
      </c>
      <c r="C132" s="94"/>
      <c r="D132" s="95">
        <v>0</v>
      </c>
      <c r="E132" s="345">
        <f t="shared" si="5"/>
        <v>0</v>
      </c>
      <c r="F132" s="351">
        <f t="shared" si="6"/>
        <v>0</v>
      </c>
      <c r="G132" s="339">
        <f t="shared" si="7"/>
        <v>0</v>
      </c>
      <c r="H132" s="365"/>
      <c r="I132" s="339"/>
    </row>
    <row r="133" spans="1:9" ht="24" thickBot="1" x14ac:dyDescent="0.3">
      <c r="A133" s="99" t="s">
        <v>113</v>
      </c>
      <c r="B133" s="100">
        <v>131511434388837</v>
      </c>
      <c r="C133" s="100">
        <v>178236422358249</v>
      </c>
      <c r="D133" s="101">
        <v>170335519508132</v>
      </c>
      <c r="E133" s="345">
        <f t="shared" si="5"/>
        <v>1</v>
      </c>
      <c r="F133" s="351">
        <f t="shared" si="6"/>
        <v>1</v>
      </c>
      <c r="G133" s="339">
        <f t="shared" si="7"/>
        <v>1</v>
      </c>
      <c r="H133" s="365">
        <f t="shared" si="8"/>
        <v>0.35529220851824367</v>
      </c>
      <c r="I133" s="339">
        <f t="shared" si="9"/>
        <v>-4.4328217238542078E-2</v>
      </c>
    </row>
  </sheetData>
  <mergeCells count="6">
    <mergeCell ref="E4:G4"/>
    <mergeCell ref="H4:I4"/>
    <mergeCell ref="A107:D107"/>
    <mergeCell ref="A5:D5"/>
    <mergeCell ref="A33:D33"/>
    <mergeCell ref="A7:I7"/>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8B95A-ECB9-BF48-A9CF-0C0600496C06}">
  <dimension ref="A2:I29"/>
  <sheetViews>
    <sheetView showGridLines="0" topLeftCell="H2" zoomScale="53" zoomScaleNormal="53" workbookViewId="0">
      <selection activeCell="AL52" sqref="AL52"/>
    </sheetView>
  </sheetViews>
  <sheetFormatPr baseColWidth="10" defaultRowHeight="14" x14ac:dyDescent="0.15"/>
  <cols>
    <col min="1" max="1" width="56" customWidth="1"/>
    <col min="2" max="2" width="42" customWidth="1"/>
    <col min="3" max="3" width="43.33203125" customWidth="1"/>
    <col min="4" max="4" width="44.6640625" customWidth="1"/>
    <col min="5" max="5" width="29.83203125" customWidth="1"/>
    <col min="6" max="6" width="30" customWidth="1"/>
    <col min="7" max="7" width="28.33203125" customWidth="1"/>
    <col min="8" max="8" width="25.5" customWidth="1"/>
    <col min="9" max="9" width="27.1640625" customWidth="1"/>
  </cols>
  <sheetData>
    <row r="2" spans="1:9" ht="29" x14ac:dyDescent="0.3">
      <c r="A2" s="73" t="s">
        <v>0</v>
      </c>
      <c r="B2" s="74" t="s">
        <v>153</v>
      </c>
      <c r="C2" s="104"/>
      <c r="D2" s="105"/>
      <c r="E2" s="105"/>
      <c r="F2" s="105"/>
      <c r="G2" s="105"/>
      <c r="H2" s="105"/>
      <c r="I2" s="105"/>
    </row>
    <row r="3" spans="1:9" ht="30" thickBot="1" x14ac:dyDescent="0.35">
      <c r="A3" s="73" t="s">
        <v>2</v>
      </c>
      <c r="B3" s="77">
        <v>45253.554678425899</v>
      </c>
      <c r="C3" s="105"/>
      <c r="D3" s="105"/>
      <c r="E3" s="105"/>
      <c r="F3" s="105"/>
      <c r="G3" s="105"/>
      <c r="H3" s="105"/>
      <c r="I3" s="105"/>
    </row>
    <row r="4" spans="1:9" ht="24" thickBot="1" x14ac:dyDescent="0.3">
      <c r="A4" s="105"/>
      <c r="B4" s="105"/>
      <c r="C4" s="105"/>
      <c r="D4" s="105"/>
      <c r="E4" s="495" t="s">
        <v>589</v>
      </c>
      <c r="F4" s="496"/>
      <c r="G4" s="511"/>
      <c r="H4" s="495" t="s">
        <v>588</v>
      </c>
      <c r="I4" s="497"/>
    </row>
    <row r="5" spans="1:9" ht="23" x14ac:dyDescent="0.25">
      <c r="A5" s="106" t="s">
        <v>3</v>
      </c>
      <c r="B5" s="107" t="s">
        <v>4</v>
      </c>
      <c r="C5" s="107" t="s">
        <v>5</v>
      </c>
      <c r="D5" s="108" t="s">
        <v>6</v>
      </c>
      <c r="E5" s="109">
        <v>2020</v>
      </c>
      <c r="F5" s="110">
        <v>2021</v>
      </c>
      <c r="G5" s="373">
        <v>2022</v>
      </c>
      <c r="H5" s="109" t="s">
        <v>179</v>
      </c>
      <c r="I5" s="111" t="s">
        <v>180</v>
      </c>
    </row>
    <row r="6" spans="1:9" ht="23" x14ac:dyDescent="0.25">
      <c r="A6" s="83" t="s">
        <v>368</v>
      </c>
      <c r="B6" s="84">
        <v>91279041771826</v>
      </c>
      <c r="C6" s="84">
        <v>150865359967200</v>
      </c>
      <c r="D6" s="85">
        <v>142770810676858</v>
      </c>
      <c r="E6" s="371"/>
      <c r="F6" s="113"/>
      <c r="G6" s="374"/>
      <c r="H6" s="112"/>
      <c r="I6" s="114"/>
    </row>
    <row r="7" spans="1:9" ht="23" x14ac:dyDescent="0.25">
      <c r="A7" s="115" t="s">
        <v>369</v>
      </c>
      <c r="B7" s="87">
        <v>-1160538345109</v>
      </c>
      <c r="C7" s="87">
        <v>-1185569987855</v>
      </c>
      <c r="D7" s="88">
        <v>-1361536216226</v>
      </c>
      <c r="E7" s="368"/>
      <c r="F7" s="240"/>
      <c r="G7" s="375"/>
      <c r="H7" s="239"/>
      <c r="I7" s="241"/>
    </row>
    <row r="8" spans="1:9" ht="23" x14ac:dyDescent="0.25">
      <c r="A8" s="83" t="s">
        <v>370</v>
      </c>
      <c r="B8" s="84">
        <v>90118503426717</v>
      </c>
      <c r="C8" s="84">
        <v>149679789979345</v>
      </c>
      <c r="D8" s="85">
        <v>141409274460632</v>
      </c>
      <c r="E8" s="369">
        <v>1</v>
      </c>
      <c r="F8" s="367">
        <v>1</v>
      </c>
      <c r="G8" s="367">
        <v>1</v>
      </c>
      <c r="H8" s="377">
        <f>(C8-B8)/B8</f>
        <v>0.66092183389465997</v>
      </c>
      <c r="I8" s="335">
        <f>(D8-C8)/C8</f>
        <v>-5.5254724234008387E-2</v>
      </c>
    </row>
    <row r="9" spans="1:9" ht="23" x14ac:dyDescent="0.25">
      <c r="A9" s="115" t="s">
        <v>371</v>
      </c>
      <c r="B9" s="87">
        <v>-71214453522563</v>
      </c>
      <c r="C9" s="87">
        <v>-108571380446353</v>
      </c>
      <c r="D9" s="88">
        <v>-124645848221080</v>
      </c>
      <c r="E9" s="370">
        <f>B9/$B$8</f>
        <v>-0.79023120463239283</v>
      </c>
      <c r="F9" s="117">
        <f>C9/$C$8</f>
        <v>-0.72535764822582438</v>
      </c>
      <c r="G9" s="376">
        <f>D9/$D$8</f>
        <v>-0.88145454883711394</v>
      </c>
      <c r="H9" s="116">
        <f t="shared" ref="H9:I26" si="0">(C9-B9)/B9</f>
        <v>0.52456945291245038</v>
      </c>
      <c r="I9" s="242">
        <f t="shared" si="0"/>
        <v>0.14805437407761129</v>
      </c>
    </row>
    <row r="10" spans="1:9" ht="23" x14ac:dyDescent="0.25">
      <c r="A10" s="83" t="s">
        <v>372</v>
      </c>
      <c r="B10" s="84">
        <v>18904049904154</v>
      </c>
      <c r="C10" s="84">
        <v>41108409532992</v>
      </c>
      <c r="D10" s="85">
        <v>16763426239552</v>
      </c>
      <c r="E10" s="369">
        <f t="shared" ref="E10:E29" si="1">B10/$B$8</f>
        <v>0.20976879536760712</v>
      </c>
      <c r="F10" s="367">
        <f t="shared" ref="F10:F29" si="2">C10/$C$8</f>
        <v>0.27464235177417562</v>
      </c>
      <c r="G10" s="367">
        <f t="shared" ref="G10:G29" si="3">D10/$D$8</f>
        <v>0.11854545116288605</v>
      </c>
      <c r="H10" s="377">
        <f>(C10-B10)/B10</f>
        <v>1.1745821525766702</v>
      </c>
      <c r="I10" s="335">
        <f t="shared" si="0"/>
        <v>-0.59221418609984577</v>
      </c>
    </row>
    <row r="11" spans="1:9" ht="23" x14ac:dyDescent="0.25">
      <c r="A11" s="115" t="s">
        <v>373</v>
      </c>
      <c r="B11" s="87">
        <v>1004789766270</v>
      </c>
      <c r="C11" s="87">
        <v>3071440640188</v>
      </c>
      <c r="D11" s="88">
        <v>3743650707331</v>
      </c>
      <c r="E11" s="370">
        <f t="shared" si="1"/>
        <v>1.1149649939394298E-2</v>
      </c>
      <c r="F11" s="117">
        <f t="shared" si="2"/>
        <v>2.052007582728331E-2</v>
      </c>
      <c r="G11" s="376">
        <f t="shared" si="3"/>
        <v>2.6473869706284528E-2</v>
      </c>
      <c r="H11" s="116">
        <f t="shared" si="0"/>
        <v>2.0567992860734057</v>
      </c>
      <c r="I11" s="242">
        <f t="shared" si="0"/>
        <v>0.21885823165439872</v>
      </c>
    </row>
    <row r="12" spans="1:9" ht="23" x14ac:dyDescent="0.25">
      <c r="A12" s="115" t="s">
        <v>491</v>
      </c>
      <c r="B12" s="87">
        <v>-2837406430588</v>
      </c>
      <c r="C12" s="87">
        <v>-3731542257873</v>
      </c>
      <c r="D12" s="88">
        <v>-7026723285241</v>
      </c>
      <c r="E12" s="370">
        <f t="shared" si="1"/>
        <v>-3.1485281298477573E-2</v>
      </c>
      <c r="F12" s="117">
        <f t="shared" si="2"/>
        <v>-2.4930167649139089E-2</v>
      </c>
      <c r="G12" s="376">
        <f t="shared" si="3"/>
        <v>-4.9690681972894377E-2</v>
      </c>
      <c r="H12" s="116">
        <f t="shared" si="0"/>
        <v>0.31512433948340168</v>
      </c>
      <c r="I12" s="242">
        <f t="shared" si="0"/>
        <v>0.88306142598697823</v>
      </c>
    </row>
    <row r="13" spans="1:9" ht="23" x14ac:dyDescent="0.25">
      <c r="A13" s="118" t="s">
        <v>159</v>
      </c>
      <c r="B13" s="119">
        <v>-2191680923417</v>
      </c>
      <c r="C13" s="119">
        <v>-2525823258237</v>
      </c>
      <c r="D13" s="372">
        <v>-3083638131818</v>
      </c>
      <c r="E13" s="370">
        <f t="shared" si="1"/>
        <v>-2.4319988016658994E-2</v>
      </c>
      <c r="F13" s="117">
        <f t="shared" si="2"/>
        <v>-1.6874845018058551E-2</v>
      </c>
      <c r="G13" s="376">
        <f t="shared" si="3"/>
        <v>-2.1806477287856233E-2</v>
      </c>
      <c r="H13" s="116">
        <f t="shared" si="0"/>
        <v>0.15245938916101268</v>
      </c>
      <c r="I13" s="242">
        <f t="shared" si="0"/>
        <v>0.22084477675225359</v>
      </c>
    </row>
    <row r="14" spans="1:9" ht="23" x14ac:dyDescent="0.25">
      <c r="A14" s="115" t="s">
        <v>374</v>
      </c>
      <c r="B14" s="87">
        <v>1964631764</v>
      </c>
      <c r="C14" s="87">
        <v>4465302865</v>
      </c>
      <c r="D14" s="88">
        <v>-1072667584</v>
      </c>
      <c r="E14" s="370">
        <f t="shared" si="1"/>
        <v>2.1800536951854831E-5</v>
      </c>
      <c r="F14" s="117">
        <f t="shared" si="2"/>
        <v>2.9832369925266382E-5</v>
      </c>
      <c r="G14" s="376">
        <f t="shared" si="3"/>
        <v>-7.5855532679267657E-6</v>
      </c>
      <c r="H14" s="116">
        <f t="shared" si="0"/>
        <v>1.2728446861251095</v>
      </c>
      <c r="I14" s="242">
        <f t="shared" si="0"/>
        <v>-1.2402228060290823</v>
      </c>
    </row>
    <row r="15" spans="1:9" ht="23" x14ac:dyDescent="0.25">
      <c r="A15" s="115" t="s">
        <v>375</v>
      </c>
      <c r="B15" s="87">
        <v>-1090795558423</v>
      </c>
      <c r="C15" s="87">
        <v>-2120068223228</v>
      </c>
      <c r="D15" s="88">
        <v>-2665806087302</v>
      </c>
      <c r="E15" s="370">
        <f t="shared" si="1"/>
        <v>-1.2104013237525836E-2</v>
      </c>
      <c r="F15" s="117">
        <f t="shared" si="2"/>
        <v>-1.4164024572192131E-2</v>
      </c>
      <c r="G15" s="376">
        <f t="shared" si="3"/>
        <v>-1.8851706137875377E-2</v>
      </c>
      <c r="H15" s="116">
        <f t="shared" si="0"/>
        <v>0.9435981443608501</v>
      </c>
      <c r="I15" s="242">
        <f t="shared" si="0"/>
        <v>0.25741523696962149</v>
      </c>
    </row>
    <row r="16" spans="1:9" ht="23" x14ac:dyDescent="0.25">
      <c r="A16" s="115" t="s">
        <v>376</v>
      </c>
      <c r="B16" s="87">
        <v>-690298504185</v>
      </c>
      <c r="C16" s="87">
        <v>-1324261548679</v>
      </c>
      <c r="D16" s="88">
        <v>-1019444279447</v>
      </c>
      <c r="E16" s="370">
        <f t="shared" si="1"/>
        <v>-7.6598975564029451E-3</v>
      </c>
      <c r="F16" s="117">
        <f t="shared" si="2"/>
        <v>-8.8472969454442777E-3</v>
      </c>
      <c r="G16" s="376">
        <f t="shared" si="3"/>
        <v>-7.2091755179099718E-3</v>
      </c>
      <c r="H16" s="116">
        <f t="shared" si="0"/>
        <v>0.91838971206012909</v>
      </c>
      <c r="I16" s="242">
        <f t="shared" si="0"/>
        <v>-0.23017905302473407</v>
      </c>
    </row>
    <row r="17" spans="1:9" ht="23" x14ac:dyDescent="0.25">
      <c r="A17" s="83" t="s">
        <v>377</v>
      </c>
      <c r="B17" s="84">
        <v>15292303808992</v>
      </c>
      <c r="C17" s="84">
        <v>37008443446265</v>
      </c>
      <c r="D17" s="85">
        <v>9794030627309</v>
      </c>
      <c r="E17" s="369">
        <f t="shared" si="1"/>
        <v>0.16969105375154692</v>
      </c>
      <c r="F17" s="367">
        <f t="shared" si="2"/>
        <v>0.24725077080460872</v>
      </c>
      <c r="G17" s="367">
        <f t="shared" si="3"/>
        <v>6.9260171687222927E-2</v>
      </c>
      <c r="H17" s="377">
        <f t="shared" si="0"/>
        <v>1.4200698539943819</v>
      </c>
      <c r="I17" s="335">
        <f t="shared" si="0"/>
        <v>-0.73535686142732271</v>
      </c>
    </row>
    <row r="18" spans="1:9" ht="23" x14ac:dyDescent="0.25">
      <c r="A18" s="118" t="s">
        <v>378</v>
      </c>
      <c r="B18" s="119">
        <v>654081334225</v>
      </c>
      <c r="C18" s="119">
        <v>796666105925</v>
      </c>
      <c r="D18" s="372">
        <v>872024724926</v>
      </c>
      <c r="E18" s="370">
        <f t="shared" si="1"/>
        <v>7.2580137192012851E-3</v>
      </c>
      <c r="F18" s="117">
        <f t="shared" si="2"/>
        <v>5.3224694264665633E-3</v>
      </c>
      <c r="G18" s="376">
        <f t="shared" si="3"/>
        <v>6.1666727889815283E-3</v>
      </c>
      <c r="H18" s="116">
        <f t="shared" si="0"/>
        <v>0.21799241812785275</v>
      </c>
      <c r="I18" s="242">
        <f t="shared" si="0"/>
        <v>9.4592475367709997E-2</v>
      </c>
    </row>
    <row r="19" spans="1:9" ht="23" x14ac:dyDescent="0.25">
      <c r="A19" s="118" t="s">
        <v>379</v>
      </c>
      <c r="B19" s="119">
        <v>-589418351516</v>
      </c>
      <c r="C19" s="119">
        <v>-748331838000</v>
      </c>
      <c r="D19" s="372">
        <v>-743114224951</v>
      </c>
      <c r="E19" s="370">
        <f t="shared" si="1"/>
        <v>-6.5404809123944902E-3</v>
      </c>
      <c r="F19" s="117">
        <f t="shared" si="2"/>
        <v>-4.9995516302051585E-3</v>
      </c>
      <c r="G19" s="376">
        <f t="shared" si="3"/>
        <v>-5.2550600219498419E-3</v>
      </c>
      <c r="H19" s="116">
        <f t="shared" si="0"/>
        <v>0.26961068666299615</v>
      </c>
      <c r="I19" s="242">
        <f t="shared" si="0"/>
        <v>-6.9723253562813132E-3</v>
      </c>
    </row>
    <row r="20" spans="1:9" ht="23" x14ac:dyDescent="0.25">
      <c r="A20" s="83" t="s">
        <v>380</v>
      </c>
      <c r="B20" s="84">
        <v>64662982709</v>
      </c>
      <c r="C20" s="84">
        <v>48334267925</v>
      </c>
      <c r="D20" s="85">
        <v>128910499975</v>
      </c>
      <c r="E20" s="369">
        <f t="shared" si="1"/>
        <v>7.1753280680679477E-4</v>
      </c>
      <c r="F20" s="367">
        <f t="shared" si="2"/>
        <v>3.2291779626140489E-4</v>
      </c>
      <c r="G20" s="367">
        <f t="shared" si="3"/>
        <v>9.1161276703168698E-4</v>
      </c>
      <c r="H20" s="377">
        <f t="shared" si="0"/>
        <v>-0.25252028440264507</v>
      </c>
      <c r="I20" s="335">
        <f t="shared" si="0"/>
        <v>1.6670622212594524</v>
      </c>
    </row>
    <row r="21" spans="1:9" ht="23" x14ac:dyDescent="0.25">
      <c r="A21" s="83" t="s">
        <v>381</v>
      </c>
      <c r="B21" s="84">
        <v>15356966791701</v>
      </c>
      <c r="C21" s="84">
        <v>37056777714190</v>
      </c>
      <c r="D21" s="85">
        <v>9922941127284</v>
      </c>
      <c r="E21" s="369">
        <f t="shared" si="1"/>
        <v>0.17040858655835373</v>
      </c>
      <c r="F21" s="367">
        <f t="shared" si="2"/>
        <v>0.24757368860087012</v>
      </c>
      <c r="G21" s="367">
        <f t="shared" si="3"/>
        <v>7.0171784454254607E-2</v>
      </c>
      <c r="H21" s="377">
        <f t="shared" si="0"/>
        <v>1.413027143759646</v>
      </c>
      <c r="I21" s="335">
        <f t="shared" si="0"/>
        <v>-0.7322233140771911</v>
      </c>
    </row>
    <row r="22" spans="1:9" ht="23" x14ac:dyDescent="0.25">
      <c r="A22" s="118" t="s">
        <v>382</v>
      </c>
      <c r="B22" s="119">
        <v>-1784567843866</v>
      </c>
      <c r="C22" s="119">
        <v>-2855306347167</v>
      </c>
      <c r="D22" s="372">
        <v>-1001020240086</v>
      </c>
      <c r="E22" s="370">
        <f t="shared" si="1"/>
        <v>-1.9802457608688359E-2</v>
      </c>
      <c r="F22" s="117">
        <f t="shared" si="2"/>
        <v>-1.9076098032747218E-2</v>
      </c>
      <c r="G22" s="376">
        <f t="shared" si="3"/>
        <v>-7.078886755512501E-3</v>
      </c>
      <c r="H22" s="116">
        <f t="shared" si="0"/>
        <v>0.59999876551703679</v>
      </c>
      <c r="I22" s="242">
        <f t="shared" si="0"/>
        <v>-0.64941756912381743</v>
      </c>
    </row>
    <row r="23" spans="1:9" ht="23" x14ac:dyDescent="0.25">
      <c r="A23" s="118" t="s">
        <v>383</v>
      </c>
      <c r="B23" s="119">
        <v>-66234890928</v>
      </c>
      <c r="C23" s="119">
        <v>319483564275</v>
      </c>
      <c r="D23" s="372">
        <v>-477491832682</v>
      </c>
      <c r="E23" s="370">
        <f t="shared" si="1"/>
        <v>-7.3497548682509143E-4</v>
      </c>
      <c r="F23" s="117">
        <f t="shared" si="2"/>
        <v>2.1344469037475732E-3</v>
      </c>
      <c r="G23" s="376">
        <f t="shared" si="3"/>
        <v>-3.3766656006352157E-3</v>
      </c>
      <c r="H23" s="116">
        <f t="shared" si="0"/>
        <v>-5.8234934760033275</v>
      </c>
      <c r="I23" s="242">
        <f t="shared" si="0"/>
        <v>-2.4945740127995824</v>
      </c>
    </row>
    <row r="24" spans="1:9" ht="23" x14ac:dyDescent="0.25">
      <c r="A24" s="115" t="s">
        <v>384</v>
      </c>
      <c r="B24" s="87">
        <v>-1850802734794</v>
      </c>
      <c r="C24" s="87">
        <v>-2535822782892</v>
      </c>
      <c r="D24" s="88">
        <v>-1478512072768</v>
      </c>
      <c r="E24" s="370">
        <f t="shared" si="1"/>
        <v>-2.0537433095513449E-2</v>
      </c>
      <c r="F24" s="117">
        <f t="shared" si="2"/>
        <v>-1.6941651128999646E-2</v>
      </c>
      <c r="G24" s="376">
        <f t="shared" si="3"/>
        <v>-1.0455552356147717E-2</v>
      </c>
      <c r="H24" s="116">
        <f t="shared" si="0"/>
        <v>0.37012050783156253</v>
      </c>
      <c r="I24" s="242">
        <f t="shared" si="0"/>
        <v>-0.41694976370477327</v>
      </c>
    </row>
    <row r="25" spans="1:9" ht="23" x14ac:dyDescent="0.25">
      <c r="A25" s="83" t="s">
        <v>385</v>
      </c>
      <c r="B25" s="84">
        <v>13506164056907</v>
      </c>
      <c r="C25" s="84">
        <v>34520954931298</v>
      </c>
      <c r="D25" s="85">
        <v>8444429054516</v>
      </c>
      <c r="E25" s="369">
        <f t="shared" si="1"/>
        <v>0.14987115346284027</v>
      </c>
      <c r="F25" s="367">
        <f t="shared" si="2"/>
        <v>0.23063203747187047</v>
      </c>
      <c r="G25" s="367">
        <f t="shared" si="3"/>
        <v>5.9716232098106892E-2</v>
      </c>
      <c r="H25" s="377">
        <f t="shared" si="0"/>
        <v>1.5559407383063821</v>
      </c>
      <c r="I25" s="335">
        <f t="shared" si="0"/>
        <v>-0.75538251849284843</v>
      </c>
    </row>
    <row r="26" spans="1:9" ht="23" x14ac:dyDescent="0.25">
      <c r="A26" s="115" t="s">
        <v>386</v>
      </c>
      <c r="B26" s="87">
        <v>55864004095</v>
      </c>
      <c r="C26" s="87">
        <v>42811733838</v>
      </c>
      <c r="D26" s="88">
        <v>-39081499515</v>
      </c>
      <c r="E26" s="370">
        <f t="shared" si="1"/>
        <v>6.1989493800712928E-4</v>
      </c>
      <c r="F26" s="117">
        <f t="shared" si="2"/>
        <v>2.8602213995561983E-4</v>
      </c>
      <c r="G26" s="376">
        <f t="shared" si="3"/>
        <v>-2.7637154397450924E-4</v>
      </c>
      <c r="H26" s="116">
        <f t="shared" si="0"/>
        <v>-0.23364365781593194</v>
      </c>
      <c r="I26" s="242">
        <f t="shared" si="0"/>
        <v>-1.9128688798936468</v>
      </c>
    </row>
    <row r="27" spans="1:9" ht="23" x14ac:dyDescent="0.25">
      <c r="A27" s="115" t="s">
        <v>387</v>
      </c>
      <c r="B27" s="87">
        <v>13450300052812</v>
      </c>
      <c r="C27" s="87">
        <v>34478143197460</v>
      </c>
      <c r="D27" s="88">
        <v>8483510554031</v>
      </c>
      <c r="E27" s="370">
        <f t="shared" si="1"/>
        <v>0.14925125852483315</v>
      </c>
      <c r="F27" s="117">
        <f t="shared" si="2"/>
        <v>0.23034601533191487</v>
      </c>
      <c r="G27" s="376">
        <f t="shared" si="3"/>
        <v>5.99926036420814E-2</v>
      </c>
      <c r="H27" s="116">
        <f t="shared" ref="H27:I28" si="4">(C27-B27)/B27</f>
        <v>1.5633735353176597</v>
      </c>
      <c r="I27" s="242">
        <f t="shared" si="4"/>
        <v>-0.75394526017700458</v>
      </c>
    </row>
    <row r="28" spans="1:9" ht="23" x14ac:dyDescent="0.25">
      <c r="A28" s="115" t="s">
        <v>388</v>
      </c>
      <c r="B28" s="87">
        <v>2728</v>
      </c>
      <c r="C28" s="87">
        <v>7166</v>
      </c>
      <c r="D28" s="88">
        <v>1452</v>
      </c>
      <c r="E28" s="370">
        <f t="shared" si="1"/>
        <v>3.0271252809012393E-11</v>
      </c>
      <c r="F28" s="117">
        <f t="shared" si="2"/>
        <v>4.7875534839999903E-11</v>
      </c>
      <c r="G28" s="376">
        <f t="shared" si="3"/>
        <v>1.0268067674756604E-11</v>
      </c>
      <c r="H28" s="116">
        <f t="shared" si="4"/>
        <v>1.6268328445747802</v>
      </c>
      <c r="I28" s="242">
        <f t="shared" si="4"/>
        <v>-0.79737650013954786</v>
      </c>
    </row>
    <row r="29" spans="1:9" ht="24" thickBot="1" x14ac:dyDescent="0.3">
      <c r="A29" s="385" t="s">
        <v>389</v>
      </c>
      <c r="B29" s="380">
        <v>0</v>
      </c>
      <c r="C29" s="380">
        <v>7166</v>
      </c>
      <c r="D29" s="381">
        <v>0</v>
      </c>
      <c r="E29" s="382">
        <f t="shared" si="1"/>
        <v>0</v>
      </c>
      <c r="F29" s="383">
        <f t="shared" si="2"/>
        <v>4.7875534839999903E-11</v>
      </c>
      <c r="G29" s="384">
        <f t="shared" si="3"/>
        <v>0</v>
      </c>
      <c r="H29" s="378"/>
      <c r="I29" s="379"/>
    </row>
  </sheetData>
  <mergeCells count="2">
    <mergeCell ref="E4:G4"/>
    <mergeCell ref="H4:I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05C6-2D28-C445-B23F-FF6824C77B4D}">
  <dimension ref="A1:G77"/>
  <sheetViews>
    <sheetView showGridLines="0" zoomScale="19" zoomScaleNormal="60" workbookViewId="0">
      <selection activeCell="L20" sqref="L20"/>
    </sheetView>
  </sheetViews>
  <sheetFormatPr baseColWidth="10" defaultRowHeight="14" x14ac:dyDescent="0.15"/>
  <cols>
    <col min="1" max="1" width="126.6640625" customWidth="1"/>
    <col min="2" max="4" width="51.5" customWidth="1"/>
    <col min="5" max="5" width="72.5" customWidth="1"/>
    <col min="6" max="8" width="50.5" customWidth="1"/>
  </cols>
  <sheetData>
    <row r="1" spans="1:7" ht="29" x14ac:dyDescent="0.3">
      <c r="A1" s="73" t="s">
        <v>0</v>
      </c>
      <c r="B1" s="74" t="s">
        <v>116</v>
      </c>
      <c r="C1" s="104"/>
      <c r="D1" s="105"/>
    </row>
    <row r="2" spans="1:7" ht="29" x14ac:dyDescent="0.3">
      <c r="A2" s="73" t="s">
        <v>2</v>
      </c>
      <c r="B2" s="77">
        <v>45253.554678425899</v>
      </c>
      <c r="C2" s="105"/>
      <c r="D2" s="105"/>
    </row>
    <row r="3" spans="1:7" ht="23" x14ac:dyDescent="0.25">
      <c r="A3" s="105"/>
      <c r="B3" s="105"/>
      <c r="C3" s="105"/>
      <c r="D3" s="105"/>
    </row>
    <row r="4" spans="1:7" ht="24" thickBot="1" x14ac:dyDescent="0.2">
      <c r="A4" s="120" t="s">
        <v>390</v>
      </c>
      <c r="B4" s="121">
        <v>2020</v>
      </c>
      <c r="C4" s="121">
        <v>2021</v>
      </c>
      <c r="D4" s="122">
        <v>2022</v>
      </c>
    </row>
    <row r="5" spans="1:7" ht="24" thickBot="1" x14ac:dyDescent="0.2">
      <c r="A5" s="521"/>
      <c r="B5" s="522"/>
      <c r="C5" s="522"/>
      <c r="D5" s="523"/>
    </row>
    <row r="6" spans="1:7" ht="23" x14ac:dyDescent="0.25">
      <c r="A6" s="183" t="s">
        <v>391</v>
      </c>
      <c r="B6" s="201"/>
      <c r="C6" s="201"/>
      <c r="D6" s="173"/>
    </row>
    <row r="7" spans="1:7" ht="23" x14ac:dyDescent="0.25">
      <c r="A7" s="184" t="s">
        <v>118</v>
      </c>
      <c r="B7" s="202">
        <v>21932338018863</v>
      </c>
      <c r="C7" s="202">
        <v>44209139034907</v>
      </c>
      <c r="D7" s="174">
        <v>19291327380767</v>
      </c>
      <c r="G7" s="170"/>
    </row>
    <row r="8" spans="1:7" ht="23" x14ac:dyDescent="0.25">
      <c r="A8" s="185" t="s">
        <v>119</v>
      </c>
      <c r="B8" s="202">
        <v>15356966791701</v>
      </c>
      <c r="C8" s="202">
        <v>37056777714190</v>
      </c>
      <c r="D8" s="174">
        <v>9922941127284</v>
      </c>
    </row>
    <row r="9" spans="1:7" ht="23" x14ac:dyDescent="0.25">
      <c r="A9" s="186" t="s">
        <v>120</v>
      </c>
      <c r="B9" s="202">
        <v>4775781721269</v>
      </c>
      <c r="C9" s="202">
        <v>6076516295417</v>
      </c>
      <c r="D9" s="174">
        <v>6772140896950</v>
      </c>
    </row>
    <row r="10" spans="1:7" ht="24" customHeight="1" x14ac:dyDescent="0.25">
      <c r="A10" s="186" t="s">
        <v>121</v>
      </c>
      <c r="B10" s="202">
        <v>18075220852</v>
      </c>
      <c r="C10" s="202">
        <v>5988000000</v>
      </c>
      <c r="D10" s="174">
        <v>0</v>
      </c>
    </row>
    <row r="11" spans="1:7" ht="23" x14ac:dyDescent="0.25">
      <c r="A11" s="185" t="s">
        <v>122</v>
      </c>
      <c r="B11" s="202">
        <v>28314185442</v>
      </c>
      <c r="C11" s="202">
        <v>163177531627</v>
      </c>
      <c r="D11" s="174">
        <v>1010922330886</v>
      </c>
    </row>
    <row r="12" spans="1:7" ht="23" x14ac:dyDescent="0.25">
      <c r="A12" s="185" t="s">
        <v>123</v>
      </c>
      <c r="B12" s="202">
        <v>52078870772</v>
      </c>
      <c r="C12" s="202">
        <v>41938831417</v>
      </c>
      <c r="D12" s="174">
        <v>333983153559</v>
      </c>
    </row>
    <row r="13" spans="1:7" ht="23" x14ac:dyDescent="0.25">
      <c r="A13" s="185" t="s">
        <v>124</v>
      </c>
      <c r="B13" s="202">
        <v>-490559694590</v>
      </c>
      <c r="C13" s="202">
        <v>-1661082595981</v>
      </c>
      <c r="D13" s="174">
        <v>-1832298259730</v>
      </c>
    </row>
    <row r="14" spans="1:7" ht="23" x14ac:dyDescent="0.25">
      <c r="A14" s="185" t="s">
        <v>125</v>
      </c>
      <c r="B14" s="202">
        <v>2191680923417</v>
      </c>
      <c r="C14" s="202">
        <v>2525823258237</v>
      </c>
      <c r="D14" s="174">
        <v>3083638131818</v>
      </c>
    </row>
    <row r="15" spans="1:7" ht="23" x14ac:dyDescent="0.25">
      <c r="A15" s="185" t="s">
        <v>126</v>
      </c>
      <c r="B15" s="202">
        <v>0</v>
      </c>
      <c r="C15" s="202">
        <v>0</v>
      </c>
      <c r="D15" s="174">
        <v>0</v>
      </c>
    </row>
    <row r="16" spans="1:7" ht="23" x14ac:dyDescent="0.25">
      <c r="A16" s="187" t="s">
        <v>392</v>
      </c>
      <c r="B16" s="202">
        <v>-3374026162649</v>
      </c>
      <c r="C16" s="202">
        <v>-3039385771765</v>
      </c>
      <c r="D16" s="174">
        <v>4711117735355</v>
      </c>
    </row>
    <row r="17" spans="1:5" ht="23" x14ac:dyDescent="0.25">
      <c r="A17" s="187" t="s">
        <v>393</v>
      </c>
      <c r="B17" s="202">
        <v>-7061024985401</v>
      </c>
      <c r="C17" s="202">
        <v>-16949192989135</v>
      </c>
      <c r="D17" s="174">
        <v>8023194725141</v>
      </c>
    </row>
    <row r="18" spans="1:5" ht="23" x14ac:dyDescent="0.25">
      <c r="A18" s="187" t="s">
        <v>394</v>
      </c>
      <c r="B18" s="202">
        <v>4251742399296</v>
      </c>
      <c r="C18" s="202">
        <v>9250111116260</v>
      </c>
      <c r="D18" s="174">
        <v>-14666409808394</v>
      </c>
    </row>
    <row r="19" spans="1:5" ht="23" x14ac:dyDescent="0.25">
      <c r="A19" s="187" t="s">
        <v>395</v>
      </c>
      <c r="B19" s="202">
        <v>-89041139127</v>
      </c>
      <c r="C19" s="202">
        <v>-813988306614</v>
      </c>
      <c r="D19" s="174">
        <v>2624176162</v>
      </c>
    </row>
    <row r="20" spans="1:5" ht="23" x14ac:dyDescent="0.25">
      <c r="A20" s="187" t="s">
        <v>396</v>
      </c>
      <c r="B20" s="202">
        <v>0</v>
      </c>
      <c r="C20" s="202">
        <v>0</v>
      </c>
      <c r="D20" s="174">
        <v>0</v>
      </c>
    </row>
    <row r="21" spans="1:5" ht="23" x14ac:dyDescent="0.25">
      <c r="A21" s="187" t="s">
        <v>132</v>
      </c>
      <c r="B21" s="202">
        <v>-2027572222288</v>
      </c>
      <c r="C21" s="202">
        <v>-2567276431082</v>
      </c>
      <c r="D21" s="174">
        <v>-3061103919849</v>
      </c>
    </row>
    <row r="22" spans="1:5" ht="23" x14ac:dyDescent="0.25">
      <c r="A22" s="187" t="s">
        <v>133</v>
      </c>
      <c r="B22" s="202">
        <v>-1716802619015</v>
      </c>
      <c r="C22" s="202">
        <v>-2743083962430</v>
      </c>
      <c r="D22" s="174">
        <v>-1246302085368</v>
      </c>
    </row>
    <row r="23" spans="1:5" ht="23" x14ac:dyDescent="0.25">
      <c r="A23" s="187" t="s">
        <v>397</v>
      </c>
      <c r="B23" s="202">
        <v>0</v>
      </c>
      <c r="C23" s="202">
        <v>0</v>
      </c>
      <c r="D23" s="174">
        <v>0</v>
      </c>
    </row>
    <row r="24" spans="1:5" ht="23" x14ac:dyDescent="0.25">
      <c r="A24" s="187" t="s">
        <v>398</v>
      </c>
      <c r="B24" s="202">
        <v>-328363376705</v>
      </c>
      <c r="C24" s="202">
        <v>-625409387033</v>
      </c>
      <c r="D24" s="174">
        <v>-776811527307</v>
      </c>
    </row>
    <row r="25" spans="1:5" ht="23" x14ac:dyDescent="0.25">
      <c r="A25" s="188" t="s">
        <v>399</v>
      </c>
      <c r="B25" s="203">
        <f>SUM(B8:B24)</f>
        <v>11587249912974</v>
      </c>
      <c r="C25" s="203">
        <f t="shared" ref="C25:D25" si="0">SUM(C8:C24)</f>
        <v>26720913303108</v>
      </c>
      <c r="D25" s="175">
        <f t="shared" si="0"/>
        <v>12277636676507</v>
      </c>
      <c r="E25" s="171"/>
    </row>
    <row r="26" spans="1:5" ht="23" x14ac:dyDescent="0.25">
      <c r="A26" s="524"/>
      <c r="B26" s="525"/>
      <c r="C26" s="525"/>
      <c r="D26" s="526"/>
    </row>
    <row r="27" spans="1:5" ht="23" x14ac:dyDescent="0.25">
      <c r="A27" s="189" t="s">
        <v>400</v>
      </c>
      <c r="B27" s="205"/>
      <c r="C27" s="205"/>
      <c r="D27" s="177"/>
    </row>
    <row r="28" spans="1:5" ht="23" x14ac:dyDescent="0.25">
      <c r="A28" s="187" t="s">
        <v>137</v>
      </c>
      <c r="B28" s="204">
        <v>-11915645555048</v>
      </c>
      <c r="C28" s="204">
        <v>-11621470092371</v>
      </c>
      <c r="D28" s="218">
        <v>-17887504647036</v>
      </c>
    </row>
    <row r="29" spans="1:5" ht="23" x14ac:dyDescent="0.25">
      <c r="A29" s="187" t="s">
        <v>138</v>
      </c>
      <c r="B29" s="204">
        <v>34418355881</v>
      </c>
      <c r="C29" s="204">
        <v>49348550223</v>
      </c>
      <c r="D29" s="218">
        <v>21712492859</v>
      </c>
    </row>
    <row r="30" spans="1:5" ht="23" x14ac:dyDescent="0.25">
      <c r="A30" s="187" t="s">
        <v>139</v>
      </c>
      <c r="B30" s="204">
        <v>-11971173251594</v>
      </c>
      <c r="C30" s="204">
        <v>-41061488333969</v>
      </c>
      <c r="D30" s="218">
        <v>-55505793882381</v>
      </c>
    </row>
    <row r="31" spans="1:5" ht="23" x14ac:dyDescent="0.25">
      <c r="A31" s="187" t="s">
        <v>140</v>
      </c>
      <c r="B31" s="204">
        <v>5003441426581</v>
      </c>
      <c r="C31" s="204">
        <v>31076412522291</v>
      </c>
      <c r="D31" s="218">
        <v>47412529370171</v>
      </c>
    </row>
    <row r="32" spans="1:5" ht="23" x14ac:dyDescent="0.25">
      <c r="A32" s="187" t="s">
        <v>141</v>
      </c>
      <c r="B32" s="204">
        <v>0</v>
      </c>
      <c r="C32" s="204">
        <v>0</v>
      </c>
      <c r="D32" s="218">
        <v>-371644175956</v>
      </c>
    </row>
    <row r="33" spans="1:4" ht="23" x14ac:dyDescent="0.25">
      <c r="A33" s="187" t="s">
        <v>142</v>
      </c>
      <c r="B33" s="204">
        <v>0</v>
      </c>
      <c r="C33" s="204">
        <v>833829028281</v>
      </c>
      <c r="D33" s="218">
        <v>6672170842</v>
      </c>
    </row>
    <row r="34" spans="1:4" ht="23" x14ac:dyDescent="0.25">
      <c r="A34" s="187" t="s">
        <v>143</v>
      </c>
      <c r="B34" s="204">
        <v>353560779277</v>
      </c>
      <c r="C34" s="204">
        <v>1053915562539</v>
      </c>
      <c r="D34" s="218">
        <v>1697815926948</v>
      </c>
    </row>
    <row r="35" spans="1:4" ht="23" x14ac:dyDescent="0.25">
      <c r="A35" s="188" t="s">
        <v>401</v>
      </c>
      <c r="B35" s="203">
        <f>SUM(B28:B34)</f>
        <v>-18495398244903</v>
      </c>
      <c r="C35" s="203">
        <f>SUM(C28:C34)</f>
        <v>-19669452763006</v>
      </c>
      <c r="D35" s="176">
        <f>SUM(D28:D34)</f>
        <v>-24626212744553</v>
      </c>
    </row>
    <row r="36" spans="1:4" ht="23" x14ac:dyDescent="0.25">
      <c r="A36" s="524"/>
      <c r="B36" s="525"/>
      <c r="C36" s="525"/>
      <c r="D36" s="527"/>
    </row>
    <row r="37" spans="1:4" ht="23" x14ac:dyDescent="0.25">
      <c r="A37" s="189" t="s">
        <v>402</v>
      </c>
      <c r="B37" s="205"/>
      <c r="C37" s="215"/>
      <c r="D37" s="177"/>
    </row>
    <row r="38" spans="1:4" ht="23" x14ac:dyDescent="0.25">
      <c r="A38" s="187" t="s">
        <v>145</v>
      </c>
      <c r="B38" s="202">
        <v>2700000000</v>
      </c>
      <c r="C38" s="216">
        <v>10630000000</v>
      </c>
      <c r="D38" s="174">
        <v>4075000000</v>
      </c>
    </row>
    <row r="39" spans="1:4" ht="23" x14ac:dyDescent="0.25">
      <c r="A39" s="187" t="s">
        <v>403</v>
      </c>
      <c r="B39" s="202">
        <v>83074115401537</v>
      </c>
      <c r="C39" s="216">
        <v>125075421125272</v>
      </c>
      <c r="D39" s="174">
        <v>135250023212840</v>
      </c>
    </row>
    <row r="40" spans="1:4" ht="23" x14ac:dyDescent="0.25">
      <c r="A40" s="187" t="s">
        <v>147</v>
      </c>
      <c r="B40" s="202">
        <v>-65603640057528</v>
      </c>
      <c r="C40" s="216">
        <v>-121652859327347</v>
      </c>
      <c r="D40" s="174">
        <v>-134770628364289</v>
      </c>
    </row>
    <row r="41" spans="1:4" ht="23" x14ac:dyDescent="0.25">
      <c r="A41" s="187" t="s">
        <v>404</v>
      </c>
      <c r="B41" s="202">
        <v>-1419473748756</v>
      </c>
      <c r="C41" s="216">
        <v>-1693086647969</v>
      </c>
      <c r="D41" s="174">
        <v>-2261459543241</v>
      </c>
    </row>
    <row r="42" spans="1:4" ht="23" x14ac:dyDescent="0.25">
      <c r="A42" s="188" t="s">
        <v>144</v>
      </c>
      <c r="B42" s="203">
        <f>SUM(B38:B41)</f>
        <v>16053701595253</v>
      </c>
      <c r="C42" s="217">
        <f t="shared" ref="C42:D42" si="1">SUM(C38:C41)</f>
        <v>1740105149956</v>
      </c>
      <c r="D42" s="176">
        <f t="shared" si="1"/>
        <v>-1777989694690</v>
      </c>
    </row>
    <row r="43" spans="1:4" ht="23" x14ac:dyDescent="0.25">
      <c r="A43" s="524"/>
      <c r="B43" s="525"/>
      <c r="C43" s="525"/>
      <c r="D43" s="526"/>
    </row>
    <row r="44" spans="1:4" ht="23" x14ac:dyDescent="0.25">
      <c r="A44" s="189" t="s">
        <v>405</v>
      </c>
      <c r="B44" s="205"/>
      <c r="C44" s="205"/>
      <c r="D44" s="177"/>
    </row>
    <row r="45" spans="1:4" ht="23" x14ac:dyDescent="0.25">
      <c r="A45" s="196" t="s">
        <v>149</v>
      </c>
      <c r="B45" s="206">
        <v>9145553263324</v>
      </c>
      <c r="C45" s="206">
        <v>8791565690058</v>
      </c>
      <c r="D45" s="178">
        <v>-14126565762736</v>
      </c>
    </row>
    <row r="46" spans="1:4" ht="23" x14ac:dyDescent="0.25">
      <c r="A46" s="196" t="s">
        <v>406</v>
      </c>
      <c r="B46" s="206">
        <v>4544900252204</v>
      </c>
      <c r="C46" s="206">
        <v>13696099298228</v>
      </c>
      <c r="D46" s="178">
        <v>22471375562130</v>
      </c>
    </row>
    <row r="47" spans="1:4" ht="23" x14ac:dyDescent="0.25">
      <c r="A47" s="196" t="s">
        <v>407</v>
      </c>
      <c r="B47" s="206">
        <v>5645782700</v>
      </c>
      <c r="C47" s="206">
        <v>-16289426156</v>
      </c>
      <c r="D47" s="178">
        <v>-20220879167</v>
      </c>
    </row>
    <row r="48" spans="1:4" ht="24" thickBot="1" x14ac:dyDescent="0.3">
      <c r="A48" s="219" t="s">
        <v>408</v>
      </c>
      <c r="B48" s="207">
        <v>13696099298228</v>
      </c>
      <c r="C48" s="207">
        <v>22471375562130</v>
      </c>
      <c r="D48" s="179">
        <v>8324588920227</v>
      </c>
    </row>
    <row r="49" spans="1:5" x14ac:dyDescent="0.15">
      <c r="A49" s="515"/>
      <c r="B49" s="517" t="s">
        <v>409</v>
      </c>
      <c r="C49" s="513"/>
      <c r="D49" s="514"/>
    </row>
    <row r="50" spans="1:5" x14ac:dyDescent="0.15">
      <c r="A50" s="515"/>
      <c r="B50" s="518"/>
      <c r="C50" s="519"/>
      <c r="D50" s="520"/>
      <c r="E50" s="171"/>
    </row>
    <row r="51" spans="1:5" ht="24" x14ac:dyDescent="0.15">
      <c r="A51" s="516"/>
      <c r="B51" s="208" t="s">
        <v>4</v>
      </c>
      <c r="C51" s="212" t="s">
        <v>5</v>
      </c>
      <c r="D51" s="180" t="s">
        <v>6</v>
      </c>
      <c r="E51" s="171"/>
    </row>
    <row r="52" spans="1:5" ht="23" x14ac:dyDescent="0.15">
      <c r="A52" s="191" t="s">
        <v>410</v>
      </c>
      <c r="B52" s="209">
        <f>B25</f>
        <v>11587249912974</v>
      </c>
      <c r="C52" s="214">
        <f t="shared" ref="C52:D52" si="2">C25</f>
        <v>26720913303108</v>
      </c>
      <c r="D52" s="181">
        <f t="shared" si="2"/>
        <v>12277636676507</v>
      </c>
      <c r="E52" s="171"/>
    </row>
    <row r="53" spans="1:5" ht="24" x14ac:dyDescent="0.15">
      <c r="A53" s="192" t="s">
        <v>411</v>
      </c>
      <c r="B53" s="210">
        <f>B35</f>
        <v>-18495398244903</v>
      </c>
      <c r="C53" s="214">
        <f t="shared" ref="C53:D53" si="3">C35</f>
        <v>-19669452763006</v>
      </c>
      <c r="D53" s="181">
        <f t="shared" si="3"/>
        <v>-24626212744553</v>
      </c>
      <c r="E53" s="171"/>
    </row>
    <row r="54" spans="1:5" ht="24" x14ac:dyDescent="0.15">
      <c r="A54" s="192" t="s">
        <v>412</v>
      </c>
      <c r="B54" s="210">
        <f>B42</f>
        <v>16053701595253</v>
      </c>
      <c r="C54" s="214">
        <f t="shared" ref="C54:D54" si="4">C42</f>
        <v>1740105149956</v>
      </c>
      <c r="D54" s="181">
        <f t="shared" si="4"/>
        <v>-1777989694690</v>
      </c>
      <c r="E54" s="171"/>
    </row>
    <row r="55" spans="1:5" ht="25" thickBot="1" x14ac:dyDescent="0.2">
      <c r="A55" s="193" t="s">
        <v>413</v>
      </c>
      <c r="B55" s="211">
        <f>SUM(B52:B54)</f>
        <v>9145553263324</v>
      </c>
      <c r="C55" s="190">
        <f t="shared" ref="C55:D55" si="5">SUM(C52:C54)</f>
        <v>8791565690058</v>
      </c>
      <c r="D55" s="123">
        <f t="shared" si="5"/>
        <v>-14126565762736</v>
      </c>
    </row>
    <row r="56" spans="1:5" ht="23" x14ac:dyDescent="0.15">
      <c r="A56" s="194"/>
      <c r="B56" s="512" t="s">
        <v>438</v>
      </c>
      <c r="C56" s="513"/>
      <c r="D56" s="514"/>
    </row>
    <row r="57" spans="1:5" ht="24" x14ac:dyDescent="0.15">
      <c r="A57" s="195"/>
      <c r="B57" s="212" t="s">
        <v>4</v>
      </c>
      <c r="C57" s="212" t="s">
        <v>5</v>
      </c>
      <c r="D57" s="182" t="s">
        <v>6</v>
      </c>
    </row>
    <row r="58" spans="1:5" ht="31" customHeight="1" x14ac:dyDescent="0.25">
      <c r="A58" s="188" t="s">
        <v>444</v>
      </c>
      <c r="B58" s="213">
        <f>SUM(B59:B61)</f>
        <v>20047934828021</v>
      </c>
      <c r="C58" s="213">
        <f>SUM(C59:C61)</f>
        <v>41204773273610</v>
      </c>
      <c r="D58" s="172">
        <f>SUM(D59:D61)</f>
        <v>18371804696985</v>
      </c>
    </row>
    <row r="59" spans="1:5" ht="31" customHeight="1" x14ac:dyDescent="0.25">
      <c r="A59" s="196" t="s">
        <v>241</v>
      </c>
      <c r="B59" s="202">
        <f>IS!B10+IS!B15+IS!B16</f>
        <v>17122955841546</v>
      </c>
      <c r="C59" s="202">
        <f>IS!C10+IS!C15+IS!C16</f>
        <v>37664079761085</v>
      </c>
      <c r="D59" s="202">
        <f>IS!D10+IS!D15+IS!D16</f>
        <v>13078175872803</v>
      </c>
    </row>
    <row r="60" spans="1:5" ht="26" customHeight="1" x14ac:dyDescent="0.25">
      <c r="A60" s="196" t="s">
        <v>439</v>
      </c>
      <c r="B60" s="202">
        <f>IS!B24</f>
        <v>-1850802734794</v>
      </c>
      <c r="C60" s="202">
        <f>IS!C24</f>
        <v>-2535822782892</v>
      </c>
      <c r="D60" s="174">
        <f>IS!D24</f>
        <v>-1478512072768</v>
      </c>
    </row>
    <row r="61" spans="1:5" ht="27" customHeight="1" x14ac:dyDescent="0.25">
      <c r="A61" s="196" t="s">
        <v>440</v>
      </c>
      <c r="B61" s="202">
        <f>B9</f>
        <v>4775781721269</v>
      </c>
      <c r="C61" s="202">
        <f>C9</f>
        <v>6076516295417</v>
      </c>
      <c r="D61" s="174">
        <f>D9</f>
        <v>6772140896950</v>
      </c>
    </row>
    <row r="62" spans="1:5" ht="27" customHeight="1" x14ac:dyDescent="0.25">
      <c r="A62" s="188" t="s">
        <v>445</v>
      </c>
      <c r="B62" s="203">
        <f>B66+B67</f>
        <v>53615406890288</v>
      </c>
      <c r="C62" s="203">
        <f t="shared" ref="C62:D62" si="6">C66+C67</f>
        <v>22559221391189</v>
      </c>
      <c r="D62" s="176">
        <f t="shared" si="6"/>
        <v>726922301558</v>
      </c>
    </row>
    <row r="63" spans="1:5" ht="27" customHeight="1" x14ac:dyDescent="0.25">
      <c r="A63" s="197" t="s">
        <v>244</v>
      </c>
      <c r="B63" s="202">
        <f>BS!B6-BS!B11</f>
        <v>48620265521630</v>
      </c>
      <c r="C63" s="202">
        <f>BS!C6-BS!C11</f>
        <v>75918707032226</v>
      </c>
      <c r="D63" s="174">
        <f>BS!D6-BS!D11</f>
        <v>54246462049102</v>
      </c>
    </row>
    <row r="64" spans="1:5" ht="27" customHeight="1" x14ac:dyDescent="0.25">
      <c r="A64" s="197" t="s">
        <v>245</v>
      </c>
      <c r="B64" s="202">
        <f>BS!B77-BS!B87</f>
        <v>15176751775394</v>
      </c>
      <c r="C64" s="202">
        <f>BS!C77-BS!C87</f>
        <v>29711672794085</v>
      </c>
      <c r="D64" s="174">
        <f>BS!D77-BS!D87</f>
        <v>15636720280214</v>
      </c>
    </row>
    <row r="65" spans="1:4" ht="27" customHeight="1" x14ac:dyDescent="0.25">
      <c r="A65" s="196" t="s">
        <v>441</v>
      </c>
      <c r="B65" s="202">
        <f>B63-B64</f>
        <v>33443513746236</v>
      </c>
      <c r="C65" s="202">
        <f t="shared" ref="C65:D65" si="7">C63-C64</f>
        <v>46207034238141</v>
      </c>
      <c r="D65" s="174">
        <f t="shared" si="7"/>
        <v>38609741768888</v>
      </c>
    </row>
    <row r="66" spans="1:4" ht="27" customHeight="1" x14ac:dyDescent="0.25">
      <c r="A66" s="198" t="s">
        <v>442</v>
      </c>
      <c r="B66" s="202">
        <f>B65-18916051839394</f>
        <v>14527461906842</v>
      </c>
      <c r="C66" s="202">
        <f>C65-B65</f>
        <v>12763520491905</v>
      </c>
      <c r="D66" s="174">
        <f>D65-C65</f>
        <v>-7597292469253</v>
      </c>
    </row>
    <row r="67" spans="1:4" ht="27" customHeight="1" x14ac:dyDescent="0.25">
      <c r="A67" s="199" t="s">
        <v>446</v>
      </c>
      <c r="B67" s="202">
        <f>34312163262177+B61</f>
        <v>39087944983446</v>
      </c>
      <c r="C67" s="202">
        <f>BS!C44-BS!B44+C61</f>
        <v>9795700899284</v>
      </c>
      <c r="D67" s="174">
        <f>BS!D44-BS!C44+D61</f>
        <v>8324214770811</v>
      </c>
    </row>
    <row r="68" spans="1:4" ht="27" customHeight="1" thickBot="1" x14ac:dyDescent="0.3">
      <c r="A68" s="200" t="s">
        <v>443</v>
      </c>
      <c r="B68" s="221">
        <f>B58-B62</f>
        <v>-33567472062267</v>
      </c>
      <c r="C68" s="223">
        <f>C58-C62</f>
        <v>18645551882421</v>
      </c>
      <c r="D68" s="222">
        <f>D58-D62</f>
        <v>17644882395427</v>
      </c>
    </row>
    <row r="69" spans="1:4" ht="27" customHeight="1" x14ac:dyDescent="0.15">
      <c r="B69" s="512" t="s">
        <v>483</v>
      </c>
      <c r="C69" s="513"/>
      <c r="D69" s="514"/>
    </row>
    <row r="70" spans="1:4" ht="27" customHeight="1" x14ac:dyDescent="0.25">
      <c r="A70" s="197" t="s">
        <v>484</v>
      </c>
      <c r="B70" s="261">
        <v>23109</v>
      </c>
      <c r="C70" s="261">
        <v>35116</v>
      </c>
      <c r="D70" s="261">
        <v>18000</v>
      </c>
    </row>
    <row r="71" spans="1:4" ht="23" x14ac:dyDescent="0.25">
      <c r="A71" s="197" t="s">
        <v>486</v>
      </c>
      <c r="B71" s="261">
        <v>17825.8222573159</v>
      </c>
      <c r="C71" s="261">
        <v>20260.8885105226</v>
      </c>
      <c r="D71" s="262">
        <v>16510.905547124101</v>
      </c>
    </row>
    <row r="72" spans="1:4" ht="23" x14ac:dyDescent="0.25">
      <c r="A72" s="196" t="s">
        <v>485</v>
      </c>
      <c r="B72" s="261">
        <v>3313282659</v>
      </c>
      <c r="C72" s="261">
        <v>4472922706</v>
      </c>
      <c r="D72" s="262">
        <v>5814785700</v>
      </c>
    </row>
    <row r="73" spans="1:4" ht="24" thickBot="1" x14ac:dyDescent="0.3">
      <c r="A73" s="200" t="s">
        <v>482</v>
      </c>
      <c r="B73" s="221">
        <f>B70*B72-B71*B72</f>
        <v>17504661199249.992</v>
      </c>
      <c r="C73" s="223">
        <f t="shared" ref="C73:D73" si="8">C70*C72-C71*C72</f>
        <v>66445765481444.938</v>
      </c>
      <c r="D73" s="222">
        <f t="shared" si="8"/>
        <v>8658765130532.1094</v>
      </c>
    </row>
    <row r="74" spans="1:4" ht="23" x14ac:dyDescent="0.15">
      <c r="B74" s="512" t="s">
        <v>487</v>
      </c>
      <c r="C74" s="513"/>
      <c r="D74" s="514"/>
    </row>
    <row r="75" spans="1:4" ht="23" x14ac:dyDescent="0.25">
      <c r="A75" s="197" t="s">
        <v>488</v>
      </c>
      <c r="B75" s="202">
        <f>B59+B60</f>
        <v>15272153106752</v>
      </c>
      <c r="C75" s="202">
        <f t="shared" ref="C75:D75" si="9">C59+C60</f>
        <v>35128256978193</v>
      </c>
      <c r="D75" s="202">
        <f t="shared" si="9"/>
        <v>11599663800035</v>
      </c>
    </row>
    <row r="76" spans="1:4" ht="19" customHeight="1" x14ac:dyDescent="0.25">
      <c r="A76" s="197" t="s">
        <v>489</v>
      </c>
      <c r="B76" s="202">
        <f>BS!$B$87+BS!$B$100+BS!$B$108</f>
        <v>113361499529727</v>
      </c>
      <c r="C76" s="202">
        <f>BS!$B$87+BS!$B$100+BS!$B$108</f>
        <v>113361499529727</v>
      </c>
      <c r="D76" s="202">
        <f>BS!$B$87+BS!$B$100+BS!$B$108</f>
        <v>113361499529727</v>
      </c>
    </row>
    <row r="77" spans="1:4" ht="25" customHeight="1" thickBot="1" x14ac:dyDescent="0.2">
      <c r="A77" s="332" t="s">
        <v>490</v>
      </c>
      <c r="B77" s="221">
        <f>B75-B76*10%</f>
        <v>3936003153779.2988</v>
      </c>
      <c r="C77" s="223">
        <f t="shared" ref="C77:D77" si="10">C75-C76*10%</f>
        <v>23792107025220.297</v>
      </c>
      <c r="D77" s="222">
        <f t="shared" si="10"/>
        <v>263513847062.29883</v>
      </c>
    </row>
  </sheetData>
  <mergeCells count="9">
    <mergeCell ref="B74:D74"/>
    <mergeCell ref="B56:D56"/>
    <mergeCell ref="A49:A51"/>
    <mergeCell ref="B49:D50"/>
    <mergeCell ref="A5:D5"/>
    <mergeCell ref="A26:D26"/>
    <mergeCell ref="A36:D36"/>
    <mergeCell ref="A43:D43"/>
    <mergeCell ref="B69:D69"/>
  </mergeCells>
  <pageMargins left="0.7" right="0.7" top="0.75" bottom="0.75" header="0.3" footer="0.3"/>
  <ignoredErrors>
    <ignoredError sqref="B25:D25" formulaRange="1"/>
  </ignoredErrors>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2971C-50CC-974B-B0C9-18AB28156445}">
  <dimension ref="A1:J28"/>
  <sheetViews>
    <sheetView showGridLines="0" zoomScale="50" zoomScaleNormal="110" workbookViewId="0">
      <selection activeCell="G46" sqref="G46"/>
    </sheetView>
  </sheetViews>
  <sheetFormatPr baseColWidth="10" defaultRowHeight="14" x14ac:dyDescent="0.15"/>
  <cols>
    <col min="1" max="1" width="48.33203125" customWidth="1"/>
    <col min="2" max="2" width="22.5" customWidth="1"/>
    <col min="3" max="3" width="22.6640625" customWidth="1"/>
    <col min="4" max="4" width="21.83203125" customWidth="1"/>
    <col min="5" max="6" width="16.83203125" customWidth="1"/>
    <col min="7" max="7" width="39.83203125" customWidth="1"/>
    <col min="8" max="8" width="17.83203125" customWidth="1"/>
    <col min="9" max="9" width="16.1640625" customWidth="1"/>
    <col min="10" max="10" width="38.1640625" customWidth="1"/>
    <col min="11" max="12" width="30.1640625" customWidth="1"/>
  </cols>
  <sheetData>
    <row r="1" spans="1:9" ht="24" x14ac:dyDescent="0.25">
      <c r="A1" s="126" t="s">
        <v>0</v>
      </c>
      <c r="B1" s="127" t="s">
        <v>432</v>
      </c>
    </row>
    <row r="2" spans="1:9" ht="24" x14ac:dyDescent="0.25">
      <c r="A2" s="128" t="s">
        <v>2</v>
      </c>
      <c r="B2" s="129">
        <v>45277</v>
      </c>
    </row>
    <row r="3" spans="1:9" ht="23" x14ac:dyDescent="0.25">
      <c r="A3" s="131"/>
      <c r="B3" s="130"/>
    </row>
    <row r="4" spans="1:9" ht="23" x14ac:dyDescent="0.25">
      <c r="A4" s="243" t="s">
        <v>433</v>
      </c>
      <c r="B4" s="125" t="s">
        <v>4</v>
      </c>
      <c r="C4" s="125" t="s">
        <v>5</v>
      </c>
      <c r="D4" s="125" t="s">
        <v>6</v>
      </c>
    </row>
    <row r="5" spans="1:9" ht="23" x14ac:dyDescent="0.25">
      <c r="A5" s="245" t="s">
        <v>434</v>
      </c>
      <c r="B5" s="246"/>
      <c r="C5" s="246"/>
      <c r="D5" s="246"/>
    </row>
    <row r="6" spans="1:9" ht="31" customHeight="1" x14ac:dyDescent="0.25">
      <c r="A6" s="244" t="s">
        <v>414</v>
      </c>
      <c r="B6" s="134">
        <f>BS!B6/BS!B77</f>
        <v>1.0918137717140368</v>
      </c>
      <c r="C6" s="134">
        <f>BS!C6/BS!C77</f>
        <v>1.2817279677185263</v>
      </c>
      <c r="D6" s="134">
        <f>BS!D6/BS!D77</f>
        <v>1.2906019798379491</v>
      </c>
    </row>
    <row r="7" spans="1:9" ht="31" customHeight="1" x14ac:dyDescent="0.25">
      <c r="A7" s="247" t="s">
        <v>415</v>
      </c>
      <c r="B7" s="136">
        <v>0.3813527048</v>
      </c>
      <c r="C7" s="248">
        <v>0.41021422540000002</v>
      </c>
      <c r="D7" s="249">
        <v>0.29201478250000001</v>
      </c>
    </row>
    <row r="8" spans="1:9" ht="31" customHeight="1" x14ac:dyDescent="0.25">
      <c r="A8" s="251" t="s">
        <v>478</v>
      </c>
      <c r="B8" s="252"/>
      <c r="C8" s="252"/>
      <c r="D8" s="252"/>
    </row>
    <row r="9" spans="1:9" ht="31" customHeight="1" x14ac:dyDescent="0.25">
      <c r="A9" s="158" t="s">
        <v>416</v>
      </c>
      <c r="B9" s="235">
        <f>IS!B8/BS!B24</f>
        <v>3.4282768240660317</v>
      </c>
      <c r="C9" s="250">
        <f>IS!C8/BS!C24</f>
        <v>3.5524288061977001</v>
      </c>
      <c r="D9" s="234">
        <f>IS!D8/BS!D24</f>
        <v>4.0998758800938484</v>
      </c>
    </row>
    <row r="10" spans="1:9" ht="31" customHeight="1" x14ac:dyDescent="0.25">
      <c r="A10" s="157" t="s">
        <v>417</v>
      </c>
      <c r="B10" s="138">
        <v>13.47</v>
      </c>
      <c r="C10" s="235">
        <v>10.88</v>
      </c>
      <c r="D10" s="138">
        <v>10.24</v>
      </c>
    </row>
    <row r="11" spans="1:9" ht="31" customHeight="1" x14ac:dyDescent="0.25">
      <c r="A11" s="158" t="s">
        <v>418</v>
      </c>
      <c r="B11" s="135">
        <f>IS!B8/BS!B72</f>
        <v>0.68525222803262553</v>
      </c>
      <c r="C11" s="135">
        <f>IS!C8/BS!C72</f>
        <v>0.8397822846695937</v>
      </c>
      <c r="D11" s="135">
        <f>IS!D8/BS!D72</f>
        <v>0.83018078008022844</v>
      </c>
    </row>
    <row r="12" spans="1:9" ht="31" customHeight="1" x14ac:dyDescent="0.25">
      <c r="A12" s="159" t="s">
        <v>419</v>
      </c>
      <c r="B12" s="140">
        <f>IS!B8/BS!B44</f>
        <v>1.3745610971837958</v>
      </c>
      <c r="C12" s="140">
        <f>IS!C8/BS!C44</f>
        <v>2.1604788008494435</v>
      </c>
      <c r="D12" s="140">
        <f>IS!D8/BS!D44</f>
        <v>1.9963779995117352</v>
      </c>
    </row>
    <row r="13" spans="1:9" ht="31" customHeight="1" x14ac:dyDescent="0.25">
      <c r="A13" s="162" t="s">
        <v>435</v>
      </c>
      <c r="B13" s="161"/>
      <c r="C13" s="161"/>
      <c r="D13" s="161"/>
    </row>
    <row r="14" spans="1:9" ht="31" customHeight="1" x14ac:dyDescent="0.25">
      <c r="A14" s="153" t="s">
        <v>420</v>
      </c>
      <c r="B14" s="133">
        <v>1.22</v>
      </c>
      <c r="C14" s="133">
        <v>0.96</v>
      </c>
      <c r="D14" s="133">
        <v>0.77</v>
      </c>
    </row>
    <row r="15" spans="1:9" ht="31" customHeight="1" x14ac:dyDescent="0.25">
      <c r="A15" s="154" t="s">
        <v>421</v>
      </c>
      <c r="B15" s="141">
        <v>9.9432551519903249</v>
      </c>
      <c r="C15" s="141">
        <v>16.534579699793589</v>
      </c>
      <c r="D15" s="141">
        <v>10.97204941944333</v>
      </c>
      <c r="E15" s="124"/>
      <c r="F15" s="531" t="s">
        <v>492</v>
      </c>
      <c r="G15" s="532"/>
      <c r="H15" s="532"/>
      <c r="I15" s="532"/>
    </row>
    <row r="16" spans="1:9" ht="33" customHeight="1" x14ac:dyDescent="0.25">
      <c r="A16" s="155" t="s">
        <v>467</v>
      </c>
      <c r="B16" s="142">
        <f>BS!B75/BS!B133</f>
        <v>0.54969857502263153</v>
      </c>
      <c r="C16" s="142">
        <f>BS!C75/BS!C133</f>
        <v>0.49067298192861442</v>
      </c>
      <c r="D16" s="142">
        <f>BS!D75/BS!D133</f>
        <v>0.43574340869524592</v>
      </c>
      <c r="F16" s="243" t="s">
        <v>182</v>
      </c>
      <c r="G16" s="263" t="s">
        <v>494</v>
      </c>
      <c r="H16" s="265" t="s">
        <v>477</v>
      </c>
      <c r="I16" s="265" t="s">
        <v>493</v>
      </c>
    </row>
    <row r="17" spans="1:10" ht="33" customHeight="1" x14ac:dyDescent="0.25">
      <c r="A17" s="162" t="s">
        <v>436</v>
      </c>
      <c r="B17" s="163"/>
      <c r="C17" s="163"/>
      <c r="D17" s="164"/>
      <c r="F17" s="528">
        <v>2020</v>
      </c>
      <c r="G17" s="325" t="s">
        <v>495</v>
      </c>
      <c r="H17" s="322">
        <f>B22</f>
        <v>0.22806843623333498</v>
      </c>
      <c r="I17" s="264">
        <v>0.21906932109999999</v>
      </c>
    </row>
    <row r="18" spans="1:10" ht="31" customHeight="1" x14ac:dyDescent="0.25">
      <c r="A18" s="151" t="s">
        <v>422</v>
      </c>
      <c r="B18" s="143">
        <f>IS!B10/IS!B8</f>
        <v>0.20976879536760712</v>
      </c>
      <c r="C18" s="143">
        <f>IS!C10/IS!C8</f>
        <v>0.27464235177417562</v>
      </c>
      <c r="D18" s="143">
        <f>IS!D10/IS!D8</f>
        <v>0.11854545116288605</v>
      </c>
      <c r="F18" s="529"/>
      <c r="G18" s="247" t="s">
        <v>497</v>
      </c>
      <c r="H18" s="322">
        <v>0.14987115346284027</v>
      </c>
      <c r="I18" s="264">
        <v>0.1113002683</v>
      </c>
    </row>
    <row r="19" spans="1:10" ht="31" customHeight="1" x14ac:dyDescent="0.25">
      <c r="A19" s="152" t="s">
        <v>423</v>
      </c>
      <c r="B19" s="144">
        <f>CFS!B59/IS!B8</f>
        <v>0.19000488457367834</v>
      </c>
      <c r="C19" s="144">
        <f>CFS!C59/IS!C8</f>
        <v>0.25163103025653921</v>
      </c>
      <c r="D19" s="144">
        <f>CFS!D59/IS!D8</f>
        <v>9.2484569507100697E-2</v>
      </c>
      <c r="F19" s="529"/>
      <c r="G19" s="244" t="s">
        <v>418</v>
      </c>
      <c r="H19" s="233">
        <v>0.68525222803262553</v>
      </c>
      <c r="I19" s="135">
        <v>0.97102695709999998</v>
      </c>
    </row>
    <row r="20" spans="1:10" ht="31" customHeight="1" x14ac:dyDescent="0.25">
      <c r="A20" s="152" t="s">
        <v>424</v>
      </c>
      <c r="B20" s="145">
        <f>IS!B25/IS!B8</f>
        <v>0.14987115346284027</v>
      </c>
      <c r="C20" s="145">
        <f>IS!C25/IS!C8</f>
        <v>0.23063203747187047</v>
      </c>
      <c r="D20" s="144">
        <f>IS!D25/IS!D8</f>
        <v>5.9716232098106892E-2</v>
      </c>
      <c r="F20" s="530"/>
      <c r="G20" s="320" t="s">
        <v>496</v>
      </c>
      <c r="H20" s="327">
        <f>BS!B72/BS!B108</f>
        <v>2.2207347002072191</v>
      </c>
      <c r="I20" s="327">
        <f>Benchmarking!C24/Benchmarking!C25</f>
        <v>2.2269419128097643</v>
      </c>
    </row>
    <row r="21" spans="1:10" ht="31" customHeight="1" x14ac:dyDescent="0.25">
      <c r="A21" s="152" t="s">
        <v>425</v>
      </c>
      <c r="B21" s="146">
        <f>IS!B25/BS!B72</f>
        <v>0.10269954182823084</v>
      </c>
      <c r="C21" s="146">
        <f>IS!C25/BS!C72</f>
        <v>0.19368069934613075</v>
      </c>
      <c r="D21" s="146">
        <f>IS!D25/BS!D72</f>
        <v>4.9575268146658358E-2</v>
      </c>
      <c r="F21" s="528">
        <v>2021</v>
      </c>
      <c r="G21" s="325" t="s">
        <v>495</v>
      </c>
      <c r="H21" s="323">
        <f>C22</f>
        <v>0.38026786813611585</v>
      </c>
      <c r="I21" s="146">
        <v>0.41649280840000003</v>
      </c>
    </row>
    <row r="22" spans="1:10" ht="31" customHeight="1" x14ac:dyDescent="0.25">
      <c r="A22" s="152" t="s">
        <v>426</v>
      </c>
      <c r="B22" s="149">
        <f>B21*H20</f>
        <v>0.22806843623333498</v>
      </c>
      <c r="C22" s="149">
        <f>C21*H24</f>
        <v>0.38026786813611585</v>
      </c>
      <c r="D22" s="149">
        <f>D21*H28</f>
        <v>8.7859440032456507E-2</v>
      </c>
      <c r="F22" s="529"/>
      <c r="G22" s="326" t="s">
        <v>497</v>
      </c>
      <c r="H22" s="323">
        <v>0.23063203747187047</v>
      </c>
      <c r="I22" s="146">
        <v>0.18084776790000001</v>
      </c>
    </row>
    <row r="23" spans="1:10" ht="31" customHeight="1" x14ac:dyDescent="0.25">
      <c r="A23" s="152" t="s">
        <v>427</v>
      </c>
      <c r="B23" s="144">
        <v>0.151</v>
      </c>
      <c r="C23" s="238">
        <v>0.2545</v>
      </c>
      <c r="D23" s="238">
        <v>8.4900000000000003E-2</v>
      </c>
      <c r="F23" s="529"/>
      <c r="G23" s="321" t="s">
        <v>418</v>
      </c>
      <c r="H23" s="233">
        <v>0.8397822846695937</v>
      </c>
      <c r="I23" s="135">
        <v>1.2623968669000001</v>
      </c>
    </row>
    <row r="24" spans="1:10" ht="31" customHeight="1" x14ac:dyDescent="0.25">
      <c r="A24" s="155" t="s">
        <v>428</v>
      </c>
      <c r="B24" s="142">
        <f>CFS!B59/BS!B72</f>
        <v>0.13020127049119493</v>
      </c>
      <c r="C24" s="142">
        <f>CFS!C59/BS!C72</f>
        <v>0.21131528148260018</v>
      </c>
      <c r="D24" s="142">
        <f>CFS!D59/BS!D72</f>
        <v>7.6778912058788965E-2</v>
      </c>
      <c r="F24" s="530"/>
      <c r="G24" s="320" t="s">
        <v>496</v>
      </c>
      <c r="H24" s="327">
        <f>BS!C72/BS!C108</f>
        <v>1.9633751293748241</v>
      </c>
      <c r="I24" s="327">
        <f>Benchmarking!F24/Benchmarking!F25</f>
        <v>2.1348936581803772</v>
      </c>
      <c r="J24" s="30"/>
    </row>
    <row r="25" spans="1:10" ht="31" customHeight="1" x14ac:dyDescent="0.25">
      <c r="A25" s="165" t="s">
        <v>437</v>
      </c>
      <c r="B25" s="163"/>
      <c r="C25" s="163"/>
      <c r="D25" s="163"/>
      <c r="F25" s="528">
        <v>2022</v>
      </c>
      <c r="G25" s="325" t="s">
        <v>495</v>
      </c>
      <c r="H25" s="324">
        <f>D22</f>
        <v>8.7859440032456507E-2</v>
      </c>
      <c r="I25" s="146">
        <v>6.2999128599999996E-2</v>
      </c>
    </row>
    <row r="26" spans="1:10" ht="31" customHeight="1" x14ac:dyDescent="0.25">
      <c r="A26" s="153" t="s">
        <v>429</v>
      </c>
      <c r="B26" s="133">
        <v>11.42</v>
      </c>
      <c r="C26" s="132">
        <v>6.63</v>
      </c>
      <c r="D26" s="132">
        <v>13.71</v>
      </c>
      <c r="F26" s="529"/>
      <c r="G26" s="326" t="s">
        <v>497</v>
      </c>
      <c r="H26" s="323">
        <v>5.9716232098106892E-2</v>
      </c>
      <c r="I26" s="146">
        <v>4.2668056500000003E-2</v>
      </c>
    </row>
    <row r="27" spans="1:10" ht="31" customHeight="1" x14ac:dyDescent="0.25">
      <c r="A27" s="152" t="s">
        <v>430</v>
      </c>
      <c r="B27" s="136">
        <v>2.0621915533999999</v>
      </c>
      <c r="C27" s="134">
        <v>2.52</v>
      </c>
      <c r="D27" s="135">
        <v>1.21</v>
      </c>
      <c r="F27" s="529"/>
      <c r="G27" s="244" t="s">
        <v>418</v>
      </c>
      <c r="H27" s="135">
        <v>0.83018078008022844</v>
      </c>
      <c r="I27" s="266">
        <v>1.0189066523000001</v>
      </c>
    </row>
    <row r="28" spans="1:10" ht="31" customHeight="1" x14ac:dyDescent="0.25">
      <c r="A28" s="155" t="s">
        <v>431</v>
      </c>
      <c r="B28" s="139">
        <v>8.8800000000000008</v>
      </c>
      <c r="C28" s="139">
        <v>6.02</v>
      </c>
      <c r="D28" s="150">
        <v>8.34</v>
      </c>
      <c r="F28" s="530"/>
      <c r="G28" s="320" t="s">
        <v>496</v>
      </c>
      <c r="H28" s="328">
        <f>BS!D72/BS!D108</f>
        <v>1.7722433648274418</v>
      </c>
      <c r="I28" s="327">
        <f>Benchmarking!I24/Benchmarking!I25</f>
        <v>1.8061103565319756</v>
      </c>
    </row>
  </sheetData>
  <mergeCells count="4">
    <mergeCell ref="F17:F20"/>
    <mergeCell ref="F21:F24"/>
    <mergeCell ref="F25:F28"/>
    <mergeCell ref="F15:I15"/>
  </mergeCells>
  <pageMargins left="0.7" right="0.7" top="0.75" bottom="0.75" header="0.3" footer="0.3"/>
  <ignoredErrors>
    <ignoredError sqref="B4:D4" numberStoredAsText="1"/>
  </ignoredErrors>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805F9-D957-B745-9716-DAF127C6E363}">
  <dimension ref="A1:K31"/>
  <sheetViews>
    <sheetView showGridLines="0" zoomScale="125" workbookViewId="0">
      <selection activeCell="B23" sqref="B23"/>
    </sheetView>
  </sheetViews>
  <sheetFormatPr baseColWidth="10" defaultRowHeight="14" x14ac:dyDescent="0.15"/>
  <cols>
    <col min="1" max="1" width="32.6640625" customWidth="1"/>
    <col min="2" max="2" width="12.83203125" customWidth="1"/>
  </cols>
  <sheetData>
    <row r="1" spans="1:10" x14ac:dyDescent="0.15">
      <c r="A1" s="536" t="s">
        <v>447</v>
      </c>
      <c r="B1" s="537"/>
      <c r="C1" s="537"/>
      <c r="D1" s="537"/>
      <c r="E1" s="537"/>
      <c r="F1" s="537"/>
      <c r="G1" s="537"/>
      <c r="H1" s="537"/>
      <c r="I1" s="537"/>
      <c r="J1" s="538"/>
    </row>
    <row r="2" spans="1:10" x14ac:dyDescent="0.15">
      <c r="A2" s="539"/>
      <c r="B2" s="540"/>
      <c r="C2" s="540"/>
      <c r="D2" s="540"/>
      <c r="E2" s="540"/>
      <c r="F2" s="540"/>
      <c r="G2" s="540"/>
      <c r="H2" s="540"/>
      <c r="I2" s="540"/>
      <c r="J2" s="541"/>
    </row>
    <row r="3" spans="1:10" x14ac:dyDescent="0.15">
      <c r="A3" s="539"/>
      <c r="B3" s="540"/>
      <c r="C3" s="540"/>
      <c r="D3" s="540"/>
      <c r="E3" s="540"/>
      <c r="F3" s="540"/>
      <c r="G3" s="540"/>
      <c r="H3" s="540"/>
      <c r="I3" s="540"/>
      <c r="J3" s="541"/>
    </row>
    <row r="4" spans="1:10" x14ac:dyDescent="0.15">
      <c r="A4" s="542" t="s">
        <v>448</v>
      </c>
      <c r="B4" s="543"/>
      <c r="C4" s="543"/>
      <c r="D4" s="543"/>
      <c r="E4" s="543"/>
      <c r="F4" s="543"/>
      <c r="G4" s="543"/>
      <c r="H4" s="543"/>
      <c r="I4" s="543"/>
      <c r="J4" s="544"/>
    </row>
    <row r="5" spans="1:10" x14ac:dyDescent="0.15">
      <c r="A5" s="542"/>
      <c r="B5" s="543"/>
      <c r="C5" s="543"/>
      <c r="D5" s="543"/>
      <c r="E5" s="543"/>
      <c r="F5" s="543"/>
      <c r="G5" s="543"/>
      <c r="H5" s="543"/>
      <c r="I5" s="543"/>
      <c r="J5" s="544"/>
    </row>
    <row r="6" spans="1:10" ht="51" x14ac:dyDescent="0.15">
      <c r="A6" s="267" t="s">
        <v>449</v>
      </c>
      <c r="B6" s="268">
        <v>2020</v>
      </c>
      <c r="C6" s="269" t="s">
        <v>450</v>
      </c>
      <c r="D6" s="269" t="s">
        <v>451</v>
      </c>
      <c r="E6" s="268">
        <v>2021</v>
      </c>
      <c r="F6" s="269" t="s">
        <v>452</v>
      </c>
      <c r="G6" s="269" t="s">
        <v>453</v>
      </c>
      <c r="H6" s="268">
        <v>2022</v>
      </c>
      <c r="I6" s="269" t="s">
        <v>454</v>
      </c>
      <c r="J6" s="270" t="s">
        <v>455</v>
      </c>
    </row>
    <row r="7" spans="1:10" ht="24" customHeight="1" x14ac:dyDescent="0.15">
      <c r="A7" s="533" t="s">
        <v>456</v>
      </c>
      <c r="B7" s="534"/>
      <c r="C7" s="534"/>
      <c r="D7" s="534"/>
      <c r="E7" s="534"/>
      <c r="F7" s="534"/>
      <c r="G7" s="534"/>
      <c r="H7" s="534"/>
      <c r="I7" s="534"/>
      <c r="J7" s="535"/>
    </row>
    <row r="8" spans="1:10" ht="16" x14ac:dyDescent="0.2">
      <c r="A8" s="224" t="s">
        <v>457</v>
      </c>
      <c r="B8" s="225">
        <v>1.0918137717</v>
      </c>
      <c r="C8" s="225">
        <v>1.0920657234</v>
      </c>
      <c r="D8" s="271" t="s">
        <v>458</v>
      </c>
      <c r="E8" s="225">
        <v>1.2817279677</v>
      </c>
      <c r="F8" s="225">
        <v>1.2714282091</v>
      </c>
      <c r="G8" s="271" t="s">
        <v>458</v>
      </c>
      <c r="H8" s="225">
        <v>1.2906019797999999</v>
      </c>
      <c r="I8" s="225">
        <v>1.3012527698</v>
      </c>
      <c r="J8" s="274" t="s">
        <v>458</v>
      </c>
    </row>
    <row r="9" spans="1:10" ht="16" x14ac:dyDescent="0.2">
      <c r="A9" s="224" t="s">
        <v>415</v>
      </c>
      <c r="B9" s="225">
        <v>0.3813527048</v>
      </c>
      <c r="C9" s="225">
        <v>0.58048335360000003</v>
      </c>
      <c r="D9" s="271" t="s">
        <v>459</v>
      </c>
      <c r="E9" s="225">
        <v>0.41021422540000002</v>
      </c>
      <c r="F9" s="225">
        <v>0.65270706199999995</v>
      </c>
      <c r="G9" s="271" t="s">
        <v>459</v>
      </c>
      <c r="H9" s="225">
        <v>0.29201478250000001</v>
      </c>
      <c r="I9" s="225">
        <v>0.70143703570000004</v>
      </c>
      <c r="J9" s="274" t="s">
        <v>459</v>
      </c>
    </row>
    <row r="10" spans="1:10" ht="24" customHeight="1" x14ac:dyDescent="0.15">
      <c r="A10" s="533" t="s">
        <v>460</v>
      </c>
      <c r="B10" s="534"/>
      <c r="C10" s="534"/>
      <c r="D10" s="534"/>
      <c r="E10" s="534"/>
      <c r="F10" s="534"/>
      <c r="G10" s="534"/>
      <c r="H10" s="534"/>
      <c r="I10" s="534"/>
      <c r="J10" s="535"/>
    </row>
    <row r="11" spans="1:10" ht="16" x14ac:dyDescent="0.2">
      <c r="A11" s="224" t="s">
        <v>419</v>
      </c>
      <c r="B11" s="225">
        <v>1.8617380829000001</v>
      </c>
      <c r="C11" s="225">
        <v>4.1212580000000001</v>
      </c>
      <c r="D11" s="271" t="s">
        <v>459</v>
      </c>
      <c r="E11" s="225">
        <v>2.2200684669999999</v>
      </c>
      <c r="F11" s="225">
        <v>6.1144540000000003</v>
      </c>
      <c r="G11" s="271" t="s">
        <v>459</v>
      </c>
      <c r="H11" s="225">
        <v>2.0184923600000002</v>
      </c>
      <c r="I11" s="225">
        <v>4.4108369999999999</v>
      </c>
      <c r="J11" s="274" t="s">
        <v>459</v>
      </c>
    </row>
    <row r="12" spans="1:10" ht="16" x14ac:dyDescent="0.15">
      <c r="A12" s="226" t="s">
        <v>461</v>
      </c>
      <c r="B12" s="227">
        <f>'[1]IS (MỚI CỦA MIHI)'!B5/'[1]BS (MỚI CỦA MIHI)'!B29</f>
        <v>3.4724258784853888</v>
      </c>
      <c r="C12" s="227" t="s">
        <v>462</v>
      </c>
      <c r="D12" s="272" t="s">
        <v>462</v>
      </c>
      <c r="E12" s="227">
        <f>'[1]IS (MỚI CỦA MIHI)'!C5/'[1]BS (MỚI CỦA MIHI)'!C29</f>
        <v>3.5805665593118694</v>
      </c>
      <c r="F12" s="227" t="s">
        <v>462</v>
      </c>
      <c r="G12" s="272" t="s">
        <v>462</v>
      </c>
      <c r="H12" s="227">
        <f>'[1]IS (MỚI CỦA MIHI)'!D5/'[1]BS (MỚI CỦA MIHI)'!D29</f>
        <v>4.1393508686621079</v>
      </c>
      <c r="I12" s="227" t="s">
        <v>462</v>
      </c>
      <c r="J12" s="275" t="s">
        <v>462</v>
      </c>
    </row>
    <row r="13" spans="1:10" ht="16" x14ac:dyDescent="0.2">
      <c r="A13" s="224" t="s">
        <v>418</v>
      </c>
      <c r="B13" s="225">
        <f>'Financial Ratio'!B11</f>
        <v>0.68525222803262553</v>
      </c>
      <c r="C13" s="225">
        <v>0.97102695709999998</v>
      </c>
      <c r="D13" s="271" t="s">
        <v>459</v>
      </c>
      <c r="E13" s="225">
        <f>'Financial Ratio'!C11</f>
        <v>0.8397822846695937</v>
      </c>
      <c r="F13" s="225">
        <v>1.2623968669000001</v>
      </c>
      <c r="G13" s="271" t="s">
        <v>459</v>
      </c>
      <c r="H13" s="225">
        <f>'Financial Ratio'!D11</f>
        <v>0.83018078008022844</v>
      </c>
      <c r="I13" s="225">
        <v>1.0189066523000001</v>
      </c>
      <c r="J13" s="274" t="s">
        <v>459</v>
      </c>
    </row>
    <row r="14" spans="1:10" ht="16" x14ac:dyDescent="0.2">
      <c r="A14" s="224" t="s">
        <v>463</v>
      </c>
      <c r="B14" s="225">
        <v>117.5092917059</v>
      </c>
      <c r="C14" s="225">
        <v>117.5092917059</v>
      </c>
      <c r="D14" s="271"/>
      <c r="E14" s="225">
        <v>115.5522345145</v>
      </c>
      <c r="F14" s="225">
        <v>108.59071425569999</v>
      </c>
      <c r="G14" s="271"/>
      <c r="H14" s="225">
        <v>114.3460103553</v>
      </c>
      <c r="I14" s="225">
        <v>110.7955143082</v>
      </c>
      <c r="J14" s="274"/>
    </row>
    <row r="15" spans="1:10" ht="16" x14ac:dyDescent="0.2">
      <c r="A15" s="224" t="s">
        <v>464</v>
      </c>
      <c r="B15" s="225">
        <v>13.4658243028</v>
      </c>
      <c r="C15" s="225">
        <v>20.613956205800001</v>
      </c>
      <c r="D15" s="271" t="s">
        <v>465</v>
      </c>
      <c r="E15" s="225">
        <v>10.8790326842</v>
      </c>
      <c r="F15" s="225">
        <v>20.820991963699999</v>
      </c>
      <c r="G15" s="271" t="s">
        <v>465</v>
      </c>
      <c r="H15" s="225">
        <v>10.2364722264</v>
      </c>
      <c r="I15" s="225">
        <v>17.2377128525</v>
      </c>
      <c r="J15" s="274" t="s">
        <v>465</v>
      </c>
    </row>
    <row r="16" spans="1:10" ht="24" customHeight="1" x14ac:dyDescent="0.15">
      <c r="A16" s="533" t="s">
        <v>466</v>
      </c>
      <c r="B16" s="534"/>
      <c r="C16" s="534"/>
      <c r="D16" s="534"/>
      <c r="E16" s="534"/>
      <c r="F16" s="534"/>
      <c r="G16" s="534"/>
      <c r="H16" s="534"/>
      <c r="I16" s="534"/>
      <c r="J16" s="535"/>
    </row>
    <row r="17" spans="1:11" ht="16" x14ac:dyDescent="0.2">
      <c r="A17" s="224" t="s">
        <v>420</v>
      </c>
      <c r="B17" s="225">
        <v>1.2207347002</v>
      </c>
      <c r="C17" s="225">
        <v>1.4071810924000001</v>
      </c>
      <c r="D17" s="271" t="s">
        <v>459</v>
      </c>
      <c r="E17" s="225">
        <v>0.96337512940000003</v>
      </c>
      <c r="F17" s="225">
        <v>1.1670028883000001</v>
      </c>
      <c r="G17" s="271" t="s">
        <v>459</v>
      </c>
      <c r="H17" s="225">
        <v>0.7722433648</v>
      </c>
      <c r="I17" s="225">
        <v>0.93029423609999995</v>
      </c>
      <c r="J17" s="274" t="s">
        <v>459</v>
      </c>
    </row>
    <row r="18" spans="1:11" ht="16" x14ac:dyDescent="0.15">
      <c r="A18" s="226" t="s">
        <v>467</v>
      </c>
      <c r="B18" s="227">
        <f>'[1]BS (MỚI CỦA MIHI)'!B94/('[1]BS (MỚI CỦA MIHI)'!B94+'[1]BS (MỚI CỦA MIHI)'!B110)</f>
        <v>0.25543622033484625</v>
      </c>
      <c r="C18" s="227" t="s">
        <v>462</v>
      </c>
      <c r="D18" s="272" t="s">
        <v>462</v>
      </c>
      <c r="E18" s="227">
        <f>'[1]BS (MỚI CỦA MIHI)'!C94/('[1]BS (MỚI CỦA MIHI)'!C94+'[1]BS (MỚI CỦA MIHI)'!C110)</f>
        <v>0.13358338897055866</v>
      </c>
      <c r="F18" s="227" t="s">
        <v>462</v>
      </c>
      <c r="G18" s="272" t="s">
        <v>462</v>
      </c>
      <c r="H18" s="227">
        <f>'[1]BS (MỚI CỦA MIHI)'!D94/('[1]BS (MỚI CỦA MIHI)'!D94+'[1]BS (MỚI CỦA MIHI)'!D110)</f>
        <v>0.10965423886232843</v>
      </c>
      <c r="I18" s="227" t="s">
        <v>462</v>
      </c>
      <c r="J18" s="275" t="s">
        <v>462</v>
      </c>
    </row>
    <row r="19" spans="1:11" ht="16" x14ac:dyDescent="0.15">
      <c r="A19" s="226" t="s">
        <v>468</v>
      </c>
      <c r="B19" s="227">
        <f>'[1]IS (MỚI CỦA MIHI)'!B16/'[1]IS (MỚI CỦA MIHI)'!B12</f>
        <v>-6.9774316350530237</v>
      </c>
      <c r="C19" s="227" t="s">
        <v>462</v>
      </c>
      <c r="D19" s="272" t="s">
        <v>462</v>
      </c>
      <c r="E19" s="227">
        <f>'[1]IS (MỚI CỦA MIHI)'!C16/'[1]IS (MỚI CỦA MIHI)'!C12</f>
        <v>-14.65203209511046</v>
      </c>
      <c r="F19" s="227" t="s">
        <v>462</v>
      </c>
      <c r="G19" s="272" t="s">
        <v>462</v>
      </c>
      <c r="H19" s="227">
        <f>'[1]IS (MỚI CỦA MIHI)'!D16/'[1]IS (MỚI CỦA MIHI)'!D12</f>
        <v>-3.1761283940067244</v>
      </c>
      <c r="I19" s="227" t="s">
        <v>462</v>
      </c>
      <c r="J19" s="275" t="s">
        <v>462</v>
      </c>
    </row>
    <row r="20" spans="1:11" ht="23" customHeight="1" x14ac:dyDescent="0.15">
      <c r="A20" s="533" t="s">
        <v>469</v>
      </c>
      <c r="B20" s="534"/>
      <c r="C20" s="534"/>
      <c r="D20" s="534"/>
      <c r="E20" s="534"/>
      <c r="F20" s="534"/>
      <c r="G20" s="534"/>
      <c r="H20" s="534"/>
      <c r="I20" s="534"/>
      <c r="J20" s="535"/>
    </row>
    <row r="21" spans="1:11" ht="16" x14ac:dyDescent="0.2">
      <c r="A21" s="224" t="s">
        <v>422</v>
      </c>
      <c r="B21" s="228">
        <v>0.20976879540000001</v>
      </c>
      <c r="C21" s="228">
        <v>0.1762287505</v>
      </c>
      <c r="D21" s="271" t="s">
        <v>470</v>
      </c>
      <c r="E21" s="228">
        <v>0.27464235180000002</v>
      </c>
      <c r="F21" s="228">
        <v>0.23367865060000001</v>
      </c>
      <c r="G21" s="271" t="s">
        <v>470</v>
      </c>
      <c r="H21" s="228">
        <v>0.1185454512</v>
      </c>
      <c r="I21" s="228">
        <v>0.1064845427</v>
      </c>
      <c r="J21" s="274" t="s">
        <v>470</v>
      </c>
    </row>
    <row r="22" spans="1:11" ht="16" x14ac:dyDescent="0.2">
      <c r="A22" s="224" t="s">
        <v>424</v>
      </c>
      <c r="B22" s="228">
        <v>0.14987115349999999</v>
      </c>
      <c r="C22" s="228">
        <v>0.1113002683</v>
      </c>
      <c r="D22" s="271" t="s">
        <v>470</v>
      </c>
      <c r="E22" s="228">
        <v>0.2306320375</v>
      </c>
      <c r="F22" s="228">
        <v>0.18084776790000001</v>
      </c>
      <c r="G22" s="271" t="s">
        <v>470</v>
      </c>
      <c r="H22" s="228">
        <v>5.9716232100000002E-2</v>
      </c>
      <c r="I22" s="228">
        <v>4.2668056500000003E-2</v>
      </c>
      <c r="J22" s="274" t="s">
        <v>470</v>
      </c>
    </row>
    <row r="23" spans="1:11" ht="16" x14ac:dyDescent="0.2">
      <c r="A23" s="224" t="s">
        <v>471</v>
      </c>
      <c r="B23" s="228">
        <v>0.19000488460000001</v>
      </c>
      <c r="C23" s="228">
        <v>0.1494462252</v>
      </c>
      <c r="D23" s="271" t="s">
        <v>470</v>
      </c>
      <c r="E23" s="228">
        <v>0.2516310303</v>
      </c>
      <c r="F23" s="228">
        <v>0.20425586330000001</v>
      </c>
      <c r="G23" s="271" t="s">
        <v>470</v>
      </c>
      <c r="H23" s="228">
        <v>9.2484569500000002E-2</v>
      </c>
      <c r="I23" s="228">
        <v>7.4331892299999994E-2</v>
      </c>
      <c r="J23" s="274" t="s">
        <v>470</v>
      </c>
    </row>
    <row r="24" spans="1:11" ht="16" x14ac:dyDescent="0.2">
      <c r="A24" s="224" t="s">
        <v>472</v>
      </c>
      <c r="B24" s="228">
        <v>0.2521274261</v>
      </c>
      <c r="C24" s="228">
        <v>0.21906932109999999</v>
      </c>
      <c r="D24" s="271" t="s">
        <v>470</v>
      </c>
      <c r="E24" s="228">
        <v>0.4606394472</v>
      </c>
      <c r="F24" s="228">
        <v>0.41649280840000003</v>
      </c>
      <c r="G24" s="271" t="s">
        <v>470</v>
      </c>
      <c r="H24" s="228">
        <v>9.0911047999999994E-2</v>
      </c>
      <c r="I24" s="228">
        <v>6.2999128599999996E-2</v>
      </c>
      <c r="J24" s="274" t="s">
        <v>470</v>
      </c>
    </row>
    <row r="25" spans="1:11" ht="16" x14ac:dyDescent="0.2">
      <c r="A25" s="224" t="s">
        <v>473</v>
      </c>
      <c r="B25" s="228">
        <v>0.1153109541</v>
      </c>
      <c r="C25" s="228">
        <v>9.83722655E-2</v>
      </c>
      <c r="D25" s="271" t="s">
        <v>470</v>
      </c>
      <c r="E25" s="228">
        <v>0.22262070549999999</v>
      </c>
      <c r="F25" s="228">
        <v>0.1950883159</v>
      </c>
      <c r="G25" s="271" t="s">
        <v>470</v>
      </c>
      <c r="H25" s="228">
        <v>4.8675808500000001E-2</v>
      </c>
      <c r="I25" s="228">
        <v>3.4881107000000001E-2</v>
      </c>
      <c r="J25" s="274" t="s">
        <v>470</v>
      </c>
    </row>
    <row r="26" spans="1:11" ht="16" x14ac:dyDescent="0.2">
      <c r="A26" s="224" t="s">
        <v>427</v>
      </c>
      <c r="B26" s="228">
        <v>0.15104736539999999</v>
      </c>
      <c r="C26" s="228">
        <v>0.22791865010000001</v>
      </c>
      <c r="D26" s="271" t="s">
        <v>459</v>
      </c>
      <c r="E26" s="228">
        <v>0.25449871759999998</v>
      </c>
      <c r="F26" s="228">
        <v>0.25172598889999998</v>
      </c>
      <c r="G26" s="271" t="s">
        <v>470</v>
      </c>
      <c r="H26" s="228">
        <v>8.4915907700000001E-2</v>
      </c>
      <c r="I26" s="228">
        <v>8.4915907700000001E-2</v>
      </c>
      <c r="J26" s="274" t="s">
        <v>458</v>
      </c>
    </row>
    <row r="27" spans="1:11" ht="16" x14ac:dyDescent="0.15">
      <c r="A27" s="224" t="s">
        <v>474</v>
      </c>
      <c r="B27" s="229">
        <v>0.17</v>
      </c>
      <c r="C27" s="229" t="s">
        <v>462</v>
      </c>
      <c r="D27" s="271" t="s">
        <v>462</v>
      </c>
      <c r="E27" s="229">
        <v>0.23</v>
      </c>
      <c r="F27" s="229" t="s">
        <v>462</v>
      </c>
      <c r="G27" s="271" t="s">
        <v>462</v>
      </c>
      <c r="H27" s="229">
        <v>0.2</v>
      </c>
      <c r="I27" s="229" t="s">
        <v>462</v>
      </c>
      <c r="J27" s="277" t="s">
        <v>462</v>
      </c>
      <c r="K27" s="278"/>
    </row>
    <row r="28" spans="1:11" ht="24" customHeight="1" x14ac:dyDescent="0.15">
      <c r="A28" s="533" t="s">
        <v>475</v>
      </c>
      <c r="B28" s="534"/>
      <c r="C28" s="534"/>
      <c r="D28" s="534"/>
      <c r="E28" s="534"/>
      <c r="F28" s="534"/>
      <c r="G28" s="534"/>
      <c r="H28" s="534"/>
      <c r="I28" s="534"/>
      <c r="J28" s="535"/>
    </row>
    <row r="29" spans="1:11" ht="16" x14ac:dyDescent="0.2">
      <c r="A29" s="230" t="s">
        <v>429</v>
      </c>
      <c r="B29" s="225">
        <v>11.415186328500001</v>
      </c>
      <c r="C29" s="225">
        <v>12.3223104098</v>
      </c>
      <c r="D29" s="271" t="s">
        <v>459</v>
      </c>
      <c r="E29" s="225">
        <v>6.6293114732999996</v>
      </c>
      <c r="F29" s="225">
        <v>6.0611012806</v>
      </c>
      <c r="G29" s="271" t="s">
        <v>470</v>
      </c>
      <c r="H29" s="225">
        <v>13.7084421902</v>
      </c>
      <c r="I29" s="225">
        <v>33.290345834500002</v>
      </c>
      <c r="J29" s="274" t="s">
        <v>476</v>
      </c>
    </row>
    <row r="30" spans="1:11" ht="16" x14ac:dyDescent="0.2">
      <c r="A30" s="230" t="s">
        <v>430</v>
      </c>
      <c r="B30" s="225">
        <v>2.5973556413000001</v>
      </c>
      <c r="C30" s="225">
        <v>2.1219475255</v>
      </c>
      <c r="D30" s="271" t="s">
        <v>465</v>
      </c>
      <c r="E30" s="225">
        <v>2.5221006460000002</v>
      </c>
      <c r="F30" s="225">
        <v>2.5221006460000002</v>
      </c>
      <c r="G30" s="271" t="s">
        <v>458</v>
      </c>
      <c r="H30" s="225">
        <v>1.2113205992</v>
      </c>
      <c r="I30" s="225">
        <v>1.0782592249</v>
      </c>
      <c r="J30" s="274" t="s">
        <v>470</v>
      </c>
    </row>
    <row r="31" spans="1:11" ht="17" thickBot="1" x14ac:dyDescent="0.25">
      <c r="A31" s="231" t="s">
        <v>431</v>
      </c>
      <c r="B31" s="232">
        <v>8.8757682468999999</v>
      </c>
      <c r="C31" s="232">
        <v>9.4436327840000001</v>
      </c>
      <c r="D31" s="273" t="s">
        <v>459</v>
      </c>
      <c r="E31" s="232">
        <v>6.0183582999</v>
      </c>
      <c r="F31" s="232">
        <v>6.3554659727000002</v>
      </c>
      <c r="G31" s="273" t="s">
        <v>459</v>
      </c>
      <c r="H31" s="232">
        <v>8.3383573086999991</v>
      </c>
      <c r="I31" s="232">
        <v>12.007592088299999</v>
      </c>
      <c r="J31" s="276" t="s">
        <v>459</v>
      </c>
    </row>
  </sheetData>
  <mergeCells count="7">
    <mergeCell ref="A28:J28"/>
    <mergeCell ref="A1:J3"/>
    <mergeCell ref="A4:J5"/>
    <mergeCell ref="A7:J7"/>
    <mergeCell ref="A10:J10"/>
    <mergeCell ref="A16:J16"/>
    <mergeCell ref="A20:J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D9E11-EBD8-6844-88D4-F9B8048E0E17}">
  <dimension ref="A1:Q1000"/>
  <sheetViews>
    <sheetView showGridLines="0" zoomScale="65" zoomScaleNormal="74" workbookViewId="0">
      <selection activeCell="N4" sqref="N4"/>
    </sheetView>
  </sheetViews>
  <sheetFormatPr baseColWidth="10" defaultRowHeight="14" x14ac:dyDescent="0.15"/>
  <cols>
    <col min="1" max="1" width="14.5" customWidth="1"/>
    <col min="2" max="7" width="14" customWidth="1"/>
    <col min="8" max="8" width="12.1640625" customWidth="1"/>
    <col min="9" max="9" width="13.83203125" customWidth="1"/>
    <col min="13" max="13" width="18" customWidth="1"/>
    <col min="14" max="15" width="16.83203125" customWidth="1"/>
    <col min="16" max="16" width="18.1640625" customWidth="1"/>
    <col min="17" max="17" width="19.1640625" customWidth="1"/>
  </cols>
  <sheetData>
    <row r="1" spans="1:17" ht="22" customHeight="1" x14ac:dyDescent="0.2">
      <c r="A1" s="280"/>
      <c r="B1" s="545" t="s">
        <v>498</v>
      </c>
      <c r="C1" s="545"/>
      <c r="D1" s="545" t="s">
        <v>499</v>
      </c>
      <c r="E1" s="545"/>
      <c r="F1" s="545" t="s">
        <v>500</v>
      </c>
      <c r="G1" s="546"/>
      <c r="H1" s="279"/>
      <c r="I1" s="305"/>
    </row>
    <row r="2" spans="1:17" ht="25" customHeight="1" x14ac:dyDescent="0.2">
      <c r="A2" s="287" t="s">
        <v>501</v>
      </c>
      <c r="B2" s="288" t="s">
        <v>502</v>
      </c>
      <c r="C2" s="288" t="s">
        <v>503</v>
      </c>
      <c r="D2" s="288" t="s">
        <v>502</v>
      </c>
      <c r="E2" s="288" t="s">
        <v>503</v>
      </c>
      <c r="F2" s="288" t="s">
        <v>502</v>
      </c>
      <c r="G2" s="289" t="s">
        <v>503</v>
      </c>
      <c r="H2" s="289" t="s">
        <v>504</v>
      </c>
      <c r="I2" s="289" t="s">
        <v>507</v>
      </c>
      <c r="J2" s="288" t="s">
        <v>505</v>
      </c>
      <c r="M2" s="318" t="s">
        <v>182</v>
      </c>
      <c r="N2" s="318" t="s">
        <v>504</v>
      </c>
      <c r="O2" s="318" t="s">
        <v>507</v>
      </c>
      <c r="P2" s="318" t="s">
        <v>505</v>
      </c>
      <c r="Q2" s="318" t="s">
        <v>506</v>
      </c>
    </row>
    <row r="3" spans="1:17" ht="25" customHeight="1" x14ac:dyDescent="0.2">
      <c r="A3" s="281">
        <v>44896</v>
      </c>
      <c r="B3" s="290">
        <v>18000</v>
      </c>
      <c r="C3" s="282">
        <v>-2.1700000000000001E-2</v>
      </c>
      <c r="D3" s="290">
        <v>11213.6</v>
      </c>
      <c r="E3" s="282">
        <v>2.6700000000000002E-2</v>
      </c>
      <c r="F3" s="290">
        <v>1007.09</v>
      </c>
      <c r="G3" s="283">
        <v>-3.9399999999999998E-2</v>
      </c>
      <c r="H3" s="311">
        <f t="shared" ref="H3:H38" si="0">(B3-B4)/B4</f>
        <v>-2.1739130434782608E-2</v>
      </c>
      <c r="I3" s="312">
        <f>(D3-D4)/D4</f>
        <v>2.6670206824570018E-2</v>
      </c>
      <c r="J3" s="311">
        <f t="shared" ref="J3:J38" si="1">(F3-F4)/F4</f>
        <v>-3.942122431849835E-2</v>
      </c>
      <c r="M3" s="295">
        <v>2020</v>
      </c>
      <c r="N3" s="296">
        <f>AVERAGE(H27:H38)</f>
        <v>7.6292638767033863E-2</v>
      </c>
      <c r="O3" s="296">
        <f>AVERAGE(I27:I38)</f>
        <v>0.1307451738536935</v>
      </c>
      <c r="P3" s="296">
        <f>AVERAGE(J27:J38)</f>
        <v>1.7683708189974806E-2</v>
      </c>
      <c r="Q3" s="297">
        <f>SLOPE(J27:J38,H27:H38)</f>
        <v>0.71054698722781462</v>
      </c>
    </row>
    <row r="4" spans="1:17" ht="25" customHeight="1" x14ac:dyDescent="0.2">
      <c r="A4" s="281">
        <v>44866</v>
      </c>
      <c r="B4" s="291">
        <v>18400</v>
      </c>
      <c r="C4" s="282">
        <v>0.1757</v>
      </c>
      <c r="D4" s="291">
        <v>10922.3</v>
      </c>
      <c r="E4" s="282">
        <v>-1.32E-2</v>
      </c>
      <c r="F4" s="291">
        <v>1048.42</v>
      </c>
      <c r="G4" s="283">
        <v>1.9900000000000001E-2</v>
      </c>
      <c r="H4" s="313">
        <f t="shared" si="0"/>
        <v>0.1757188498402556</v>
      </c>
      <c r="I4" s="312">
        <f t="shared" ref="I4:I38" si="2">(D4-D5)/D5</f>
        <v>-1.3164076617275092E-2</v>
      </c>
      <c r="J4" s="313">
        <f t="shared" si="1"/>
        <v>1.9923341829289665E-2</v>
      </c>
      <c r="M4" s="298">
        <v>2021</v>
      </c>
      <c r="N4" s="299">
        <f>AVERAGE(H15:H26)</f>
        <v>4.1992072205236035E-2</v>
      </c>
      <c r="O4" s="299">
        <v>6.0999999999999999E-2</v>
      </c>
      <c r="P4" s="299">
        <f>AVERAGE(J15,J26)</f>
        <v>-1.4696731032490598E-2</v>
      </c>
      <c r="Q4" s="300">
        <f>SLOPE(J15:J26,H15:H26)</f>
        <v>0.24577972142388446</v>
      </c>
    </row>
    <row r="5" spans="1:17" ht="25" customHeight="1" x14ac:dyDescent="0.2">
      <c r="A5" s="281">
        <v>44835</v>
      </c>
      <c r="B5" s="291">
        <v>15650</v>
      </c>
      <c r="C5" s="282">
        <v>-0.26179999999999998</v>
      </c>
      <c r="D5" s="291">
        <v>11068</v>
      </c>
      <c r="E5" s="282">
        <v>-0.22969999999999999</v>
      </c>
      <c r="F5" s="291">
        <v>1027.94</v>
      </c>
      <c r="G5" s="283">
        <v>-9.1999999999999998E-2</v>
      </c>
      <c r="H5" s="313">
        <f t="shared" si="0"/>
        <v>-0.2617924528301887</v>
      </c>
      <c r="I5" s="312">
        <f t="shared" si="2"/>
        <v>-0.22972530952264958</v>
      </c>
      <c r="J5" s="313">
        <f t="shared" si="1"/>
        <v>-9.201402690551258E-2</v>
      </c>
      <c r="M5" s="301">
        <v>2022</v>
      </c>
      <c r="N5" s="302">
        <f>AVERAGE(J3:J14)</f>
        <v>-3.1199644146571393E-2</v>
      </c>
      <c r="O5" s="302">
        <v>-6.5000000000000002E-2</v>
      </c>
      <c r="P5" s="302">
        <f>AVERAGE(J3:J14)</f>
        <v>-3.1199644146571393E-2</v>
      </c>
      <c r="Q5" s="303">
        <f>SLOPE(J3:J14,H3:H14)</f>
        <v>0.29476733231318702</v>
      </c>
    </row>
    <row r="6" spans="1:17" ht="25" customHeight="1" x14ac:dyDescent="0.2">
      <c r="A6" s="281">
        <v>44805</v>
      </c>
      <c r="B6" s="291">
        <v>21200</v>
      </c>
      <c r="C6" s="282">
        <v>-7.8299999999999995E-2</v>
      </c>
      <c r="D6" s="291">
        <v>14368.9</v>
      </c>
      <c r="E6" s="282">
        <v>-0.1462</v>
      </c>
      <c r="F6" s="291">
        <v>1132.1099999999999</v>
      </c>
      <c r="G6" s="283">
        <v>-0.1159</v>
      </c>
      <c r="H6" s="313">
        <f t="shared" si="0"/>
        <v>-7.8260869565217397E-2</v>
      </c>
      <c r="I6" s="312">
        <f t="shared" si="2"/>
        <v>-0.14615681730397839</v>
      </c>
      <c r="J6" s="313">
        <f t="shared" si="1"/>
        <v>-0.11589132455037453</v>
      </c>
      <c r="M6" s="547" t="s">
        <v>506</v>
      </c>
      <c r="N6" s="548"/>
      <c r="O6" s="548"/>
      <c r="P6" s="549"/>
      <c r="Q6" s="304">
        <f>SUM(Q3:Q5)</f>
        <v>1.2510940409648861</v>
      </c>
    </row>
    <row r="7" spans="1:17" ht="25" customHeight="1" x14ac:dyDescent="0.2">
      <c r="A7" s="281">
        <v>44774</v>
      </c>
      <c r="B7" s="291">
        <v>23000</v>
      </c>
      <c r="C7" s="282">
        <v>6.9800000000000001E-2</v>
      </c>
      <c r="D7" s="291">
        <v>16828.5</v>
      </c>
      <c r="E7" s="282">
        <v>0.2271</v>
      </c>
      <c r="F7" s="291">
        <v>1280.51</v>
      </c>
      <c r="G7" s="283">
        <v>6.1499999999999999E-2</v>
      </c>
      <c r="H7" s="313">
        <f t="shared" si="0"/>
        <v>6.9767441860465115E-2</v>
      </c>
      <c r="I7" s="312">
        <f t="shared" si="2"/>
        <v>0.22713948197409867</v>
      </c>
      <c r="J7" s="313">
        <f t="shared" si="1"/>
        <v>6.1492294811535869E-2</v>
      </c>
    </row>
    <row r="8" spans="1:17" ht="25" customHeight="1" x14ac:dyDescent="0.2">
      <c r="A8" s="281">
        <v>44743</v>
      </c>
      <c r="B8" s="291">
        <v>21500</v>
      </c>
      <c r="C8" s="282">
        <v>-3.5900000000000001E-2</v>
      </c>
      <c r="D8" s="291">
        <v>13713.6</v>
      </c>
      <c r="E8" s="282">
        <v>5.28E-2</v>
      </c>
      <c r="F8" s="291">
        <v>1206.33</v>
      </c>
      <c r="G8" s="283">
        <v>7.3000000000000001E-3</v>
      </c>
      <c r="H8" s="313">
        <f t="shared" si="0"/>
        <v>-3.5874439461883408E-2</v>
      </c>
      <c r="I8" s="312">
        <f t="shared" si="2"/>
        <v>5.2794816481010969E-2</v>
      </c>
      <c r="J8" s="313">
        <f t="shared" si="1"/>
        <v>7.2895791583166489E-3</v>
      </c>
    </row>
    <row r="9" spans="1:17" ht="25" customHeight="1" x14ac:dyDescent="0.2">
      <c r="A9" s="281">
        <v>44713</v>
      </c>
      <c r="B9" s="291">
        <v>22300</v>
      </c>
      <c r="C9" s="282">
        <v>-0.15090000000000001</v>
      </c>
      <c r="D9" s="291">
        <v>13025.9</v>
      </c>
      <c r="E9" s="282">
        <v>-0.29389999999999999</v>
      </c>
      <c r="F9" s="291">
        <v>1197.5999999999999</v>
      </c>
      <c r="G9" s="283">
        <v>-7.3599999999999999E-2</v>
      </c>
      <c r="H9" s="313">
        <f t="shared" si="0"/>
        <v>-0.15085790006777902</v>
      </c>
      <c r="I9" s="312">
        <f t="shared" si="2"/>
        <v>-0.29385903093252952</v>
      </c>
      <c r="J9" s="313">
        <f t="shared" si="1"/>
        <v>-7.3552619364421312E-2</v>
      </c>
    </row>
    <row r="10" spans="1:17" ht="25" customHeight="1" x14ac:dyDescent="0.2">
      <c r="A10" s="281">
        <v>44682</v>
      </c>
      <c r="B10" s="291">
        <v>26261.8</v>
      </c>
      <c r="C10" s="282">
        <v>-0.1986</v>
      </c>
      <c r="D10" s="291">
        <v>18446.599999999999</v>
      </c>
      <c r="E10" s="282">
        <v>-0.1943</v>
      </c>
      <c r="F10" s="291">
        <v>1292.68</v>
      </c>
      <c r="G10" s="283">
        <v>-5.4199999999999998E-2</v>
      </c>
      <c r="H10" s="313">
        <f t="shared" si="0"/>
        <v>-0.19861460765017319</v>
      </c>
      <c r="I10" s="312">
        <f t="shared" si="2"/>
        <v>-0.19434496252686023</v>
      </c>
      <c r="J10" s="313">
        <f t="shared" si="1"/>
        <v>-5.4228855721392959E-2</v>
      </c>
    </row>
    <row r="11" spans="1:17" ht="25" customHeight="1" x14ac:dyDescent="0.2">
      <c r="A11" s="281">
        <v>44652</v>
      </c>
      <c r="B11" s="291">
        <v>32770.5</v>
      </c>
      <c r="C11" s="282">
        <v>-3.9899999999999998E-2</v>
      </c>
      <c r="D11" s="291">
        <v>22896.400000000001</v>
      </c>
      <c r="E11" s="282">
        <v>-0.19139999999999999</v>
      </c>
      <c r="F11" s="291">
        <v>1366.8</v>
      </c>
      <c r="G11" s="283">
        <v>-8.4000000000000005E-2</v>
      </c>
      <c r="H11" s="313">
        <f t="shared" si="0"/>
        <v>-3.9911756433694358E-2</v>
      </c>
      <c r="I11" s="312">
        <f t="shared" si="2"/>
        <v>-0.19143135620753463</v>
      </c>
      <c r="J11" s="313">
        <f t="shared" si="1"/>
        <v>-8.400629963475531E-2</v>
      </c>
    </row>
    <row r="12" spans="1:17" ht="25" customHeight="1" x14ac:dyDescent="0.2">
      <c r="A12" s="281">
        <v>44621</v>
      </c>
      <c r="B12" s="291">
        <v>34132.800000000003</v>
      </c>
      <c r="C12" s="282">
        <v>-4.4499999999999998E-2</v>
      </c>
      <c r="D12" s="291">
        <v>28317.200000000001</v>
      </c>
      <c r="E12" s="282">
        <v>-8.7400000000000005E-2</v>
      </c>
      <c r="F12" s="291">
        <v>1492.15</v>
      </c>
      <c r="G12" s="283">
        <v>1.4E-3</v>
      </c>
      <c r="H12" s="313">
        <f t="shared" si="0"/>
        <v>-4.449066544240108E-2</v>
      </c>
      <c r="I12" s="312">
        <f t="shared" si="2"/>
        <v>-8.7351542986060723E-2</v>
      </c>
      <c r="J12" s="313">
        <f t="shared" si="1"/>
        <v>1.3555864253454273E-3</v>
      </c>
    </row>
    <row r="13" spans="1:17" ht="25" customHeight="1" x14ac:dyDescent="0.2">
      <c r="A13" s="281">
        <v>44593</v>
      </c>
      <c r="B13" s="291">
        <v>35722.1</v>
      </c>
      <c r="C13" s="282">
        <v>0.11849999999999999</v>
      </c>
      <c r="D13" s="291">
        <v>31027.5</v>
      </c>
      <c r="E13" s="282">
        <v>0.2636</v>
      </c>
      <c r="F13" s="291">
        <v>1490.13</v>
      </c>
      <c r="G13" s="283">
        <v>7.6E-3</v>
      </c>
      <c r="H13" s="313">
        <f t="shared" si="0"/>
        <v>0.11848268520257996</v>
      </c>
      <c r="I13" s="312">
        <f t="shared" si="2"/>
        <v>0.26359193646915091</v>
      </c>
      <c r="J13" s="313">
        <f t="shared" si="1"/>
        <v>7.5526045329150707E-3</v>
      </c>
    </row>
    <row r="14" spans="1:17" ht="25" customHeight="1" x14ac:dyDescent="0.2">
      <c r="A14" s="281">
        <v>44562</v>
      </c>
      <c r="B14" s="291">
        <v>31938</v>
      </c>
      <c r="C14" s="282">
        <v>-9.0499999999999997E-2</v>
      </c>
      <c r="D14" s="291">
        <v>24555</v>
      </c>
      <c r="E14" s="282">
        <v>-0.1885</v>
      </c>
      <c r="F14" s="291">
        <v>1478.96</v>
      </c>
      <c r="G14" s="283">
        <v>-1.29E-2</v>
      </c>
      <c r="H14" s="313">
        <f t="shared" si="0"/>
        <v>-9.0515596612428278E-2</v>
      </c>
      <c r="I14" s="312">
        <f t="shared" si="2"/>
        <v>-0.18850321723525976</v>
      </c>
      <c r="J14" s="313">
        <f t="shared" si="1"/>
        <v>-1.2894786021304387E-2</v>
      </c>
    </row>
    <row r="15" spans="1:17" ht="25" customHeight="1" x14ac:dyDescent="0.2">
      <c r="A15" s="281">
        <v>44531</v>
      </c>
      <c r="B15" s="291">
        <v>35116.6</v>
      </c>
      <c r="C15" s="282">
        <v>-5.21E-2</v>
      </c>
      <c r="D15" s="291">
        <v>30258.9</v>
      </c>
      <c r="E15" s="282">
        <v>-5.4399999999999997E-2</v>
      </c>
      <c r="F15" s="291">
        <v>1498.28</v>
      </c>
      <c r="G15" s="283">
        <v>1.34E-2</v>
      </c>
      <c r="H15" s="313">
        <f t="shared" si="0"/>
        <v>-5.2093989985558732E-2</v>
      </c>
      <c r="I15" s="312">
        <f t="shared" si="2"/>
        <v>-5.4362093104655229E-2</v>
      </c>
      <c r="J15" s="313">
        <f t="shared" si="1"/>
        <v>1.3419550336841481E-2</v>
      </c>
    </row>
    <row r="16" spans="1:17" ht="25" customHeight="1" x14ac:dyDescent="0.2">
      <c r="A16" s="281">
        <v>44501</v>
      </c>
      <c r="B16" s="291">
        <v>37046.5</v>
      </c>
      <c r="C16" s="282">
        <v>-0.14269999999999999</v>
      </c>
      <c r="D16" s="291">
        <v>31998.400000000001</v>
      </c>
      <c r="E16" s="282">
        <v>-0.1656</v>
      </c>
      <c r="F16" s="291">
        <v>1478.44</v>
      </c>
      <c r="G16" s="283">
        <v>2.3699999999999999E-2</v>
      </c>
      <c r="H16" s="313">
        <f t="shared" si="0"/>
        <v>-0.14273383825411254</v>
      </c>
      <c r="I16" s="312">
        <f>(D16-D17)/D17</f>
        <v>-0.16561102491557905</v>
      </c>
      <c r="J16" s="313">
        <f t="shared" si="1"/>
        <v>2.3659011126728434E-2</v>
      </c>
    </row>
    <row r="17" spans="1:10" ht="25" customHeight="1" x14ac:dyDescent="0.2">
      <c r="A17" s="281">
        <v>44470</v>
      </c>
      <c r="B17" s="291">
        <v>43214.7</v>
      </c>
      <c r="C17" s="282">
        <v>7.9399999999999998E-2</v>
      </c>
      <c r="D17" s="291">
        <v>38349.5</v>
      </c>
      <c r="E17" s="282">
        <v>1.9400000000000001E-2</v>
      </c>
      <c r="F17" s="291">
        <v>1444.27</v>
      </c>
      <c r="G17" s="283">
        <v>7.6200000000000004E-2</v>
      </c>
      <c r="H17" s="313">
        <f t="shared" si="0"/>
        <v>7.9396043560795215E-2</v>
      </c>
      <c r="I17" s="312">
        <f t="shared" si="2"/>
        <v>1.9353346765404757E-2</v>
      </c>
      <c r="J17" s="313">
        <f t="shared" si="1"/>
        <v>7.6159039089161468E-2</v>
      </c>
    </row>
    <row r="18" spans="1:10" ht="25" customHeight="1" x14ac:dyDescent="0.2">
      <c r="A18" s="281">
        <v>44440</v>
      </c>
      <c r="B18" s="291">
        <v>40036</v>
      </c>
      <c r="C18" s="282">
        <v>7.2999999999999995E-2</v>
      </c>
      <c r="D18" s="291">
        <v>37621.4</v>
      </c>
      <c r="E18" s="282">
        <v>0.16539999999999999</v>
      </c>
      <c r="F18" s="291">
        <v>1342.06</v>
      </c>
      <c r="G18" s="283">
        <v>8.0000000000000002E-3</v>
      </c>
      <c r="H18" s="313">
        <f t="shared" si="0"/>
        <v>7.3023258307112524E-2</v>
      </c>
      <c r="I18" s="312">
        <f t="shared" si="2"/>
        <v>0.16541311459159408</v>
      </c>
      <c r="J18" s="313">
        <f t="shared" si="1"/>
        <v>7.9536151772100893E-3</v>
      </c>
    </row>
    <row r="19" spans="1:10" ht="25" customHeight="1" x14ac:dyDescent="0.2">
      <c r="A19" s="281">
        <v>44409</v>
      </c>
      <c r="B19" s="291">
        <v>37311.4</v>
      </c>
      <c r="C19" s="282">
        <v>4.2299999999999997E-2</v>
      </c>
      <c r="D19" s="291">
        <v>32281.599999999999</v>
      </c>
      <c r="E19" s="282">
        <v>6.9699999999999998E-2</v>
      </c>
      <c r="F19" s="291">
        <v>1331.47</v>
      </c>
      <c r="G19" s="283">
        <v>1.6400000000000001E-2</v>
      </c>
      <c r="H19" s="313">
        <f t="shared" si="0"/>
        <v>4.2281927939705748E-2</v>
      </c>
      <c r="I19" s="312">
        <f t="shared" si="2"/>
        <v>6.9706408642057086E-2</v>
      </c>
      <c r="J19" s="313">
        <f t="shared" si="1"/>
        <v>1.6350520972482022E-2</v>
      </c>
    </row>
    <row r="20" spans="1:10" ht="25" customHeight="1" x14ac:dyDescent="0.2">
      <c r="A20" s="281">
        <v>44378</v>
      </c>
      <c r="B20" s="291">
        <v>35797.800000000003</v>
      </c>
      <c r="C20" s="282">
        <v>-8.1600000000000006E-2</v>
      </c>
      <c r="D20" s="291">
        <v>30178</v>
      </c>
      <c r="E20" s="282">
        <v>-0.10979999999999999</v>
      </c>
      <c r="F20" s="291">
        <v>1310.05</v>
      </c>
      <c r="G20" s="283">
        <v>-6.9900000000000004E-2</v>
      </c>
      <c r="H20" s="313">
        <f t="shared" si="0"/>
        <v>-8.1551913465584255E-2</v>
      </c>
      <c r="I20" s="312">
        <f t="shared" si="2"/>
        <v>-0.10978563232122991</v>
      </c>
      <c r="J20" s="313">
        <f t="shared" si="1"/>
        <v>-6.9930069930069935E-2</v>
      </c>
    </row>
    <row r="21" spans="1:10" ht="25" customHeight="1" x14ac:dyDescent="0.2">
      <c r="A21" s="281">
        <v>44348</v>
      </c>
      <c r="B21" s="291">
        <v>38976.400000000001</v>
      </c>
      <c r="C21" s="282">
        <v>-2.2800000000000001E-2</v>
      </c>
      <c r="D21" s="291">
        <v>33899.699999999997</v>
      </c>
      <c r="E21" s="282">
        <v>4.99E-2</v>
      </c>
      <c r="F21" s="291">
        <v>1408.55</v>
      </c>
      <c r="G21" s="283">
        <v>6.0600000000000001E-2</v>
      </c>
      <c r="H21" s="313">
        <f t="shared" si="0"/>
        <v>-2.2770693450604923E-2</v>
      </c>
      <c r="I21" s="312">
        <f t="shared" si="2"/>
        <v>4.9887112908770369E-2</v>
      </c>
      <c r="J21" s="313">
        <f t="shared" si="1"/>
        <v>6.0615187681186705E-2</v>
      </c>
    </row>
    <row r="22" spans="1:10" ht="25" customHeight="1" x14ac:dyDescent="0.2">
      <c r="A22" s="281">
        <v>44317</v>
      </c>
      <c r="B22" s="291">
        <v>39884.6</v>
      </c>
      <c r="C22" s="282">
        <v>0.23130000000000001</v>
      </c>
      <c r="D22" s="291">
        <v>32288.9</v>
      </c>
      <c r="E22" s="282">
        <v>0.38269999999999998</v>
      </c>
      <c r="F22" s="291">
        <v>1328.05</v>
      </c>
      <c r="G22" s="283">
        <v>7.1499999999999994E-2</v>
      </c>
      <c r="H22" s="313">
        <f t="shared" si="0"/>
        <v>0.23132160399114582</v>
      </c>
      <c r="I22" s="312">
        <f t="shared" si="2"/>
        <v>0.3826801527894349</v>
      </c>
      <c r="J22" s="313">
        <f t="shared" si="1"/>
        <v>7.1535190698650025E-2</v>
      </c>
    </row>
    <row r="23" spans="1:10" ht="25" customHeight="1" x14ac:dyDescent="0.2">
      <c r="A23" s="281">
        <v>44287</v>
      </c>
      <c r="B23" s="291">
        <v>32391.7</v>
      </c>
      <c r="C23" s="282">
        <v>0.24149999999999999</v>
      </c>
      <c r="D23" s="291">
        <v>23352.400000000001</v>
      </c>
      <c r="E23" s="282">
        <v>0.11799999999999999</v>
      </c>
      <c r="F23" s="291">
        <v>1239.3900000000001</v>
      </c>
      <c r="G23" s="283">
        <v>4.02E-2</v>
      </c>
      <c r="H23" s="313">
        <f t="shared" si="0"/>
        <v>0.24145133720172626</v>
      </c>
      <c r="I23" s="312">
        <f t="shared" si="2"/>
        <v>0.11795485554252347</v>
      </c>
      <c r="J23" s="313">
        <f t="shared" si="1"/>
        <v>4.0245417310145741E-2</v>
      </c>
    </row>
    <row r="24" spans="1:10" ht="25" customHeight="1" x14ac:dyDescent="0.2">
      <c r="A24" s="281">
        <v>44256</v>
      </c>
      <c r="B24" s="291">
        <v>26091.8</v>
      </c>
      <c r="C24" s="282">
        <v>2.63E-2</v>
      </c>
      <c r="D24" s="291">
        <v>20888.5</v>
      </c>
      <c r="E24" s="282">
        <v>7.17E-2</v>
      </c>
      <c r="F24" s="291">
        <v>1191.44</v>
      </c>
      <c r="G24" s="283">
        <v>1.9699999999999999E-2</v>
      </c>
      <c r="H24" s="313">
        <f t="shared" si="0"/>
        <v>2.6318998375467535E-2</v>
      </c>
      <c r="I24" s="312">
        <f t="shared" si="2"/>
        <v>7.1699758863065011E-2</v>
      </c>
      <c r="J24" s="313">
        <f t="shared" si="1"/>
        <v>1.9658185490427676E-2</v>
      </c>
    </row>
    <row r="25" spans="1:10" ht="25" customHeight="1" x14ac:dyDescent="0.2">
      <c r="A25" s="281">
        <v>44228</v>
      </c>
      <c r="B25" s="291">
        <v>25422.7</v>
      </c>
      <c r="C25" s="282">
        <v>0.16470000000000001</v>
      </c>
      <c r="D25" s="291">
        <v>19491</v>
      </c>
      <c r="E25" s="282">
        <v>0.13489999999999999</v>
      </c>
      <c r="F25" s="291">
        <v>1168.47</v>
      </c>
      <c r="G25" s="283">
        <v>0.10589999999999999</v>
      </c>
      <c r="H25" s="313">
        <f t="shared" si="0"/>
        <v>0.16474700826506869</v>
      </c>
      <c r="I25" s="312">
        <f t="shared" si="2"/>
        <v>0.13490002445528754</v>
      </c>
      <c r="J25" s="313">
        <f t="shared" si="1"/>
        <v>0.10586687614162286</v>
      </c>
    </row>
    <row r="26" spans="1:10" ht="25" customHeight="1" x14ac:dyDescent="0.2">
      <c r="A26" s="281">
        <v>44197</v>
      </c>
      <c r="B26" s="291">
        <v>21826.799999999999</v>
      </c>
      <c r="C26" s="282">
        <v>-5.5500000000000001E-2</v>
      </c>
      <c r="D26" s="291">
        <v>17174.2</v>
      </c>
      <c r="E26" s="282">
        <v>5.4199999999999998E-2</v>
      </c>
      <c r="F26" s="291">
        <v>1056.6099999999999</v>
      </c>
      <c r="G26" s="283">
        <v>-4.2799999999999998E-2</v>
      </c>
      <c r="H26" s="313">
        <f t="shared" si="0"/>
        <v>-5.5484876022328995E-2</v>
      </c>
      <c r="I26" s="312">
        <f t="shared" si="2"/>
        <v>5.4175157750006156E-2</v>
      </c>
      <c r="J26" s="313">
        <f t="shared" si="1"/>
        <v>-4.2813012401822677E-2</v>
      </c>
    </row>
    <row r="27" spans="1:10" ht="25" customHeight="1" x14ac:dyDescent="0.2">
      <c r="A27" s="281">
        <v>44166</v>
      </c>
      <c r="B27" s="291">
        <v>23109</v>
      </c>
      <c r="C27" s="282">
        <v>0.1676</v>
      </c>
      <c r="D27" s="291">
        <v>16291.6</v>
      </c>
      <c r="E27" s="282">
        <v>0.2306</v>
      </c>
      <c r="F27" s="291">
        <v>1103.8699999999999</v>
      </c>
      <c r="G27" s="283">
        <v>0.10050000000000001</v>
      </c>
      <c r="H27" s="313">
        <f t="shared" si="0"/>
        <v>0.16760476561000015</v>
      </c>
      <c r="I27" s="312">
        <f t="shared" si="2"/>
        <v>0.23055773762765117</v>
      </c>
      <c r="J27" s="313">
        <f t="shared" si="1"/>
        <v>0.10048051999840477</v>
      </c>
    </row>
    <row r="28" spans="1:10" ht="25" customHeight="1" x14ac:dyDescent="0.2">
      <c r="A28" s="281">
        <v>44136</v>
      </c>
      <c r="B28" s="291">
        <v>19791.8</v>
      </c>
      <c r="C28" s="282">
        <v>0.16200000000000001</v>
      </c>
      <c r="D28" s="291">
        <v>13239.2</v>
      </c>
      <c r="E28" s="282">
        <v>0.2</v>
      </c>
      <c r="F28" s="291">
        <v>1003.08</v>
      </c>
      <c r="G28" s="283">
        <v>8.3900000000000002E-2</v>
      </c>
      <c r="H28" s="313">
        <f t="shared" si="0"/>
        <v>0.16202934459050858</v>
      </c>
      <c r="I28" s="312">
        <f t="shared" si="2"/>
        <v>0.19999637441424128</v>
      </c>
      <c r="J28" s="313">
        <f t="shared" si="1"/>
        <v>8.3860092709650239E-2</v>
      </c>
    </row>
    <row r="29" spans="1:10" ht="25" customHeight="1" x14ac:dyDescent="0.2">
      <c r="A29" s="281">
        <v>44105</v>
      </c>
      <c r="B29" s="291">
        <v>17032.099999999999</v>
      </c>
      <c r="C29" s="282">
        <v>0.15720000000000001</v>
      </c>
      <c r="D29" s="291">
        <v>11032.7</v>
      </c>
      <c r="E29" s="282">
        <v>-4.1500000000000002E-2</v>
      </c>
      <c r="F29" s="293">
        <v>925.47</v>
      </c>
      <c r="G29" s="283">
        <v>2.24E-2</v>
      </c>
      <c r="H29" s="313">
        <f t="shared" si="0"/>
        <v>0.15719779323839542</v>
      </c>
      <c r="I29" s="312">
        <f t="shared" si="2"/>
        <v>-4.1526579617225709E-2</v>
      </c>
      <c r="J29" s="313">
        <f t="shared" si="1"/>
        <v>2.2381546823389036E-2</v>
      </c>
    </row>
    <row r="30" spans="1:10" ht="25" customHeight="1" x14ac:dyDescent="0.2">
      <c r="A30" s="281">
        <v>44075</v>
      </c>
      <c r="B30" s="291">
        <v>14718.4</v>
      </c>
      <c r="C30" s="282">
        <v>7.5399999999999995E-2</v>
      </c>
      <c r="D30" s="291">
        <v>11510.7</v>
      </c>
      <c r="E30" s="282">
        <v>0.38500000000000001</v>
      </c>
      <c r="F30" s="293">
        <v>905.21</v>
      </c>
      <c r="G30" s="283">
        <v>2.6700000000000002E-2</v>
      </c>
      <c r="H30" s="313">
        <f t="shared" si="0"/>
        <v>7.5356177394607995E-2</v>
      </c>
      <c r="I30" s="312">
        <f t="shared" si="2"/>
        <v>0.38494579668643913</v>
      </c>
      <c r="J30" s="313">
        <f t="shared" si="1"/>
        <v>2.6722622355810195E-2</v>
      </c>
    </row>
    <row r="31" spans="1:10" ht="25" customHeight="1" x14ac:dyDescent="0.2">
      <c r="A31" s="281">
        <v>44044</v>
      </c>
      <c r="B31" s="291">
        <v>13687</v>
      </c>
      <c r="C31" s="282">
        <v>0.1313</v>
      </c>
      <c r="D31" s="291">
        <v>8311.2999999999993</v>
      </c>
      <c r="E31" s="282">
        <v>0.1895</v>
      </c>
      <c r="F31" s="293">
        <v>881.65</v>
      </c>
      <c r="G31" s="283">
        <v>0.1043</v>
      </c>
      <c r="H31" s="313">
        <f t="shared" si="0"/>
        <v>0.13133467238657306</v>
      </c>
      <c r="I31" s="312">
        <f t="shared" si="2"/>
        <v>0.18946961673870105</v>
      </c>
      <c r="J31" s="313">
        <f t="shared" si="1"/>
        <v>0.1042848733075314</v>
      </c>
    </row>
    <row r="32" spans="1:10" ht="25" customHeight="1" x14ac:dyDescent="0.2">
      <c r="A32" s="281">
        <v>44013</v>
      </c>
      <c r="B32" s="291">
        <v>12098.1</v>
      </c>
      <c r="C32" s="282">
        <v>-1.3299999999999999E-2</v>
      </c>
      <c r="D32" s="291">
        <v>6987.4</v>
      </c>
      <c r="E32" s="282">
        <v>-0.17030000000000001</v>
      </c>
      <c r="F32" s="293">
        <v>798.39</v>
      </c>
      <c r="G32" s="283">
        <v>-3.2399999999999998E-2</v>
      </c>
      <c r="H32" s="313">
        <f t="shared" si="0"/>
        <v>-1.3326265138849214E-2</v>
      </c>
      <c r="I32" s="312">
        <f t="shared" si="2"/>
        <v>-0.17030018048826834</v>
      </c>
      <c r="J32" s="313">
        <f t="shared" si="1"/>
        <v>-3.2383560979748184E-2</v>
      </c>
    </row>
    <row r="33" spans="1:10" ht="25" customHeight="1" x14ac:dyDescent="0.2">
      <c r="A33" s="281">
        <v>43983</v>
      </c>
      <c r="B33" s="291">
        <v>12261.5</v>
      </c>
      <c r="C33" s="282">
        <v>-2.1899999999999999E-2</v>
      </c>
      <c r="D33" s="291">
        <v>8421.6</v>
      </c>
      <c r="E33" s="282">
        <v>0.1484</v>
      </c>
      <c r="F33" s="293">
        <v>825.11</v>
      </c>
      <c r="G33" s="283">
        <v>-4.5499999999999999E-2</v>
      </c>
      <c r="H33" s="313">
        <f t="shared" si="0"/>
        <v>-2.1896936821952775E-2</v>
      </c>
      <c r="I33" s="312">
        <f t="shared" si="2"/>
        <v>0.14845220237283518</v>
      </c>
      <c r="J33" s="313">
        <f t="shared" si="1"/>
        <v>-4.5530787650236576E-2</v>
      </c>
    </row>
    <row r="34" spans="1:10" ht="25" customHeight="1" x14ac:dyDescent="0.2">
      <c r="A34" s="281">
        <v>43952</v>
      </c>
      <c r="B34" s="291">
        <v>12536</v>
      </c>
      <c r="C34" s="282">
        <v>0.27439999999999998</v>
      </c>
      <c r="D34" s="291">
        <v>7333</v>
      </c>
      <c r="E34" s="282">
        <v>0.35649999999999998</v>
      </c>
      <c r="F34" s="293">
        <v>864.47</v>
      </c>
      <c r="G34" s="283">
        <v>0.124</v>
      </c>
      <c r="H34" s="313">
        <f t="shared" si="0"/>
        <v>0.27442408962446369</v>
      </c>
      <c r="I34" s="312">
        <f t="shared" si="2"/>
        <v>0.35645578986311505</v>
      </c>
      <c r="J34" s="313">
        <f t="shared" si="1"/>
        <v>0.12398746603216707</v>
      </c>
    </row>
    <row r="35" spans="1:10" ht="25" customHeight="1" x14ac:dyDescent="0.2">
      <c r="A35" s="281">
        <v>43922</v>
      </c>
      <c r="B35" s="291">
        <v>9836.6</v>
      </c>
      <c r="C35" s="282">
        <v>0.27600000000000002</v>
      </c>
      <c r="D35" s="291">
        <v>5406</v>
      </c>
      <c r="E35" s="282">
        <v>0.69620000000000004</v>
      </c>
      <c r="F35" s="293">
        <v>769.11</v>
      </c>
      <c r="G35" s="283">
        <v>0.16089999999999999</v>
      </c>
      <c r="H35" s="313">
        <f t="shared" si="0"/>
        <v>0.27595600062263276</v>
      </c>
      <c r="I35" s="312">
        <f t="shared" si="2"/>
        <v>0.69615963855421692</v>
      </c>
      <c r="J35" s="313">
        <f t="shared" si="1"/>
        <v>0.16086818710096154</v>
      </c>
    </row>
    <row r="36" spans="1:10" ht="25" customHeight="1" x14ac:dyDescent="0.2">
      <c r="A36" s="281">
        <v>43891</v>
      </c>
      <c r="B36" s="291">
        <v>7709.2</v>
      </c>
      <c r="C36" s="282">
        <v>-0.24610000000000001</v>
      </c>
      <c r="D36" s="291">
        <v>3187.2</v>
      </c>
      <c r="E36" s="282">
        <v>-0.40129999999999999</v>
      </c>
      <c r="F36" s="293">
        <v>662.53</v>
      </c>
      <c r="G36" s="283">
        <v>-0.249</v>
      </c>
      <c r="H36" s="313">
        <f t="shared" si="0"/>
        <v>-0.24608087624077063</v>
      </c>
      <c r="I36" s="312">
        <f t="shared" si="2"/>
        <v>-0.40131863177865018</v>
      </c>
      <c r="J36" s="313">
        <f t="shared" si="1"/>
        <v>-0.24899398088847083</v>
      </c>
    </row>
    <row r="37" spans="1:10" ht="25" customHeight="1" x14ac:dyDescent="0.2">
      <c r="A37" s="281">
        <v>43862</v>
      </c>
      <c r="B37" s="291">
        <v>10225.5</v>
      </c>
      <c r="C37" s="282">
        <v>-7.2599999999999998E-2</v>
      </c>
      <c r="D37" s="291">
        <v>5323.7</v>
      </c>
      <c r="E37" s="282">
        <v>-6.7500000000000004E-2</v>
      </c>
      <c r="F37" s="293">
        <v>882.19</v>
      </c>
      <c r="G37" s="283">
        <v>-5.8099999999999999E-2</v>
      </c>
      <c r="H37" s="313">
        <f t="shared" si="0"/>
        <v>-7.2617946345976014E-2</v>
      </c>
      <c r="I37" s="312">
        <f t="shared" si="2"/>
        <v>-6.7489928183569831E-2</v>
      </c>
      <c r="J37" s="313">
        <f t="shared" si="1"/>
        <v>-5.8113215605047883E-2</v>
      </c>
    </row>
    <row r="38" spans="1:10" ht="25" customHeight="1" x14ac:dyDescent="0.2">
      <c r="A38" s="306">
        <v>43831</v>
      </c>
      <c r="B38" s="307">
        <v>11026.2</v>
      </c>
      <c r="C38" s="308">
        <v>2.5499999999999998E-2</v>
      </c>
      <c r="D38" s="307">
        <v>5709</v>
      </c>
      <c r="E38" s="308">
        <v>4.3499999999999997E-2</v>
      </c>
      <c r="F38" s="309">
        <v>936.62</v>
      </c>
      <c r="G38" s="310">
        <v>-2.5399999999999999E-2</v>
      </c>
      <c r="H38" s="314">
        <f t="shared" si="0"/>
        <v>2.5530846284773569E-2</v>
      </c>
      <c r="I38" s="315">
        <f t="shared" si="2"/>
        <v>4.3540250054836555E-2</v>
      </c>
      <c r="J38" s="314">
        <f t="shared" si="1"/>
        <v>-2.5359264924713062E-2</v>
      </c>
    </row>
    <row r="39" spans="1:10" ht="25" customHeight="1" x14ac:dyDescent="0.2">
      <c r="A39" s="284">
        <v>43477</v>
      </c>
      <c r="B39" s="292">
        <v>10751.7</v>
      </c>
      <c r="C39" s="285">
        <v>2.8400000000000002E-2</v>
      </c>
      <c r="D39" s="292">
        <v>5470.8</v>
      </c>
      <c r="E39" s="285">
        <v>3.8999999999999998E-3</v>
      </c>
      <c r="F39" s="294">
        <v>960.99</v>
      </c>
      <c r="G39" s="286">
        <v>-1.01E-2</v>
      </c>
      <c r="H39" s="316"/>
      <c r="I39" s="317"/>
      <c r="J39" s="316"/>
    </row>
    <row r="40" spans="1:10" ht="16" x14ac:dyDescent="0.2">
      <c r="H40" s="290"/>
      <c r="I40" s="283"/>
      <c r="J40" s="290"/>
    </row>
    <row r="41" spans="1:10" ht="16" x14ac:dyDescent="0.2">
      <c r="H41" s="291"/>
      <c r="I41" s="283"/>
      <c r="J41" s="291"/>
    </row>
    <row r="42" spans="1:10" ht="16" x14ac:dyDescent="0.2">
      <c r="H42" s="291"/>
      <c r="I42" s="283"/>
      <c r="J42" s="291"/>
    </row>
    <row r="43" spans="1:10" ht="15" x14ac:dyDescent="0.2">
      <c r="I43" s="279"/>
    </row>
    <row r="44" spans="1:10" ht="15" x14ac:dyDescent="0.2">
      <c r="I44" s="279"/>
    </row>
    <row r="45" spans="1:10" ht="15" x14ac:dyDescent="0.2">
      <c r="I45" s="279"/>
    </row>
    <row r="46" spans="1:10" ht="15" x14ac:dyDescent="0.2">
      <c r="I46" s="279"/>
    </row>
    <row r="47" spans="1:10" ht="15" x14ac:dyDescent="0.2">
      <c r="I47" s="279"/>
    </row>
    <row r="48" spans="1:10" ht="15" x14ac:dyDescent="0.2">
      <c r="I48" s="279"/>
    </row>
    <row r="49" spans="9:9" ht="15" x14ac:dyDescent="0.2">
      <c r="I49" s="279"/>
    </row>
    <row r="50" spans="9:9" ht="15" x14ac:dyDescent="0.2">
      <c r="I50" s="279"/>
    </row>
    <row r="51" spans="9:9" ht="15" x14ac:dyDescent="0.2">
      <c r="I51" s="279"/>
    </row>
    <row r="52" spans="9:9" ht="15" x14ac:dyDescent="0.2">
      <c r="I52" s="279"/>
    </row>
    <row r="53" spans="9:9" ht="15" x14ac:dyDescent="0.2">
      <c r="I53" s="279"/>
    </row>
    <row r="54" spans="9:9" ht="15" x14ac:dyDescent="0.2">
      <c r="I54" s="279"/>
    </row>
    <row r="55" spans="9:9" ht="15" x14ac:dyDescent="0.2">
      <c r="I55" s="279"/>
    </row>
    <row r="56" spans="9:9" ht="15" x14ac:dyDescent="0.2">
      <c r="I56" s="279"/>
    </row>
    <row r="57" spans="9:9" ht="15" x14ac:dyDescent="0.2">
      <c r="I57" s="279"/>
    </row>
    <row r="58" spans="9:9" ht="15" x14ac:dyDescent="0.2">
      <c r="I58" s="279"/>
    </row>
    <row r="59" spans="9:9" ht="15" x14ac:dyDescent="0.2">
      <c r="I59" s="279"/>
    </row>
    <row r="60" spans="9:9" ht="15" x14ac:dyDescent="0.2">
      <c r="I60" s="279"/>
    </row>
    <row r="61" spans="9:9" ht="15" x14ac:dyDescent="0.2">
      <c r="I61" s="279"/>
    </row>
    <row r="62" spans="9:9" ht="15" x14ac:dyDescent="0.2">
      <c r="I62" s="279"/>
    </row>
    <row r="63" spans="9:9" ht="15" x14ac:dyDescent="0.2">
      <c r="I63" s="279"/>
    </row>
    <row r="64" spans="9:9" ht="15" x14ac:dyDescent="0.2">
      <c r="I64" s="279"/>
    </row>
    <row r="65" spans="9:9" ht="15" x14ac:dyDescent="0.2">
      <c r="I65" s="279"/>
    </row>
    <row r="66" spans="9:9" ht="15" x14ac:dyDescent="0.2">
      <c r="I66" s="279"/>
    </row>
    <row r="67" spans="9:9" ht="15" x14ac:dyDescent="0.2">
      <c r="I67" s="279"/>
    </row>
    <row r="68" spans="9:9" ht="15" x14ac:dyDescent="0.2">
      <c r="I68" s="279"/>
    </row>
    <row r="69" spans="9:9" ht="15" x14ac:dyDescent="0.2">
      <c r="I69" s="279"/>
    </row>
    <row r="70" spans="9:9" ht="15" x14ac:dyDescent="0.2">
      <c r="I70" s="279"/>
    </row>
    <row r="71" spans="9:9" ht="15" x14ac:dyDescent="0.2">
      <c r="I71" s="279"/>
    </row>
    <row r="72" spans="9:9" ht="15" x14ac:dyDescent="0.2">
      <c r="I72" s="279"/>
    </row>
    <row r="73" spans="9:9" ht="15" x14ac:dyDescent="0.2">
      <c r="I73" s="279"/>
    </row>
    <row r="74" spans="9:9" ht="15" x14ac:dyDescent="0.2">
      <c r="I74" s="279"/>
    </row>
    <row r="75" spans="9:9" ht="15" x14ac:dyDescent="0.2">
      <c r="I75" s="279"/>
    </row>
    <row r="76" spans="9:9" ht="15" x14ac:dyDescent="0.2">
      <c r="I76" s="279"/>
    </row>
    <row r="77" spans="9:9" ht="15" x14ac:dyDescent="0.2">
      <c r="I77" s="279"/>
    </row>
    <row r="78" spans="9:9" ht="15" x14ac:dyDescent="0.2">
      <c r="I78" s="279"/>
    </row>
    <row r="79" spans="9:9" ht="15" x14ac:dyDescent="0.2">
      <c r="I79" s="279"/>
    </row>
    <row r="80" spans="9:9" ht="15" x14ac:dyDescent="0.2">
      <c r="I80" s="279"/>
    </row>
    <row r="81" spans="9:9" ht="15" x14ac:dyDescent="0.2">
      <c r="I81" s="279"/>
    </row>
    <row r="82" spans="9:9" ht="15" x14ac:dyDescent="0.2">
      <c r="I82" s="279"/>
    </row>
    <row r="83" spans="9:9" ht="15" x14ac:dyDescent="0.2">
      <c r="I83" s="279"/>
    </row>
    <row r="84" spans="9:9" ht="15" x14ac:dyDescent="0.2">
      <c r="I84" s="279"/>
    </row>
    <row r="85" spans="9:9" ht="15" x14ac:dyDescent="0.2">
      <c r="I85" s="279"/>
    </row>
    <row r="86" spans="9:9" ht="15" x14ac:dyDescent="0.2">
      <c r="I86" s="279"/>
    </row>
    <row r="87" spans="9:9" ht="15" x14ac:dyDescent="0.2">
      <c r="I87" s="279"/>
    </row>
    <row r="88" spans="9:9" ht="15" x14ac:dyDescent="0.2">
      <c r="I88" s="279"/>
    </row>
    <row r="89" spans="9:9" ht="15" x14ac:dyDescent="0.2">
      <c r="I89" s="279"/>
    </row>
    <row r="90" spans="9:9" ht="15" x14ac:dyDescent="0.2">
      <c r="I90" s="279"/>
    </row>
    <row r="91" spans="9:9" ht="15" x14ac:dyDescent="0.2">
      <c r="I91" s="279"/>
    </row>
    <row r="92" spans="9:9" ht="15" x14ac:dyDescent="0.2">
      <c r="I92" s="279"/>
    </row>
    <row r="93" spans="9:9" ht="15" x14ac:dyDescent="0.2">
      <c r="I93" s="279"/>
    </row>
    <row r="94" spans="9:9" ht="15" x14ac:dyDescent="0.2">
      <c r="I94" s="279"/>
    </row>
    <row r="95" spans="9:9" ht="15" x14ac:dyDescent="0.2">
      <c r="I95" s="279"/>
    </row>
    <row r="96" spans="9:9" ht="15" x14ac:dyDescent="0.2">
      <c r="I96" s="279"/>
    </row>
    <row r="97" spans="9:9" ht="15" x14ac:dyDescent="0.2">
      <c r="I97" s="279"/>
    </row>
    <row r="98" spans="9:9" ht="15" x14ac:dyDescent="0.2">
      <c r="I98" s="279"/>
    </row>
    <row r="99" spans="9:9" ht="15" x14ac:dyDescent="0.2">
      <c r="I99" s="279"/>
    </row>
    <row r="100" spans="9:9" ht="15" x14ac:dyDescent="0.2">
      <c r="I100" s="279"/>
    </row>
    <row r="101" spans="9:9" ht="15" x14ac:dyDescent="0.2">
      <c r="I101" s="279"/>
    </row>
    <row r="102" spans="9:9" ht="15" x14ac:dyDescent="0.2">
      <c r="I102" s="279"/>
    </row>
    <row r="103" spans="9:9" ht="15" x14ac:dyDescent="0.2">
      <c r="I103" s="279"/>
    </row>
    <row r="104" spans="9:9" ht="15" x14ac:dyDescent="0.2">
      <c r="I104" s="279"/>
    </row>
    <row r="105" spans="9:9" ht="15" x14ac:dyDescent="0.2">
      <c r="I105" s="279"/>
    </row>
    <row r="106" spans="9:9" ht="15" x14ac:dyDescent="0.2">
      <c r="I106" s="279"/>
    </row>
    <row r="107" spans="9:9" ht="15" x14ac:dyDescent="0.2">
      <c r="I107" s="279"/>
    </row>
    <row r="108" spans="9:9" ht="15" x14ac:dyDescent="0.2">
      <c r="I108" s="279"/>
    </row>
    <row r="109" spans="9:9" ht="15" x14ac:dyDescent="0.2">
      <c r="I109" s="279"/>
    </row>
    <row r="110" spans="9:9" ht="15" x14ac:dyDescent="0.2">
      <c r="I110" s="279"/>
    </row>
    <row r="111" spans="9:9" ht="15" x14ac:dyDescent="0.2">
      <c r="I111" s="279"/>
    </row>
    <row r="112" spans="9:9" ht="15" x14ac:dyDescent="0.2">
      <c r="I112" s="279"/>
    </row>
    <row r="113" spans="9:9" ht="15" x14ac:dyDescent="0.2">
      <c r="I113" s="279"/>
    </row>
    <row r="114" spans="9:9" ht="15" x14ac:dyDescent="0.2">
      <c r="I114" s="279"/>
    </row>
    <row r="115" spans="9:9" ht="15" x14ac:dyDescent="0.2">
      <c r="I115" s="279"/>
    </row>
    <row r="116" spans="9:9" ht="15" x14ac:dyDescent="0.2">
      <c r="I116" s="279"/>
    </row>
    <row r="117" spans="9:9" ht="15" x14ac:dyDescent="0.2">
      <c r="I117" s="279"/>
    </row>
    <row r="118" spans="9:9" ht="15" x14ac:dyDescent="0.2">
      <c r="I118" s="279"/>
    </row>
    <row r="119" spans="9:9" ht="15" x14ac:dyDescent="0.2">
      <c r="I119" s="279"/>
    </row>
    <row r="120" spans="9:9" ht="15" x14ac:dyDescent="0.2">
      <c r="I120" s="279"/>
    </row>
    <row r="121" spans="9:9" ht="15" x14ac:dyDescent="0.2">
      <c r="I121" s="279"/>
    </row>
    <row r="122" spans="9:9" ht="15" x14ac:dyDescent="0.2">
      <c r="I122" s="279"/>
    </row>
    <row r="123" spans="9:9" ht="15" x14ac:dyDescent="0.2">
      <c r="I123" s="279"/>
    </row>
    <row r="124" spans="9:9" ht="15" x14ac:dyDescent="0.2">
      <c r="I124" s="279"/>
    </row>
    <row r="125" spans="9:9" ht="15" x14ac:dyDescent="0.2">
      <c r="I125" s="279"/>
    </row>
    <row r="126" spans="9:9" ht="15" x14ac:dyDescent="0.2">
      <c r="I126" s="279"/>
    </row>
    <row r="127" spans="9:9" ht="15" x14ac:dyDescent="0.2">
      <c r="I127" s="279"/>
    </row>
    <row r="128" spans="9:9" ht="15" x14ac:dyDescent="0.2">
      <c r="I128" s="279"/>
    </row>
    <row r="129" spans="9:9" ht="15" x14ac:dyDescent="0.2">
      <c r="I129" s="279"/>
    </row>
    <row r="130" spans="9:9" ht="15" x14ac:dyDescent="0.2">
      <c r="I130" s="279"/>
    </row>
    <row r="131" spans="9:9" ht="15" x14ac:dyDescent="0.2">
      <c r="I131" s="279"/>
    </row>
    <row r="132" spans="9:9" ht="15" x14ac:dyDescent="0.2">
      <c r="I132" s="279"/>
    </row>
    <row r="133" spans="9:9" ht="15" x14ac:dyDescent="0.2">
      <c r="I133" s="279"/>
    </row>
    <row r="134" spans="9:9" ht="15" x14ac:dyDescent="0.2">
      <c r="I134" s="279"/>
    </row>
    <row r="135" spans="9:9" ht="15" x14ac:dyDescent="0.2">
      <c r="I135" s="279"/>
    </row>
    <row r="136" spans="9:9" ht="15" x14ac:dyDescent="0.2">
      <c r="I136" s="279"/>
    </row>
    <row r="137" spans="9:9" ht="15" x14ac:dyDescent="0.2">
      <c r="I137" s="279"/>
    </row>
    <row r="138" spans="9:9" ht="15" x14ac:dyDescent="0.2">
      <c r="I138" s="279"/>
    </row>
    <row r="139" spans="9:9" ht="15" x14ac:dyDescent="0.2">
      <c r="I139" s="279"/>
    </row>
    <row r="140" spans="9:9" ht="15" x14ac:dyDescent="0.2">
      <c r="I140" s="279"/>
    </row>
    <row r="141" spans="9:9" ht="15" x14ac:dyDescent="0.2">
      <c r="I141" s="279"/>
    </row>
    <row r="142" spans="9:9" ht="15" x14ac:dyDescent="0.2">
      <c r="I142" s="279"/>
    </row>
    <row r="143" spans="9:9" ht="15" x14ac:dyDescent="0.2">
      <c r="I143" s="279"/>
    </row>
    <row r="144" spans="9:9" ht="15" x14ac:dyDescent="0.2">
      <c r="I144" s="279"/>
    </row>
    <row r="145" spans="9:9" ht="15" x14ac:dyDescent="0.2">
      <c r="I145" s="279"/>
    </row>
    <row r="146" spans="9:9" ht="15" x14ac:dyDescent="0.2">
      <c r="I146" s="279"/>
    </row>
    <row r="147" spans="9:9" ht="15" x14ac:dyDescent="0.2">
      <c r="I147" s="279"/>
    </row>
    <row r="148" spans="9:9" ht="15" x14ac:dyDescent="0.2">
      <c r="I148" s="279"/>
    </row>
    <row r="149" spans="9:9" ht="15" x14ac:dyDescent="0.2">
      <c r="I149" s="279"/>
    </row>
    <row r="150" spans="9:9" ht="15" x14ac:dyDescent="0.2">
      <c r="I150" s="279"/>
    </row>
    <row r="151" spans="9:9" ht="15" x14ac:dyDescent="0.2">
      <c r="I151" s="279"/>
    </row>
    <row r="152" spans="9:9" ht="15" x14ac:dyDescent="0.2">
      <c r="I152" s="279"/>
    </row>
    <row r="153" spans="9:9" ht="15" x14ac:dyDescent="0.2">
      <c r="I153" s="279"/>
    </row>
    <row r="154" spans="9:9" ht="15" x14ac:dyDescent="0.2">
      <c r="I154" s="279"/>
    </row>
    <row r="155" spans="9:9" ht="15" x14ac:dyDescent="0.2">
      <c r="I155" s="279"/>
    </row>
    <row r="156" spans="9:9" ht="15" x14ac:dyDescent="0.2">
      <c r="I156" s="279"/>
    </row>
    <row r="157" spans="9:9" ht="15" x14ac:dyDescent="0.2">
      <c r="I157" s="279"/>
    </row>
    <row r="158" spans="9:9" ht="15" x14ac:dyDescent="0.2">
      <c r="I158" s="279"/>
    </row>
    <row r="159" spans="9:9" ht="15" x14ac:dyDescent="0.2">
      <c r="I159" s="279"/>
    </row>
    <row r="160" spans="9:9" ht="15" x14ac:dyDescent="0.2">
      <c r="I160" s="279"/>
    </row>
    <row r="161" spans="9:9" ht="15" x14ac:dyDescent="0.2">
      <c r="I161" s="279"/>
    </row>
    <row r="162" spans="9:9" ht="15" x14ac:dyDescent="0.2">
      <c r="I162" s="279"/>
    </row>
    <row r="163" spans="9:9" ht="15" x14ac:dyDescent="0.2">
      <c r="I163" s="279"/>
    </row>
    <row r="164" spans="9:9" ht="15" x14ac:dyDescent="0.2">
      <c r="I164" s="279"/>
    </row>
    <row r="165" spans="9:9" ht="15" x14ac:dyDescent="0.2">
      <c r="I165" s="279"/>
    </row>
    <row r="166" spans="9:9" ht="15" x14ac:dyDescent="0.2">
      <c r="I166" s="279"/>
    </row>
    <row r="167" spans="9:9" ht="15" x14ac:dyDescent="0.2">
      <c r="I167" s="279"/>
    </row>
    <row r="168" spans="9:9" ht="15" x14ac:dyDescent="0.2">
      <c r="I168" s="279"/>
    </row>
    <row r="169" spans="9:9" ht="15" x14ac:dyDescent="0.2">
      <c r="I169" s="279"/>
    </row>
    <row r="170" spans="9:9" ht="15" x14ac:dyDescent="0.2">
      <c r="I170" s="279"/>
    </row>
    <row r="171" spans="9:9" ht="15" x14ac:dyDescent="0.2">
      <c r="I171" s="279"/>
    </row>
    <row r="172" spans="9:9" ht="15" x14ac:dyDescent="0.2">
      <c r="I172" s="279"/>
    </row>
    <row r="173" spans="9:9" ht="15" x14ac:dyDescent="0.2">
      <c r="I173" s="279"/>
    </row>
    <row r="174" spans="9:9" ht="15" x14ac:dyDescent="0.2">
      <c r="I174" s="279"/>
    </row>
    <row r="175" spans="9:9" ht="15" x14ac:dyDescent="0.2">
      <c r="I175" s="279"/>
    </row>
    <row r="176" spans="9:9" ht="15" x14ac:dyDescent="0.2">
      <c r="I176" s="279"/>
    </row>
    <row r="177" spans="9:9" ht="15" x14ac:dyDescent="0.2">
      <c r="I177" s="279"/>
    </row>
    <row r="178" spans="9:9" ht="15" x14ac:dyDescent="0.2">
      <c r="I178" s="279"/>
    </row>
    <row r="179" spans="9:9" ht="15" x14ac:dyDescent="0.2">
      <c r="I179" s="279"/>
    </row>
    <row r="180" spans="9:9" ht="15" x14ac:dyDescent="0.2">
      <c r="I180" s="279"/>
    </row>
    <row r="181" spans="9:9" ht="15" x14ac:dyDescent="0.2">
      <c r="I181" s="279"/>
    </row>
    <row r="182" spans="9:9" ht="15" x14ac:dyDescent="0.2">
      <c r="I182" s="279"/>
    </row>
    <row r="183" spans="9:9" ht="15" x14ac:dyDescent="0.2">
      <c r="I183" s="279"/>
    </row>
    <row r="184" spans="9:9" ht="15" x14ac:dyDescent="0.2">
      <c r="I184" s="279"/>
    </row>
    <row r="185" spans="9:9" ht="15" x14ac:dyDescent="0.2">
      <c r="I185" s="279"/>
    </row>
    <row r="186" spans="9:9" ht="15" x14ac:dyDescent="0.2">
      <c r="I186" s="279"/>
    </row>
    <row r="187" spans="9:9" ht="15" x14ac:dyDescent="0.2">
      <c r="I187" s="279"/>
    </row>
    <row r="188" spans="9:9" ht="15" x14ac:dyDescent="0.2">
      <c r="I188" s="279"/>
    </row>
    <row r="189" spans="9:9" ht="15" x14ac:dyDescent="0.2">
      <c r="I189" s="279"/>
    </row>
    <row r="190" spans="9:9" ht="15" x14ac:dyDescent="0.2">
      <c r="I190" s="279"/>
    </row>
    <row r="191" spans="9:9" ht="15" x14ac:dyDescent="0.2">
      <c r="I191" s="279"/>
    </row>
    <row r="192" spans="9:9" ht="15" x14ac:dyDescent="0.2">
      <c r="I192" s="279"/>
    </row>
    <row r="193" spans="9:9" ht="15" x14ac:dyDescent="0.2">
      <c r="I193" s="279"/>
    </row>
    <row r="194" spans="9:9" ht="15" x14ac:dyDescent="0.2">
      <c r="I194" s="279"/>
    </row>
    <row r="195" spans="9:9" ht="15" x14ac:dyDescent="0.2">
      <c r="I195" s="279"/>
    </row>
    <row r="196" spans="9:9" ht="15" x14ac:dyDescent="0.2">
      <c r="I196" s="279"/>
    </row>
    <row r="197" spans="9:9" ht="15" x14ac:dyDescent="0.2">
      <c r="I197" s="279"/>
    </row>
    <row r="198" spans="9:9" ht="15" x14ac:dyDescent="0.2">
      <c r="I198" s="279"/>
    </row>
    <row r="199" spans="9:9" ht="15" x14ac:dyDescent="0.2">
      <c r="I199" s="279"/>
    </row>
    <row r="200" spans="9:9" ht="15" x14ac:dyDescent="0.2">
      <c r="I200" s="279"/>
    </row>
    <row r="201" spans="9:9" ht="15" x14ac:dyDescent="0.2">
      <c r="I201" s="279"/>
    </row>
    <row r="202" spans="9:9" ht="15" x14ac:dyDescent="0.2">
      <c r="I202" s="279"/>
    </row>
    <row r="203" spans="9:9" ht="15" x14ac:dyDescent="0.2">
      <c r="I203" s="279"/>
    </row>
    <row r="204" spans="9:9" ht="15" x14ac:dyDescent="0.2">
      <c r="I204" s="279"/>
    </row>
    <row r="205" spans="9:9" ht="15" x14ac:dyDescent="0.2">
      <c r="I205" s="279"/>
    </row>
    <row r="206" spans="9:9" ht="15" x14ac:dyDescent="0.2">
      <c r="I206" s="279"/>
    </row>
    <row r="207" spans="9:9" ht="15" x14ac:dyDescent="0.2">
      <c r="I207" s="279"/>
    </row>
    <row r="208" spans="9:9" ht="15" x14ac:dyDescent="0.2">
      <c r="I208" s="279"/>
    </row>
    <row r="209" spans="9:9" ht="15" x14ac:dyDescent="0.2">
      <c r="I209" s="279"/>
    </row>
    <row r="210" spans="9:9" ht="15" x14ac:dyDescent="0.2">
      <c r="I210" s="279"/>
    </row>
    <row r="211" spans="9:9" ht="15" x14ac:dyDescent="0.2">
      <c r="I211" s="279"/>
    </row>
    <row r="212" spans="9:9" ht="15" x14ac:dyDescent="0.2">
      <c r="I212" s="279"/>
    </row>
    <row r="213" spans="9:9" ht="15" x14ac:dyDescent="0.2">
      <c r="I213" s="279"/>
    </row>
    <row r="214" spans="9:9" ht="15" x14ac:dyDescent="0.2">
      <c r="I214" s="279"/>
    </row>
    <row r="215" spans="9:9" ht="15" x14ac:dyDescent="0.2">
      <c r="I215" s="279"/>
    </row>
    <row r="216" spans="9:9" ht="15" x14ac:dyDescent="0.2">
      <c r="I216" s="279"/>
    </row>
    <row r="217" spans="9:9" ht="15" x14ac:dyDescent="0.2">
      <c r="I217" s="279"/>
    </row>
    <row r="218" spans="9:9" ht="15" x14ac:dyDescent="0.2">
      <c r="I218" s="279"/>
    </row>
    <row r="219" spans="9:9" ht="15" x14ac:dyDescent="0.2">
      <c r="I219" s="279"/>
    </row>
    <row r="220" spans="9:9" ht="15" x14ac:dyDescent="0.2">
      <c r="I220" s="279"/>
    </row>
    <row r="221" spans="9:9" ht="15" x14ac:dyDescent="0.2">
      <c r="I221" s="279"/>
    </row>
    <row r="222" spans="9:9" ht="15" x14ac:dyDescent="0.2">
      <c r="I222" s="279"/>
    </row>
    <row r="223" spans="9:9" ht="15" x14ac:dyDescent="0.2">
      <c r="I223" s="279"/>
    </row>
    <row r="224" spans="9:9" ht="15" x14ac:dyDescent="0.2">
      <c r="I224" s="279"/>
    </row>
    <row r="225" spans="9:9" ht="15" x14ac:dyDescent="0.2">
      <c r="I225" s="279"/>
    </row>
    <row r="226" spans="9:9" ht="15" x14ac:dyDescent="0.2">
      <c r="I226" s="279"/>
    </row>
    <row r="227" spans="9:9" ht="15" x14ac:dyDescent="0.2">
      <c r="I227" s="279"/>
    </row>
    <row r="228" spans="9:9" ht="15" x14ac:dyDescent="0.2">
      <c r="I228" s="279"/>
    </row>
    <row r="229" spans="9:9" ht="15" x14ac:dyDescent="0.2">
      <c r="I229" s="279"/>
    </row>
    <row r="230" spans="9:9" ht="15" x14ac:dyDescent="0.2">
      <c r="I230" s="279"/>
    </row>
    <row r="231" spans="9:9" ht="15" x14ac:dyDescent="0.2">
      <c r="I231" s="279"/>
    </row>
    <row r="232" spans="9:9" ht="15" x14ac:dyDescent="0.2">
      <c r="I232" s="279"/>
    </row>
    <row r="233" spans="9:9" ht="15" x14ac:dyDescent="0.2">
      <c r="I233" s="279"/>
    </row>
    <row r="234" spans="9:9" ht="15" x14ac:dyDescent="0.2">
      <c r="I234" s="279"/>
    </row>
    <row r="235" spans="9:9" ht="15" x14ac:dyDescent="0.2">
      <c r="I235" s="279"/>
    </row>
    <row r="236" spans="9:9" ht="15" x14ac:dyDescent="0.2">
      <c r="I236" s="279"/>
    </row>
    <row r="237" spans="9:9" ht="15" x14ac:dyDescent="0.2">
      <c r="I237" s="279"/>
    </row>
    <row r="238" spans="9:9" ht="15" x14ac:dyDescent="0.2">
      <c r="I238" s="279"/>
    </row>
    <row r="239" spans="9:9" ht="15" x14ac:dyDescent="0.2">
      <c r="I239" s="279"/>
    </row>
    <row r="240" spans="9:9" ht="15" x14ac:dyDescent="0.2">
      <c r="I240" s="279"/>
    </row>
    <row r="241" spans="9:9" ht="15" x14ac:dyDescent="0.2">
      <c r="I241" s="279"/>
    </row>
    <row r="242" spans="9:9" ht="15" x14ac:dyDescent="0.2">
      <c r="I242" s="279"/>
    </row>
    <row r="243" spans="9:9" ht="15" x14ac:dyDescent="0.2">
      <c r="I243" s="279"/>
    </row>
    <row r="244" spans="9:9" ht="15" x14ac:dyDescent="0.2">
      <c r="I244" s="279"/>
    </row>
    <row r="245" spans="9:9" ht="15" x14ac:dyDescent="0.2">
      <c r="I245" s="279"/>
    </row>
    <row r="246" spans="9:9" ht="15" x14ac:dyDescent="0.2">
      <c r="I246" s="279"/>
    </row>
    <row r="247" spans="9:9" ht="15" x14ac:dyDescent="0.2">
      <c r="I247" s="279"/>
    </row>
    <row r="248" spans="9:9" ht="15" x14ac:dyDescent="0.2">
      <c r="I248" s="279"/>
    </row>
    <row r="249" spans="9:9" ht="15" x14ac:dyDescent="0.2">
      <c r="I249" s="279"/>
    </row>
    <row r="250" spans="9:9" ht="15" x14ac:dyDescent="0.2">
      <c r="I250" s="279"/>
    </row>
    <row r="251" spans="9:9" ht="15" x14ac:dyDescent="0.2">
      <c r="I251" s="279"/>
    </row>
    <row r="252" spans="9:9" ht="15" x14ac:dyDescent="0.2">
      <c r="I252" s="279"/>
    </row>
    <row r="253" spans="9:9" ht="15" x14ac:dyDescent="0.2">
      <c r="I253" s="279"/>
    </row>
    <row r="254" spans="9:9" ht="15" x14ac:dyDescent="0.2">
      <c r="I254" s="279"/>
    </row>
    <row r="255" spans="9:9" ht="15" x14ac:dyDescent="0.2">
      <c r="I255" s="279"/>
    </row>
    <row r="256" spans="9:9" ht="15" x14ac:dyDescent="0.2">
      <c r="I256" s="279"/>
    </row>
    <row r="257" spans="9:9" ht="15" x14ac:dyDescent="0.2">
      <c r="I257" s="279"/>
    </row>
    <row r="258" spans="9:9" ht="15" x14ac:dyDescent="0.2">
      <c r="I258" s="279"/>
    </row>
    <row r="259" spans="9:9" ht="15" x14ac:dyDescent="0.2">
      <c r="I259" s="279"/>
    </row>
    <row r="260" spans="9:9" ht="15" x14ac:dyDescent="0.2">
      <c r="I260" s="279"/>
    </row>
    <row r="261" spans="9:9" ht="15" x14ac:dyDescent="0.2">
      <c r="I261" s="279"/>
    </row>
    <row r="262" spans="9:9" ht="15" x14ac:dyDescent="0.2">
      <c r="I262" s="279"/>
    </row>
    <row r="263" spans="9:9" ht="15" x14ac:dyDescent="0.2">
      <c r="I263" s="279"/>
    </row>
    <row r="264" spans="9:9" ht="15" x14ac:dyDescent="0.2">
      <c r="I264" s="279"/>
    </row>
    <row r="265" spans="9:9" ht="15" x14ac:dyDescent="0.2">
      <c r="I265" s="279"/>
    </row>
    <row r="266" spans="9:9" ht="15" x14ac:dyDescent="0.2">
      <c r="I266" s="279"/>
    </row>
    <row r="267" spans="9:9" ht="15" x14ac:dyDescent="0.2">
      <c r="I267" s="279"/>
    </row>
    <row r="268" spans="9:9" ht="15" x14ac:dyDescent="0.2">
      <c r="I268" s="279"/>
    </row>
    <row r="269" spans="9:9" ht="15" x14ac:dyDescent="0.2">
      <c r="I269" s="279"/>
    </row>
    <row r="270" spans="9:9" ht="15" x14ac:dyDescent="0.2">
      <c r="I270" s="279"/>
    </row>
    <row r="271" spans="9:9" ht="15" x14ac:dyDescent="0.2">
      <c r="I271" s="279"/>
    </row>
    <row r="272" spans="9:9" ht="15" x14ac:dyDescent="0.2">
      <c r="I272" s="279"/>
    </row>
    <row r="273" spans="9:9" ht="15" x14ac:dyDescent="0.2">
      <c r="I273" s="279"/>
    </row>
    <row r="274" spans="9:9" ht="15" x14ac:dyDescent="0.2">
      <c r="I274" s="279"/>
    </row>
    <row r="275" spans="9:9" ht="15" x14ac:dyDescent="0.2">
      <c r="I275" s="279"/>
    </row>
    <row r="276" spans="9:9" ht="15" x14ac:dyDescent="0.2">
      <c r="I276" s="279"/>
    </row>
    <row r="277" spans="9:9" ht="15" x14ac:dyDescent="0.2">
      <c r="I277" s="279"/>
    </row>
    <row r="278" spans="9:9" ht="15" x14ac:dyDescent="0.2">
      <c r="I278" s="279"/>
    </row>
    <row r="279" spans="9:9" ht="15" x14ac:dyDescent="0.2">
      <c r="I279" s="279"/>
    </row>
    <row r="280" spans="9:9" ht="15" x14ac:dyDescent="0.2">
      <c r="I280" s="279"/>
    </row>
    <row r="281" spans="9:9" ht="15" x14ac:dyDescent="0.2">
      <c r="I281" s="279"/>
    </row>
    <row r="282" spans="9:9" ht="15" x14ac:dyDescent="0.2">
      <c r="I282" s="279"/>
    </row>
    <row r="283" spans="9:9" ht="15" x14ac:dyDescent="0.2">
      <c r="I283" s="279"/>
    </row>
    <row r="284" spans="9:9" ht="15" x14ac:dyDescent="0.2">
      <c r="I284" s="279"/>
    </row>
    <row r="285" spans="9:9" ht="15" x14ac:dyDescent="0.2">
      <c r="I285" s="279"/>
    </row>
    <row r="286" spans="9:9" ht="15" x14ac:dyDescent="0.2">
      <c r="I286" s="279"/>
    </row>
    <row r="287" spans="9:9" ht="15" x14ac:dyDescent="0.2">
      <c r="I287" s="279"/>
    </row>
    <row r="288" spans="9:9" ht="15" x14ac:dyDescent="0.2">
      <c r="I288" s="279"/>
    </row>
    <row r="289" spans="9:9" ht="15" x14ac:dyDescent="0.2">
      <c r="I289" s="279"/>
    </row>
    <row r="290" spans="9:9" ht="15" x14ac:dyDescent="0.2">
      <c r="I290" s="279"/>
    </row>
    <row r="291" spans="9:9" ht="15" x14ac:dyDescent="0.2">
      <c r="I291" s="279"/>
    </row>
    <row r="292" spans="9:9" ht="15" x14ac:dyDescent="0.2">
      <c r="I292" s="279"/>
    </row>
    <row r="293" spans="9:9" ht="15" x14ac:dyDescent="0.2">
      <c r="I293" s="279"/>
    </row>
    <row r="294" spans="9:9" ht="15" x14ac:dyDescent="0.2">
      <c r="I294" s="279"/>
    </row>
    <row r="295" spans="9:9" ht="15" x14ac:dyDescent="0.2">
      <c r="I295" s="279"/>
    </row>
    <row r="296" spans="9:9" ht="15" x14ac:dyDescent="0.2">
      <c r="I296" s="279"/>
    </row>
    <row r="297" spans="9:9" ht="15" x14ac:dyDescent="0.2">
      <c r="I297" s="279"/>
    </row>
    <row r="298" spans="9:9" ht="15" x14ac:dyDescent="0.2">
      <c r="I298" s="279"/>
    </row>
    <row r="299" spans="9:9" ht="15" x14ac:dyDescent="0.2">
      <c r="I299" s="279"/>
    </row>
    <row r="300" spans="9:9" ht="15" x14ac:dyDescent="0.2">
      <c r="I300" s="279"/>
    </row>
    <row r="301" spans="9:9" ht="15" x14ac:dyDescent="0.2">
      <c r="I301" s="279"/>
    </row>
    <row r="302" spans="9:9" ht="15" x14ac:dyDescent="0.2">
      <c r="I302" s="279"/>
    </row>
    <row r="303" spans="9:9" ht="15" x14ac:dyDescent="0.2">
      <c r="I303" s="279"/>
    </row>
    <row r="304" spans="9:9" ht="15" x14ac:dyDescent="0.2">
      <c r="I304" s="279"/>
    </row>
    <row r="305" spans="9:9" ht="15" x14ac:dyDescent="0.2">
      <c r="I305" s="279"/>
    </row>
    <row r="306" spans="9:9" ht="15" x14ac:dyDescent="0.2">
      <c r="I306" s="279"/>
    </row>
    <row r="307" spans="9:9" ht="15" x14ac:dyDescent="0.2">
      <c r="I307" s="279"/>
    </row>
    <row r="308" spans="9:9" ht="15" x14ac:dyDescent="0.2">
      <c r="I308" s="279"/>
    </row>
    <row r="309" spans="9:9" ht="15" x14ac:dyDescent="0.2">
      <c r="I309" s="279"/>
    </row>
    <row r="310" spans="9:9" ht="15" x14ac:dyDescent="0.2">
      <c r="I310" s="279"/>
    </row>
    <row r="311" spans="9:9" ht="15" x14ac:dyDescent="0.2">
      <c r="I311" s="279"/>
    </row>
    <row r="312" spans="9:9" ht="15" x14ac:dyDescent="0.2">
      <c r="I312" s="279"/>
    </row>
    <row r="313" spans="9:9" ht="15" x14ac:dyDescent="0.2">
      <c r="I313" s="279"/>
    </row>
    <row r="314" spans="9:9" ht="15" x14ac:dyDescent="0.2">
      <c r="I314" s="279"/>
    </row>
    <row r="315" spans="9:9" ht="15" x14ac:dyDescent="0.2">
      <c r="I315" s="279"/>
    </row>
    <row r="316" spans="9:9" ht="15" x14ac:dyDescent="0.2">
      <c r="I316" s="279"/>
    </row>
    <row r="317" spans="9:9" ht="15" x14ac:dyDescent="0.2">
      <c r="I317" s="279"/>
    </row>
    <row r="318" spans="9:9" ht="15" x14ac:dyDescent="0.2">
      <c r="I318" s="279"/>
    </row>
    <row r="319" spans="9:9" ht="15" x14ac:dyDescent="0.2">
      <c r="I319" s="279"/>
    </row>
    <row r="320" spans="9:9" ht="15" x14ac:dyDescent="0.2">
      <c r="I320" s="279"/>
    </row>
    <row r="321" spans="9:9" ht="15" x14ac:dyDescent="0.2">
      <c r="I321" s="279"/>
    </row>
    <row r="322" spans="9:9" ht="15" x14ac:dyDescent="0.2">
      <c r="I322" s="279"/>
    </row>
    <row r="323" spans="9:9" ht="15" x14ac:dyDescent="0.2">
      <c r="I323" s="279"/>
    </row>
    <row r="324" spans="9:9" ht="15" x14ac:dyDescent="0.2">
      <c r="I324" s="279"/>
    </row>
    <row r="325" spans="9:9" ht="15" x14ac:dyDescent="0.2">
      <c r="I325" s="279"/>
    </row>
    <row r="326" spans="9:9" ht="15" x14ac:dyDescent="0.2">
      <c r="I326" s="279"/>
    </row>
    <row r="327" spans="9:9" ht="15" x14ac:dyDescent="0.2">
      <c r="I327" s="279"/>
    </row>
    <row r="328" spans="9:9" ht="15" x14ac:dyDescent="0.2">
      <c r="I328" s="279"/>
    </row>
    <row r="329" spans="9:9" ht="15" x14ac:dyDescent="0.2">
      <c r="I329" s="279"/>
    </row>
    <row r="330" spans="9:9" ht="15" x14ac:dyDescent="0.2">
      <c r="I330" s="279"/>
    </row>
    <row r="331" spans="9:9" ht="15" x14ac:dyDescent="0.2">
      <c r="I331" s="279"/>
    </row>
    <row r="332" spans="9:9" ht="15" x14ac:dyDescent="0.2">
      <c r="I332" s="279"/>
    </row>
    <row r="333" spans="9:9" ht="15" x14ac:dyDescent="0.2">
      <c r="I333" s="279"/>
    </row>
    <row r="334" spans="9:9" ht="15" x14ac:dyDescent="0.2">
      <c r="I334" s="279"/>
    </row>
    <row r="335" spans="9:9" ht="15" x14ac:dyDescent="0.2">
      <c r="I335" s="279"/>
    </row>
    <row r="336" spans="9:9" ht="15" x14ac:dyDescent="0.2">
      <c r="I336" s="279"/>
    </row>
    <row r="337" spans="9:9" ht="15" x14ac:dyDescent="0.2">
      <c r="I337" s="279"/>
    </row>
    <row r="338" spans="9:9" ht="15" x14ac:dyDescent="0.2">
      <c r="I338" s="279"/>
    </row>
    <row r="339" spans="9:9" ht="15" x14ac:dyDescent="0.2">
      <c r="I339" s="279"/>
    </row>
    <row r="340" spans="9:9" ht="15" x14ac:dyDescent="0.2">
      <c r="I340" s="279"/>
    </row>
    <row r="341" spans="9:9" ht="15" x14ac:dyDescent="0.2">
      <c r="I341" s="279"/>
    </row>
    <row r="342" spans="9:9" ht="15" x14ac:dyDescent="0.2">
      <c r="I342" s="279"/>
    </row>
    <row r="343" spans="9:9" ht="15" x14ac:dyDescent="0.2">
      <c r="I343" s="279"/>
    </row>
    <row r="344" spans="9:9" ht="15" x14ac:dyDescent="0.2">
      <c r="I344" s="279"/>
    </row>
    <row r="345" spans="9:9" ht="15" x14ac:dyDescent="0.2">
      <c r="I345" s="279"/>
    </row>
    <row r="346" spans="9:9" ht="15" x14ac:dyDescent="0.2">
      <c r="I346" s="279"/>
    </row>
    <row r="347" spans="9:9" ht="15" x14ac:dyDescent="0.2">
      <c r="I347" s="279"/>
    </row>
    <row r="348" spans="9:9" ht="15" x14ac:dyDescent="0.2">
      <c r="I348" s="279"/>
    </row>
    <row r="349" spans="9:9" ht="15" x14ac:dyDescent="0.2">
      <c r="I349" s="279"/>
    </row>
    <row r="350" spans="9:9" ht="15" x14ac:dyDescent="0.2">
      <c r="I350" s="279"/>
    </row>
    <row r="351" spans="9:9" ht="15" x14ac:dyDescent="0.2">
      <c r="I351" s="279"/>
    </row>
    <row r="352" spans="9:9" ht="15" x14ac:dyDescent="0.2">
      <c r="I352" s="279"/>
    </row>
    <row r="353" spans="9:9" ht="15" x14ac:dyDescent="0.2">
      <c r="I353" s="279"/>
    </row>
    <row r="354" spans="9:9" ht="15" x14ac:dyDescent="0.2">
      <c r="I354" s="279"/>
    </row>
    <row r="355" spans="9:9" ht="15" x14ac:dyDescent="0.2">
      <c r="I355" s="279"/>
    </row>
    <row r="356" spans="9:9" ht="15" x14ac:dyDescent="0.2">
      <c r="I356" s="279"/>
    </row>
    <row r="357" spans="9:9" ht="15" x14ac:dyDescent="0.2">
      <c r="I357" s="279"/>
    </row>
    <row r="358" spans="9:9" ht="15" x14ac:dyDescent="0.2">
      <c r="I358" s="279"/>
    </row>
    <row r="359" spans="9:9" ht="15" x14ac:dyDescent="0.2">
      <c r="I359" s="279"/>
    </row>
    <row r="360" spans="9:9" ht="15" x14ac:dyDescent="0.2">
      <c r="I360" s="279"/>
    </row>
    <row r="361" spans="9:9" ht="15" x14ac:dyDescent="0.2">
      <c r="I361" s="279"/>
    </row>
    <row r="362" spans="9:9" ht="15" x14ac:dyDescent="0.2">
      <c r="I362" s="279"/>
    </row>
    <row r="363" spans="9:9" ht="15" x14ac:dyDescent="0.2">
      <c r="I363" s="279"/>
    </row>
    <row r="364" spans="9:9" ht="15" x14ac:dyDescent="0.2">
      <c r="I364" s="279"/>
    </row>
    <row r="365" spans="9:9" ht="15" x14ac:dyDescent="0.2">
      <c r="I365" s="279"/>
    </row>
    <row r="366" spans="9:9" ht="15" x14ac:dyDescent="0.2">
      <c r="I366" s="279"/>
    </row>
    <row r="367" spans="9:9" ht="15" x14ac:dyDescent="0.2">
      <c r="I367" s="279"/>
    </row>
    <row r="368" spans="9:9" ht="15" x14ac:dyDescent="0.2">
      <c r="I368" s="279"/>
    </row>
    <row r="369" spans="9:9" ht="15" x14ac:dyDescent="0.2">
      <c r="I369" s="279"/>
    </row>
    <row r="370" spans="9:9" ht="15" x14ac:dyDescent="0.2">
      <c r="I370" s="279"/>
    </row>
    <row r="371" spans="9:9" ht="15" x14ac:dyDescent="0.2">
      <c r="I371" s="279"/>
    </row>
    <row r="372" spans="9:9" ht="15" x14ac:dyDescent="0.2">
      <c r="I372" s="279"/>
    </row>
    <row r="373" spans="9:9" ht="15" x14ac:dyDescent="0.2">
      <c r="I373" s="279"/>
    </row>
    <row r="374" spans="9:9" ht="15" x14ac:dyDescent="0.2">
      <c r="I374" s="279"/>
    </row>
    <row r="375" spans="9:9" ht="15" x14ac:dyDescent="0.2">
      <c r="I375" s="279"/>
    </row>
    <row r="376" spans="9:9" ht="15" x14ac:dyDescent="0.2">
      <c r="I376" s="279"/>
    </row>
    <row r="377" spans="9:9" ht="15" x14ac:dyDescent="0.2">
      <c r="I377" s="279"/>
    </row>
    <row r="378" spans="9:9" ht="15" x14ac:dyDescent="0.2">
      <c r="I378" s="279"/>
    </row>
    <row r="379" spans="9:9" ht="15" x14ac:dyDescent="0.2">
      <c r="I379" s="279"/>
    </row>
    <row r="380" spans="9:9" ht="15" x14ac:dyDescent="0.2">
      <c r="I380" s="279"/>
    </row>
    <row r="381" spans="9:9" ht="15" x14ac:dyDescent="0.2">
      <c r="I381" s="279"/>
    </row>
    <row r="382" spans="9:9" ht="15" x14ac:dyDescent="0.2">
      <c r="I382" s="279"/>
    </row>
    <row r="383" spans="9:9" ht="15" x14ac:dyDescent="0.2">
      <c r="I383" s="279"/>
    </row>
    <row r="384" spans="9:9" ht="15" x14ac:dyDescent="0.2">
      <c r="I384" s="279"/>
    </row>
    <row r="385" spans="9:9" ht="15" x14ac:dyDescent="0.2">
      <c r="I385" s="279"/>
    </row>
    <row r="386" spans="9:9" ht="15" x14ac:dyDescent="0.2">
      <c r="I386" s="279"/>
    </row>
    <row r="387" spans="9:9" ht="15" x14ac:dyDescent="0.2">
      <c r="I387" s="279"/>
    </row>
    <row r="388" spans="9:9" ht="15" x14ac:dyDescent="0.2">
      <c r="I388" s="279"/>
    </row>
    <row r="389" spans="9:9" ht="15" x14ac:dyDescent="0.2">
      <c r="I389" s="279"/>
    </row>
    <row r="390" spans="9:9" ht="15" x14ac:dyDescent="0.2">
      <c r="I390" s="279"/>
    </row>
    <row r="391" spans="9:9" ht="15" x14ac:dyDescent="0.2">
      <c r="I391" s="279"/>
    </row>
    <row r="392" spans="9:9" ht="15" x14ac:dyDescent="0.2">
      <c r="I392" s="279"/>
    </row>
    <row r="393" spans="9:9" ht="15" x14ac:dyDescent="0.2">
      <c r="I393" s="279"/>
    </row>
    <row r="394" spans="9:9" ht="15" x14ac:dyDescent="0.2">
      <c r="I394" s="279"/>
    </row>
    <row r="395" spans="9:9" ht="15" x14ac:dyDescent="0.2">
      <c r="I395" s="279"/>
    </row>
    <row r="396" spans="9:9" ht="15" x14ac:dyDescent="0.2">
      <c r="I396" s="279"/>
    </row>
    <row r="397" spans="9:9" ht="15" x14ac:dyDescent="0.2">
      <c r="I397" s="279"/>
    </row>
    <row r="398" spans="9:9" ht="15" x14ac:dyDescent="0.2">
      <c r="I398" s="279"/>
    </row>
    <row r="399" spans="9:9" ht="15" x14ac:dyDescent="0.2">
      <c r="I399" s="279"/>
    </row>
    <row r="400" spans="9:9" ht="15" x14ac:dyDescent="0.2">
      <c r="I400" s="279"/>
    </row>
    <row r="401" spans="9:9" ht="15" x14ac:dyDescent="0.2">
      <c r="I401" s="279"/>
    </row>
    <row r="402" spans="9:9" ht="15" x14ac:dyDescent="0.2">
      <c r="I402" s="279"/>
    </row>
    <row r="403" spans="9:9" ht="15" x14ac:dyDescent="0.2">
      <c r="I403" s="279"/>
    </row>
    <row r="404" spans="9:9" ht="15" x14ac:dyDescent="0.2">
      <c r="I404" s="279"/>
    </row>
    <row r="405" spans="9:9" ht="15" x14ac:dyDescent="0.2">
      <c r="I405" s="279"/>
    </row>
    <row r="406" spans="9:9" ht="15" x14ac:dyDescent="0.2">
      <c r="I406" s="279"/>
    </row>
    <row r="407" spans="9:9" ht="15" x14ac:dyDescent="0.2">
      <c r="I407" s="279"/>
    </row>
    <row r="408" spans="9:9" ht="15" x14ac:dyDescent="0.2">
      <c r="I408" s="279"/>
    </row>
    <row r="409" spans="9:9" ht="15" x14ac:dyDescent="0.2">
      <c r="I409" s="279"/>
    </row>
    <row r="410" spans="9:9" ht="15" x14ac:dyDescent="0.2">
      <c r="I410" s="279"/>
    </row>
    <row r="411" spans="9:9" ht="15" x14ac:dyDescent="0.2">
      <c r="I411" s="279"/>
    </row>
    <row r="412" spans="9:9" ht="15" x14ac:dyDescent="0.2">
      <c r="I412" s="279"/>
    </row>
    <row r="413" spans="9:9" ht="15" x14ac:dyDescent="0.2">
      <c r="I413" s="279"/>
    </row>
    <row r="414" spans="9:9" ht="15" x14ac:dyDescent="0.2">
      <c r="I414" s="279"/>
    </row>
    <row r="415" spans="9:9" ht="15" x14ac:dyDescent="0.2">
      <c r="I415" s="279"/>
    </row>
    <row r="416" spans="9:9" ht="15" x14ac:dyDescent="0.2">
      <c r="I416" s="279"/>
    </row>
    <row r="417" spans="9:9" ht="15" x14ac:dyDescent="0.2">
      <c r="I417" s="279"/>
    </row>
    <row r="418" spans="9:9" ht="15" x14ac:dyDescent="0.2">
      <c r="I418" s="279"/>
    </row>
    <row r="419" spans="9:9" ht="15" x14ac:dyDescent="0.2">
      <c r="I419" s="279"/>
    </row>
    <row r="420" spans="9:9" ht="15" x14ac:dyDescent="0.2">
      <c r="I420" s="279"/>
    </row>
    <row r="421" spans="9:9" ht="15" x14ac:dyDescent="0.2">
      <c r="I421" s="279"/>
    </row>
    <row r="422" spans="9:9" ht="15" x14ac:dyDescent="0.2">
      <c r="I422" s="279"/>
    </row>
    <row r="423" spans="9:9" ht="15" x14ac:dyDescent="0.2">
      <c r="I423" s="279"/>
    </row>
    <row r="424" spans="9:9" ht="15" x14ac:dyDescent="0.2">
      <c r="I424" s="279"/>
    </row>
    <row r="425" spans="9:9" ht="15" x14ac:dyDescent="0.2">
      <c r="I425" s="279"/>
    </row>
    <row r="426" spans="9:9" ht="15" x14ac:dyDescent="0.2">
      <c r="I426" s="279"/>
    </row>
    <row r="427" spans="9:9" ht="15" x14ac:dyDescent="0.2">
      <c r="I427" s="279"/>
    </row>
    <row r="428" spans="9:9" ht="15" x14ac:dyDescent="0.2">
      <c r="I428" s="279"/>
    </row>
    <row r="429" spans="9:9" ht="15" x14ac:dyDescent="0.2">
      <c r="I429" s="279"/>
    </row>
    <row r="430" spans="9:9" ht="15" x14ac:dyDescent="0.2">
      <c r="I430" s="279"/>
    </row>
    <row r="431" spans="9:9" ht="15" x14ac:dyDescent="0.2">
      <c r="I431" s="279"/>
    </row>
    <row r="432" spans="9:9" ht="15" x14ac:dyDescent="0.2">
      <c r="I432" s="279"/>
    </row>
    <row r="433" spans="9:9" ht="15" x14ac:dyDescent="0.2">
      <c r="I433" s="279"/>
    </row>
    <row r="434" spans="9:9" ht="15" x14ac:dyDescent="0.2">
      <c r="I434" s="279"/>
    </row>
    <row r="435" spans="9:9" ht="15" x14ac:dyDescent="0.2">
      <c r="I435" s="279"/>
    </row>
    <row r="436" spans="9:9" ht="15" x14ac:dyDescent="0.2">
      <c r="I436" s="279"/>
    </row>
    <row r="437" spans="9:9" ht="15" x14ac:dyDescent="0.2">
      <c r="I437" s="279"/>
    </row>
    <row r="438" spans="9:9" ht="15" x14ac:dyDescent="0.2">
      <c r="I438" s="279"/>
    </row>
    <row r="439" spans="9:9" ht="15" x14ac:dyDescent="0.2">
      <c r="I439" s="279"/>
    </row>
    <row r="440" spans="9:9" ht="15" x14ac:dyDescent="0.2">
      <c r="I440" s="279"/>
    </row>
    <row r="441" spans="9:9" ht="15" x14ac:dyDescent="0.2">
      <c r="I441" s="279"/>
    </row>
    <row r="442" spans="9:9" ht="15" x14ac:dyDescent="0.2">
      <c r="I442" s="279"/>
    </row>
    <row r="443" spans="9:9" ht="15" x14ac:dyDescent="0.2">
      <c r="I443" s="279"/>
    </row>
    <row r="444" spans="9:9" ht="15" x14ac:dyDescent="0.2">
      <c r="I444" s="279"/>
    </row>
    <row r="445" spans="9:9" ht="15" x14ac:dyDescent="0.2">
      <c r="I445" s="279"/>
    </row>
    <row r="446" spans="9:9" ht="15" x14ac:dyDescent="0.2">
      <c r="I446" s="279"/>
    </row>
    <row r="447" spans="9:9" ht="15" x14ac:dyDescent="0.2">
      <c r="I447" s="279"/>
    </row>
    <row r="448" spans="9:9" ht="15" x14ac:dyDescent="0.2">
      <c r="I448" s="279"/>
    </row>
    <row r="449" spans="9:9" ht="15" x14ac:dyDescent="0.2">
      <c r="I449" s="279"/>
    </row>
    <row r="450" spans="9:9" ht="15" x14ac:dyDescent="0.2">
      <c r="I450" s="279"/>
    </row>
    <row r="451" spans="9:9" ht="15" x14ac:dyDescent="0.2">
      <c r="I451" s="279"/>
    </row>
    <row r="452" spans="9:9" ht="15" x14ac:dyDescent="0.2">
      <c r="I452" s="279"/>
    </row>
    <row r="453" spans="9:9" ht="15" x14ac:dyDescent="0.2">
      <c r="I453" s="279"/>
    </row>
    <row r="454" spans="9:9" ht="15" x14ac:dyDescent="0.2">
      <c r="I454" s="279"/>
    </row>
    <row r="455" spans="9:9" ht="15" x14ac:dyDescent="0.2">
      <c r="I455" s="279"/>
    </row>
    <row r="456" spans="9:9" ht="15" x14ac:dyDescent="0.2">
      <c r="I456" s="279"/>
    </row>
    <row r="457" spans="9:9" ht="15" x14ac:dyDescent="0.2">
      <c r="I457" s="279"/>
    </row>
    <row r="458" spans="9:9" ht="15" x14ac:dyDescent="0.2">
      <c r="I458" s="279"/>
    </row>
    <row r="459" spans="9:9" ht="15" x14ac:dyDescent="0.2">
      <c r="I459" s="279"/>
    </row>
    <row r="460" spans="9:9" ht="15" x14ac:dyDescent="0.2">
      <c r="I460" s="279"/>
    </row>
    <row r="461" spans="9:9" ht="15" x14ac:dyDescent="0.2">
      <c r="I461" s="279"/>
    </row>
    <row r="462" spans="9:9" ht="15" x14ac:dyDescent="0.2">
      <c r="I462" s="279"/>
    </row>
    <row r="463" spans="9:9" ht="15" x14ac:dyDescent="0.2">
      <c r="I463" s="279"/>
    </row>
    <row r="464" spans="9:9" ht="15" x14ac:dyDescent="0.2">
      <c r="I464" s="279"/>
    </row>
    <row r="465" spans="9:9" ht="15" x14ac:dyDescent="0.2">
      <c r="I465" s="279"/>
    </row>
    <row r="466" spans="9:9" ht="15" x14ac:dyDescent="0.2">
      <c r="I466" s="279"/>
    </row>
    <row r="467" spans="9:9" ht="15" x14ac:dyDescent="0.2">
      <c r="I467" s="279"/>
    </row>
    <row r="468" spans="9:9" ht="15" x14ac:dyDescent="0.2">
      <c r="I468" s="279"/>
    </row>
    <row r="469" spans="9:9" ht="15" x14ac:dyDescent="0.2">
      <c r="I469" s="279"/>
    </row>
    <row r="470" spans="9:9" ht="15" x14ac:dyDescent="0.2">
      <c r="I470" s="279"/>
    </row>
    <row r="471" spans="9:9" ht="15" x14ac:dyDescent="0.2">
      <c r="I471" s="279"/>
    </row>
    <row r="472" spans="9:9" ht="15" x14ac:dyDescent="0.2">
      <c r="I472" s="279"/>
    </row>
    <row r="473" spans="9:9" ht="15" x14ac:dyDescent="0.2">
      <c r="I473" s="279"/>
    </row>
    <row r="474" spans="9:9" ht="15" x14ac:dyDescent="0.2">
      <c r="I474" s="279"/>
    </row>
    <row r="475" spans="9:9" ht="15" x14ac:dyDescent="0.2">
      <c r="I475" s="279"/>
    </row>
    <row r="476" spans="9:9" ht="15" x14ac:dyDescent="0.2">
      <c r="I476" s="279"/>
    </row>
    <row r="477" spans="9:9" ht="15" x14ac:dyDescent="0.2">
      <c r="I477" s="279"/>
    </row>
    <row r="478" spans="9:9" ht="15" x14ac:dyDescent="0.2">
      <c r="I478" s="279"/>
    </row>
    <row r="479" spans="9:9" ht="15" x14ac:dyDescent="0.2">
      <c r="I479" s="279"/>
    </row>
    <row r="480" spans="9:9" ht="15" x14ac:dyDescent="0.2">
      <c r="I480" s="279"/>
    </row>
    <row r="481" spans="9:9" ht="15" x14ac:dyDescent="0.2">
      <c r="I481" s="279"/>
    </row>
    <row r="482" spans="9:9" ht="15" x14ac:dyDescent="0.2">
      <c r="I482" s="279"/>
    </row>
    <row r="483" spans="9:9" ht="15" x14ac:dyDescent="0.2">
      <c r="I483" s="279"/>
    </row>
    <row r="484" spans="9:9" ht="15" x14ac:dyDescent="0.2">
      <c r="I484" s="279"/>
    </row>
    <row r="485" spans="9:9" ht="15" x14ac:dyDescent="0.2">
      <c r="I485" s="279"/>
    </row>
    <row r="486" spans="9:9" ht="15" x14ac:dyDescent="0.2">
      <c r="I486" s="279"/>
    </row>
    <row r="487" spans="9:9" ht="15" x14ac:dyDescent="0.2">
      <c r="I487" s="279"/>
    </row>
    <row r="488" spans="9:9" ht="15" x14ac:dyDescent="0.2">
      <c r="I488" s="279"/>
    </row>
    <row r="489" spans="9:9" ht="15" x14ac:dyDescent="0.2">
      <c r="I489" s="279"/>
    </row>
    <row r="490" spans="9:9" ht="15" x14ac:dyDescent="0.2">
      <c r="I490" s="279"/>
    </row>
    <row r="491" spans="9:9" ht="15" x14ac:dyDescent="0.2">
      <c r="I491" s="279"/>
    </row>
    <row r="492" spans="9:9" ht="15" x14ac:dyDescent="0.2">
      <c r="I492" s="279"/>
    </row>
    <row r="493" spans="9:9" ht="15" x14ac:dyDescent="0.2">
      <c r="I493" s="279"/>
    </row>
    <row r="494" spans="9:9" ht="15" x14ac:dyDescent="0.2">
      <c r="I494" s="279"/>
    </row>
    <row r="495" spans="9:9" ht="15" x14ac:dyDescent="0.2">
      <c r="I495" s="279"/>
    </row>
    <row r="496" spans="9:9" ht="15" x14ac:dyDescent="0.2">
      <c r="I496" s="279"/>
    </row>
    <row r="497" spans="9:9" ht="15" x14ac:dyDescent="0.2">
      <c r="I497" s="279"/>
    </row>
    <row r="498" spans="9:9" ht="15" x14ac:dyDescent="0.2">
      <c r="I498" s="279"/>
    </row>
    <row r="499" spans="9:9" ht="15" x14ac:dyDescent="0.2">
      <c r="I499" s="279"/>
    </row>
    <row r="500" spans="9:9" ht="15" x14ac:dyDescent="0.2">
      <c r="I500" s="279"/>
    </row>
    <row r="501" spans="9:9" ht="15" x14ac:dyDescent="0.2">
      <c r="I501" s="279"/>
    </row>
    <row r="502" spans="9:9" ht="15" x14ac:dyDescent="0.2">
      <c r="I502" s="279"/>
    </row>
    <row r="503" spans="9:9" ht="15" x14ac:dyDescent="0.2">
      <c r="I503" s="279"/>
    </row>
    <row r="504" spans="9:9" ht="15" x14ac:dyDescent="0.2">
      <c r="I504" s="279"/>
    </row>
    <row r="505" spans="9:9" ht="15" x14ac:dyDescent="0.2">
      <c r="I505" s="279"/>
    </row>
    <row r="506" spans="9:9" ht="15" x14ac:dyDescent="0.2">
      <c r="I506" s="279"/>
    </row>
    <row r="507" spans="9:9" ht="15" x14ac:dyDescent="0.2">
      <c r="I507" s="279"/>
    </row>
    <row r="508" spans="9:9" ht="15" x14ac:dyDescent="0.2">
      <c r="I508" s="279"/>
    </row>
    <row r="509" spans="9:9" ht="15" x14ac:dyDescent="0.2">
      <c r="I509" s="279"/>
    </row>
    <row r="510" spans="9:9" ht="15" x14ac:dyDescent="0.2">
      <c r="I510" s="279"/>
    </row>
    <row r="511" spans="9:9" ht="15" x14ac:dyDescent="0.2">
      <c r="I511" s="279"/>
    </row>
    <row r="512" spans="9:9" ht="15" x14ac:dyDescent="0.2">
      <c r="I512" s="279"/>
    </row>
    <row r="513" spans="9:9" ht="15" x14ac:dyDescent="0.2">
      <c r="I513" s="279"/>
    </row>
    <row r="514" spans="9:9" ht="15" x14ac:dyDescent="0.2">
      <c r="I514" s="279"/>
    </row>
    <row r="515" spans="9:9" ht="15" x14ac:dyDescent="0.2">
      <c r="I515" s="279"/>
    </row>
    <row r="516" spans="9:9" ht="15" x14ac:dyDescent="0.2">
      <c r="I516" s="279"/>
    </row>
    <row r="517" spans="9:9" ht="15" x14ac:dyDescent="0.2">
      <c r="I517" s="279"/>
    </row>
    <row r="518" spans="9:9" ht="15" x14ac:dyDescent="0.2">
      <c r="I518" s="279"/>
    </row>
    <row r="519" spans="9:9" ht="15" x14ac:dyDescent="0.2">
      <c r="I519" s="279"/>
    </row>
    <row r="520" spans="9:9" ht="15" x14ac:dyDescent="0.2">
      <c r="I520" s="279"/>
    </row>
    <row r="521" spans="9:9" ht="15" x14ac:dyDescent="0.2">
      <c r="I521" s="279"/>
    </row>
    <row r="522" spans="9:9" ht="15" x14ac:dyDescent="0.2">
      <c r="I522" s="279"/>
    </row>
    <row r="523" spans="9:9" ht="15" x14ac:dyDescent="0.2">
      <c r="I523" s="279"/>
    </row>
    <row r="524" spans="9:9" ht="15" x14ac:dyDescent="0.2">
      <c r="I524" s="279"/>
    </row>
    <row r="525" spans="9:9" ht="15" x14ac:dyDescent="0.2">
      <c r="I525" s="279"/>
    </row>
    <row r="526" spans="9:9" ht="15" x14ac:dyDescent="0.2">
      <c r="I526" s="279"/>
    </row>
    <row r="527" spans="9:9" ht="15" x14ac:dyDescent="0.2">
      <c r="I527" s="279"/>
    </row>
    <row r="528" spans="9:9" ht="15" x14ac:dyDescent="0.2">
      <c r="I528" s="279"/>
    </row>
    <row r="529" spans="9:9" ht="15" x14ac:dyDescent="0.2">
      <c r="I529" s="279"/>
    </row>
    <row r="530" spans="9:9" ht="15" x14ac:dyDescent="0.2">
      <c r="I530" s="279"/>
    </row>
    <row r="531" spans="9:9" ht="15" x14ac:dyDescent="0.2">
      <c r="I531" s="279"/>
    </row>
    <row r="532" spans="9:9" ht="15" x14ac:dyDescent="0.2">
      <c r="I532" s="279"/>
    </row>
    <row r="533" spans="9:9" ht="15" x14ac:dyDescent="0.2">
      <c r="I533" s="279"/>
    </row>
    <row r="534" spans="9:9" ht="15" x14ac:dyDescent="0.2">
      <c r="I534" s="279"/>
    </row>
    <row r="535" spans="9:9" ht="15" x14ac:dyDescent="0.2">
      <c r="I535" s="279"/>
    </row>
    <row r="536" spans="9:9" ht="15" x14ac:dyDescent="0.2">
      <c r="I536" s="279"/>
    </row>
    <row r="537" spans="9:9" ht="15" x14ac:dyDescent="0.2">
      <c r="I537" s="279"/>
    </row>
    <row r="538" spans="9:9" ht="15" x14ac:dyDescent="0.2">
      <c r="I538" s="279"/>
    </row>
    <row r="539" spans="9:9" ht="15" x14ac:dyDescent="0.2">
      <c r="I539" s="279"/>
    </row>
    <row r="540" spans="9:9" ht="15" x14ac:dyDescent="0.2">
      <c r="I540" s="279"/>
    </row>
    <row r="541" spans="9:9" ht="15" x14ac:dyDescent="0.2">
      <c r="I541" s="279"/>
    </row>
    <row r="542" spans="9:9" ht="15" x14ac:dyDescent="0.2">
      <c r="I542" s="279"/>
    </row>
    <row r="543" spans="9:9" ht="15" x14ac:dyDescent="0.2">
      <c r="I543" s="279"/>
    </row>
    <row r="544" spans="9:9" ht="15" x14ac:dyDescent="0.2">
      <c r="I544" s="279"/>
    </row>
    <row r="545" spans="9:9" ht="15" x14ac:dyDescent="0.2">
      <c r="I545" s="279"/>
    </row>
    <row r="546" spans="9:9" ht="15" x14ac:dyDescent="0.2">
      <c r="I546" s="279"/>
    </row>
    <row r="547" spans="9:9" ht="15" x14ac:dyDescent="0.2">
      <c r="I547" s="279"/>
    </row>
    <row r="548" spans="9:9" ht="15" x14ac:dyDescent="0.2">
      <c r="I548" s="279"/>
    </row>
    <row r="549" spans="9:9" ht="15" x14ac:dyDescent="0.2">
      <c r="I549" s="279"/>
    </row>
    <row r="550" spans="9:9" ht="15" x14ac:dyDescent="0.2">
      <c r="I550" s="279"/>
    </row>
    <row r="551" spans="9:9" ht="15" x14ac:dyDescent="0.2">
      <c r="I551" s="279"/>
    </row>
    <row r="552" spans="9:9" ht="15" x14ac:dyDescent="0.2">
      <c r="I552" s="279"/>
    </row>
    <row r="553" spans="9:9" ht="15" x14ac:dyDescent="0.2">
      <c r="I553" s="279"/>
    </row>
    <row r="554" spans="9:9" ht="15" x14ac:dyDescent="0.2">
      <c r="I554" s="279"/>
    </row>
    <row r="555" spans="9:9" ht="15" x14ac:dyDescent="0.2">
      <c r="I555" s="279"/>
    </row>
    <row r="556" spans="9:9" ht="15" x14ac:dyDescent="0.2">
      <c r="I556" s="279"/>
    </row>
    <row r="557" spans="9:9" ht="15" x14ac:dyDescent="0.2">
      <c r="I557" s="279"/>
    </row>
    <row r="558" spans="9:9" ht="15" x14ac:dyDescent="0.2">
      <c r="I558" s="279"/>
    </row>
    <row r="559" spans="9:9" ht="15" x14ac:dyDescent="0.2">
      <c r="I559" s="279"/>
    </row>
    <row r="560" spans="9:9" ht="15" x14ac:dyDescent="0.2">
      <c r="I560" s="279"/>
    </row>
    <row r="561" spans="9:9" ht="15" x14ac:dyDescent="0.2">
      <c r="I561" s="279"/>
    </row>
    <row r="562" spans="9:9" ht="15" x14ac:dyDescent="0.2">
      <c r="I562" s="279"/>
    </row>
    <row r="563" spans="9:9" ht="15" x14ac:dyDescent="0.2">
      <c r="I563" s="279"/>
    </row>
    <row r="564" spans="9:9" ht="15" x14ac:dyDescent="0.2">
      <c r="I564" s="279"/>
    </row>
    <row r="565" spans="9:9" ht="15" x14ac:dyDescent="0.2">
      <c r="I565" s="279"/>
    </row>
    <row r="566" spans="9:9" ht="15" x14ac:dyDescent="0.2">
      <c r="I566" s="279"/>
    </row>
    <row r="567" spans="9:9" ht="15" x14ac:dyDescent="0.2">
      <c r="I567" s="279"/>
    </row>
    <row r="568" spans="9:9" ht="15" x14ac:dyDescent="0.2">
      <c r="I568" s="279"/>
    </row>
    <row r="569" spans="9:9" ht="15" x14ac:dyDescent="0.2">
      <c r="I569" s="279"/>
    </row>
    <row r="570" spans="9:9" ht="15" x14ac:dyDescent="0.2">
      <c r="I570" s="279"/>
    </row>
    <row r="571" spans="9:9" ht="15" x14ac:dyDescent="0.2">
      <c r="I571" s="279"/>
    </row>
    <row r="572" spans="9:9" ht="15" x14ac:dyDescent="0.2">
      <c r="I572" s="279"/>
    </row>
    <row r="573" spans="9:9" ht="15" x14ac:dyDescent="0.2">
      <c r="I573" s="279"/>
    </row>
    <row r="574" spans="9:9" ht="15" x14ac:dyDescent="0.2">
      <c r="I574" s="279"/>
    </row>
    <row r="575" spans="9:9" ht="15" x14ac:dyDescent="0.2">
      <c r="I575" s="279"/>
    </row>
    <row r="576" spans="9:9" ht="15" x14ac:dyDescent="0.2">
      <c r="I576" s="279"/>
    </row>
    <row r="577" spans="9:9" ht="15" x14ac:dyDescent="0.2">
      <c r="I577" s="279"/>
    </row>
    <row r="578" spans="9:9" ht="15" x14ac:dyDescent="0.2">
      <c r="I578" s="279"/>
    </row>
    <row r="579" spans="9:9" ht="15" x14ac:dyDescent="0.2">
      <c r="I579" s="279"/>
    </row>
    <row r="580" spans="9:9" ht="15" x14ac:dyDescent="0.2">
      <c r="I580" s="279"/>
    </row>
    <row r="581" spans="9:9" ht="15" x14ac:dyDescent="0.2">
      <c r="I581" s="279"/>
    </row>
    <row r="582" spans="9:9" ht="15" x14ac:dyDescent="0.2">
      <c r="I582" s="279"/>
    </row>
    <row r="583" spans="9:9" ht="15" x14ac:dyDescent="0.2">
      <c r="I583" s="279"/>
    </row>
    <row r="584" spans="9:9" ht="15" x14ac:dyDescent="0.2">
      <c r="I584" s="279"/>
    </row>
    <row r="585" spans="9:9" ht="15" x14ac:dyDescent="0.2">
      <c r="I585" s="279"/>
    </row>
    <row r="586" spans="9:9" ht="15" x14ac:dyDescent="0.2">
      <c r="I586" s="279"/>
    </row>
    <row r="587" spans="9:9" ht="15" x14ac:dyDescent="0.2">
      <c r="I587" s="279"/>
    </row>
    <row r="588" spans="9:9" ht="15" x14ac:dyDescent="0.2">
      <c r="I588" s="279"/>
    </row>
    <row r="589" spans="9:9" ht="15" x14ac:dyDescent="0.2">
      <c r="I589" s="279"/>
    </row>
    <row r="590" spans="9:9" ht="15" x14ac:dyDescent="0.2">
      <c r="I590" s="279"/>
    </row>
    <row r="591" spans="9:9" ht="15" x14ac:dyDescent="0.2">
      <c r="I591" s="279"/>
    </row>
    <row r="592" spans="9:9" ht="15" x14ac:dyDescent="0.2">
      <c r="I592" s="279"/>
    </row>
    <row r="593" spans="9:9" ht="15" x14ac:dyDescent="0.2">
      <c r="I593" s="279"/>
    </row>
    <row r="594" spans="9:9" ht="15" x14ac:dyDescent="0.2">
      <c r="I594" s="279"/>
    </row>
    <row r="595" spans="9:9" ht="15" x14ac:dyDescent="0.2">
      <c r="I595" s="279"/>
    </row>
    <row r="596" spans="9:9" ht="15" x14ac:dyDescent="0.2">
      <c r="I596" s="279"/>
    </row>
    <row r="597" spans="9:9" ht="15" x14ac:dyDescent="0.2">
      <c r="I597" s="279"/>
    </row>
    <row r="598" spans="9:9" ht="15" x14ac:dyDescent="0.2">
      <c r="I598" s="279"/>
    </row>
    <row r="599" spans="9:9" ht="15" x14ac:dyDescent="0.2">
      <c r="I599" s="279"/>
    </row>
    <row r="600" spans="9:9" ht="15" x14ac:dyDescent="0.2">
      <c r="I600" s="279"/>
    </row>
    <row r="601" spans="9:9" ht="15" x14ac:dyDescent="0.2">
      <c r="I601" s="279"/>
    </row>
    <row r="602" spans="9:9" ht="15" x14ac:dyDescent="0.2">
      <c r="I602" s="279"/>
    </row>
    <row r="603" spans="9:9" ht="15" x14ac:dyDescent="0.2">
      <c r="I603" s="279"/>
    </row>
    <row r="604" spans="9:9" ht="15" x14ac:dyDescent="0.2">
      <c r="I604" s="279"/>
    </row>
    <row r="605" spans="9:9" ht="15" x14ac:dyDescent="0.2">
      <c r="I605" s="279"/>
    </row>
    <row r="606" spans="9:9" ht="15" x14ac:dyDescent="0.2">
      <c r="I606" s="279"/>
    </row>
    <row r="607" spans="9:9" ht="15" x14ac:dyDescent="0.2">
      <c r="I607" s="279"/>
    </row>
    <row r="608" spans="9:9" ht="15" x14ac:dyDescent="0.2">
      <c r="I608" s="279"/>
    </row>
    <row r="609" spans="9:9" ht="15" x14ac:dyDescent="0.2">
      <c r="I609" s="279"/>
    </row>
    <row r="610" spans="9:9" ht="15" x14ac:dyDescent="0.2">
      <c r="I610" s="279"/>
    </row>
    <row r="611" spans="9:9" ht="15" x14ac:dyDescent="0.2">
      <c r="I611" s="279"/>
    </row>
    <row r="612" spans="9:9" ht="15" x14ac:dyDescent="0.2">
      <c r="I612" s="279"/>
    </row>
    <row r="613" spans="9:9" ht="15" x14ac:dyDescent="0.2">
      <c r="I613" s="279"/>
    </row>
    <row r="614" spans="9:9" ht="15" x14ac:dyDescent="0.2">
      <c r="I614" s="279"/>
    </row>
    <row r="615" spans="9:9" ht="15" x14ac:dyDescent="0.2">
      <c r="I615" s="279"/>
    </row>
    <row r="616" spans="9:9" ht="15" x14ac:dyDescent="0.2">
      <c r="I616" s="279"/>
    </row>
    <row r="617" spans="9:9" ht="15" x14ac:dyDescent="0.2">
      <c r="I617" s="279"/>
    </row>
    <row r="618" spans="9:9" ht="15" x14ac:dyDescent="0.2">
      <c r="I618" s="279"/>
    </row>
    <row r="619" spans="9:9" ht="15" x14ac:dyDescent="0.2">
      <c r="I619" s="279"/>
    </row>
    <row r="620" spans="9:9" ht="15" x14ac:dyDescent="0.2">
      <c r="I620" s="279"/>
    </row>
    <row r="621" spans="9:9" ht="15" x14ac:dyDescent="0.2">
      <c r="I621" s="279"/>
    </row>
    <row r="622" spans="9:9" ht="15" x14ac:dyDescent="0.2">
      <c r="I622" s="279"/>
    </row>
    <row r="623" spans="9:9" ht="15" x14ac:dyDescent="0.2">
      <c r="I623" s="279"/>
    </row>
    <row r="624" spans="9:9" ht="15" x14ac:dyDescent="0.2">
      <c r="I624" s="279"/>
    </row>
    <row r="625" spans="9:9" ht="15" x14ac:dyDescent="0.2">
      <c r="I625" s="279"/>
    </row>
    <row r="626" spans="9:9" ht="15" x14ac:dyDescent="0.2">
      <c r="I626" s="279"/>
    </row>
    <row r="627" spans="9:9" ht="15" x14ac:dyDescent="0.2">
      <c r="I627" s="279"/>
    </row>
    <row r="628" spans="9:9" ht="15" x14ac:dyDescent="0.2">
      <c r="I628" s="279"/>
    </row>
    <row r="629" spans="9:9" ht="15" x14ac:dyDescent="0.2">
      <c r="I629" s="279"/>
    </row>
    <row r="630" spans="9:9" ht="15" x14ac:dyDescent="0.2">
      <c r="I630" s="279"/>
    </row>
    <row r="631" spans="9:9" ht="15" x14ac:dyDescent="0.2">
      <c r="I631" s="279"/>
    </row>
    <row r="632" spans="9:9" ht="15" x14ac:dyDescent="0.2">
      <c r="I632" s="279"/>
    </row>
    <row r="633" spans="9:9" ht="15" x14ac:dyDescent="0.2">
      <c r="I633" s="279"/>
    </row>
    <row r="634" spans="9:9" ht="15" x14ac:dyDescent="0.2">
      <c r="I634" s="279"/>
    </row>
    <row r="635" spans="9:9" ht="15" x14ac:dyDescent="0.2">
      <c r="I635" s="279"/>
    </row>
    <row r="636" spans="9:9" ht="15" x14ac:dyDescent="0.2">
      <c r="I636" s="279"/>
    </row>
    <row r="637" spans="9:9" ht="15" x14ac:dyDescent="0.2">
      <c r="I637" s="279"/>
    </row>
    <row r="638" spans="9:9" ht="15" x14ac:dyDescent="0.2">
      <c r="I638" s="279"/>
    </row>
    <row r="639" spans="9:9" ht="15" x14ac:dyDescent="0.2">
      <c r="I639" s="279"/>
    </row>
    <row r="640" spans="9:9" ht="15" x14ac:dyDescent="0.2">
      <c r="I640" s="279"/>
    </row>
    <row r="641" spans="9:9" ht="15" x14ac:dyDescent="0.2">
      <c r="I641" s="279"/>
    </row>
    <row r="642" spans="9:9" ht="15" x14ac:dyDescent="0.2">
      <c r="I642" s="279"/>
    </row>
    <row r="643" spans="9:9" ht="15" x14ac:dyDescent="0.2">
      <c r="I643" s="279"/>
    </row>
    <row r="644" spans="9:9" ht="15" x14ac:dyDescent="0.2">
      <c r="I644" s="279"/>
    </row>
    <row r="645" spans="9:9" ht="15" x14ac:dyDescent="0.2">
      <c r="I645" s="279"/>
    </row>
    <row r="646" spans="9:9" ht="15" x14ac:dyDescent="0.2">
      <c r="I646" s="279"/>
    </row>
    <row r="647" spans="9:9" ht="15" x14ac:dyDescent="0.2">
      <c r="I647" s="279"/>
    </row>
    <row r="648" spans="9:9" ht="15" x14ac:dyDescent="0.2">
      <c r="I648" s="279"/>
    </row>
    <row r="649" spans="9:9" ht="15" x14ac:dyDescent="0.2">
      <c r="I649" s="279"/>
    </row>
    <row r="650" spans="9:9" ht="15" x14ac:dyDescent="0.2">
      <c r="I650" s="279"/>
    </row>
    <row r="651" spans="9:9" ht="15" x14ac:dyDescent="0.2">
      <c r="I651" s="279"/>
    </row>
    <row r="652" spans="9:9" ht="15" x14ac:dyDescent="0.2">
      <c r="I652" s="279"/>
    </row>
    <row r="653" spans="9:9" ht="15" x14ac:dyDescent="0.2">
      <c r="I653" s="279"/>
    </row>
    <row r="654" spans="9:9" ht="15" x14ac:dyDescent="0.2">
      <c r="I654" s="279"/>
    </row>
    <row r="655" spans="9:9" ht="15" x14ac:dyDescent="0.2">
      <c r="I655" s="279"/>
    </row>
    <row r="656" spans="9:9" ht="15" x14ac:dyDescent="0.2">
      <c r="I656" s="279"/>
    </row>
    <row r="657" spans="9:9" ht="15" x14ac:dyDescent="0.2">
      <c r="I657" s="279"/>
    </row>
    <row r="658" spans="9:9" ht="15" x14ac:dyDescent="0.2">
      <c r="I658" s="279"/>
    </row>
    <row r="659" spans="9:9" ht="15" x14ac:dyDescent="0.2">
      <c r="I659" s="279"/>
    </row>
    <row r="660" spans="9:9" ht="15" x14ac:dyDescent="0.2">
      <c r="I660" s="279"/>
    </row>
    <row r="661" spans="9:9" ht="15" x14ac:dyDescent="0.2">
      <c r="I661" s="279"/>
    </row>
    <row r="662" spans="9:9" ht="15" x14ac:dyDescent="0.2">
      <c r="I662" s="279"/>
    </row>
    <row r="663" spans="9:9" ht="15" x14ac:dyDescent="0.2">
      <c r="I663" s="279"/>
    </row>
    <row r="664" spans="9:9" ht="15" x14ac:dyDescent="0.2">
      <c r="I664" s="279"/>
    </row>
    <row r="665" spans="9:9" ht="15" x14ac:dyDescent="0.2">
      <c r="I665" s="279"/>
    </row>
    <row r="666" spans="9:9" ht="15" x14ac:dyDescent="0.2">
      <c r="I666" s="279"/>
    </row>
    <row r="667" spans="9:9" ht="15" x14ac:dyDescent="0.2">
      <c r="I667" s="279"/>
    </row>
    <row r="668" spans="9:9" ht="15" x14ac:dyDescent="0.2">
      <c r="I668" s="279"/>
    </row>
    <row r="669" spans="9:9" ht="15" x14ac:dyDescent="0.2">
      <c r="I669" s="279"/>
    </row>
    <row r="670" spans="9:9" ht="15" x14ac:dyDescent="0.2">
      <c r="I670" s="279"/>
    </row>
    <row r="671" spans="9:9" ht="15" x14ac:dyDescent="0.2">
      <c r="I671" s="279"/>
    </row>
    <row r="672" spans="9:9" ht="15" x14ac:dyDescent="0.2">
      <c r="I672" s="279"/>
    </row>
    <row r="673" spans="9:9" ht="15" x14ac:dyDescent="0.2">
      <c r="I673" s="279"/>
    </row>
    <row r="674" spans="9:9" ht="15" x14ac:dyDescent="0.2">
      <c r="I674" s="279"/>
    </row>
    <row r="675" spans="9:9" ht="15" x14ac:dyDescent="0.2">
      <c r="I675" s="279"/>
    </row>
    <row r="676" spans="9:9" ht="15" x14ac:dyDescent="0.2">
      <c r="I676" s="279"/>
    </row>
    <row r="677" spans="9:9" ht="15" x14ac:dyDescent="0.2">
      <c r="I677" s="279"/>
    </row>
    <row r="678" spans="9:9" ht="15" x14ac:dyDescent="0.2">
      <c r="I678" s="279"/>
    </row>
    <row r="679" spans="9:9" ht="15" x14ac:dyDescent="0.2">
      <c r="I679" s="279"/>
    </row>
    <row r="680" spans="9:9" ht="15" x14ac:dyDescent="0.2">
      <c r="I680" s="279"/>
    </row>
    <row r="681" spans="9:9" ht="15" x14ac:dyDescent="0.2">
      <c r="I681" s="279"/>
    </row>
    <row r="682" spans="9:9" ht="15" x14ac:dyDescent="0.2">
      <c r="I682" s="279"/>
    </row>
    <row r="683" spans="9:9" ht="15" x14ac:dyDescent="0.2">
      <c r="I683" s="279"/>
    </row>
    <row r="684" spans="9:9" ht="15" x14ac:dyDescent="0.2">
      <c r="I684" s="279"/>
    </row>
    <row r="685" spans="9:9" ht="15" x14ac:dyDescent="0.2">
      <c r="I685" s="279"/>
    </row>
    <row r="686" spans="9:9" ht="15" x14ac:dyDescent="0.2">
      <c r="I686" s="279"/>
    </row>
    <row r="687" spans="9:9" ht="15" x14ac:dyDescent="0.2">
      <c r="I687" s="279"/>
    </row>
    <row r="688" spans="9:9" ht="15" x14ac:dyDescent="0.2">
      <c r="I688" s="279"/>
    </row>
    <row r="689" spans="9:9" ht="15" x14ac:dyDescent="0.2">
      <c r="I689" s="279"/>
    </row>
    <row r="690" spans="9:9" ht="15" x14ac:dyDescent="0.2">
      <c r="I690" s="279"/>
    </row>
    <row r="691" spans="9:9" ht="15" x14ac:dyDescent="0.2">
      <c r="I691" s="279"/>
    </row>
    <row r="692" spans="9:9" ht="15" x14ac:dyDescent="0.2">
      <c r="I692" s="279"/>
    </row>
    <row r="693" spans="9:9" ht="15" x14ac:dyDescent="0.2">
      <c r="I693" s="279"/>
    </row>
    <row r="694" spans="9:9" ht="15" x14ac:dyDescent="0.2">
      <c r="I694" s="279"/>
    </row>
    <row r="695" spans="9:9" ht="15" x14ac:dyDescent="0.2">
      <c r="I695" s="279"/>
    </row>
    <row r="696" spans="9:9" ht="15" x14ac:dyDescent="0.2">
      <c r="I696" s="279"/>
    </row>
    <row r="697" spans="9:9" ht="15" x14ac:dyDescent="0.2">
      <c r="I697" s="279"/>
    </row>
    <row r="698" spans="9:9" ht="15" x14ac:dyDescent="0.2">
      <c r="I698" s="279"/>
    </row>
    <row r="699" spans="9:9" ht="15" x14ac:dyDescent="0.2">
      <c r="I699" s="279"/>
    </row>
    <row r="700" spans="9:9" ht="15" x14ac:dyDescent="0.2">
      <c r="I700" s="279"/>
    </row>
    <row r="701" spans="9:9" ht="15" x14ac:dyDescent="0.2">
      <c r="I701" s="279"/>
    </row>
    <row r="702" spans="9:9" ht="15" x14ac:dyDescent="0.2">
      <c r="I702" s="279"/>
    </row>
    <row r="703" spans="9:9" ht="15" x14ac:dyDescent="0.2">
      <c r="I703" s="279"/>
    </row>
    <row r="704" spans="9:9" ht="15" x14ac:dyDescent="0.2">
      <c r="I704" s="279"/>
    </row>
    <row r="705" spans="9:9" ht="15" x14ac:dyDescent="0.2">
      <c r="I705" s="279"/>
    </row>
    <row r="706" spans="9:9" ht="15" x14ac:dyDescent="0.2">
      <c r="I706" s="279"/>
    </row>
    <row r="707" spans="9:9" ht="15" x14ac:dyDescent="0.2">
      <c r="I707" s="279"/>
    </row>
    <row r="708" spans="9:9" ht="15" x14ac:dyDescent="0.2">
      <c r="I708" s="279"/>
    </row>
    <row r="709" spans="9:9" ht="15" x14ac:dyDescent="0.2">
      <c r="I709" s="279"/>
    </row>
    <row r="710" spans="9:9" ht="15" x14ac:dyDescent="0.2">
      <c r="I710" s="279"/>
    </row>
    <row r="711" spans="9:9" ht="15" x14ac:dyDescent="0.2">
      <c r="I711" s="279"/>
    </row>
    <row r="712" spans="9:9" ht="15" x14ac:dyDescent="0.2">
      <c r="I712" s="279"/>
    </row>
    <row r="713" spans="9:9" ht="15" x14ac:dyDescent="0.2">
      <c r="I713" s="279"/>
    </row>
    <row r="714" spans="9:9" ht="15" x14ac:dyDescent="0.2">
      <c r="I714" s="279"/>
    </row>
    <row r="715" spans="9:9" ht="15" x14ac:dyDescent="0.2">
      <c r="I715" s="279"/>
    </row>
    <row r="716" spans="9:9" ht="15" x14ac:dyDescent="0.2">
      <c r="I716" s="279"/>
    </row>
    <row r="717" spans="9:9" ht="15" x14ac:dyDescent="0.2">
      <c r="I717" s="279"/>
    </row>
    <row r="718" spans="9:9" ht="15" x14ac:dyDescent="0.2">
      <c r="I718" s="279"/>
    </row>
    <row r="719" spans="9:9" ht="15" x14ac:dyDescent="0.2">
      <c r="I719" s="279"/>
    </row>
    <row r="720" spans="9:9" ht="15" x14ac:dyDescent="0.2">
      <c r="I720" s="279"/>
    </row>
    <row r="721" spans="9:9" ht="15" x14ac:dyDescent="0.2">
      <c r="I721" s="279"/>
    </row>
    <row r="722" spans="9:9" ht="15" x14ac:dyDescent="0.2">
      <c r="I722" s="279"/>
    </row>
    <row r="723" spans="9:9" ht="15" x14ac:dyDescent="0.2">
      <c r="I723" s="279"/>
    </row>
    <row r="724" spans="9:9" ht="15" x14ac:dyDescent="0.2">
      <c r="I724" s="279"/>
    </row>
    <row r="725" spans="9:9" ht="15" x14ac:dyDescent="0.2">
      <c r="I725" s="279"/>
    </row>
    <row r="726" spans="9:9" ht="15" x14ac:dyDescent="0.2">
      <c r="I726" s="279"/>
    </row>
    <row r="727" spans="9:9" ht="15" x14ac:dyDescent="0.2">
      <c r="I727" s="279"/>
    </row>
    <row r="728" spans="9:9" ht="15" x14ac:dyDescent="0.2">
      <c r="I728" s="279"/>
    </row>
    <row r="729" spans="9:9" ht="15" x14ac:dyDescent="0.2">
      <c r="I729" s="279"/>
    </row>
    <row r="730" spans="9:9" ht="15" x14ac:dyDescent="0.2">
      <c r="I730" s="279"/>
    </row>
    <row r="731" spans="9:9" ht="15" x14ac:dyDescent="0.2">
      <c r="I731" s="279"/>
    </row>
    <row r="732" spans="9:9" ht="15" x14ac:dyDescent="0.2">
      <c r="I732" s="279"/>
    </row>
    <row r="733" spans="9:9" ht="15" x14ac:dyDescent="0.2">
      <c r="I733" s="279"/>
    </row>
    <row r="734" spans="9:9" ht="15" x14ac:dyDescent="0.2">
      <c r="I734" s="279"/>
    </row>
    <row r="735" spans="9:9" ht="15" x14ac:dyDescent="0.2">
      <c r="I735" s="279"/>
    </row>
    <row r="736" spans="9:9" ht="15" x14ac:dyDescent="0.2">
      <c r="I736" s="279"/>
    </row>
    <row r="737" spans="9:9" ht="15" x14ac:dyDescent="0.2">
      <c r="I737" s="279"/>
    </row>
    <row r="738" spans="9:9" ht="15" x14ac:dyDescent="0.2">
      <c r="I738" s="279"/>
    </row>
    <row r="739" spans="9:9" ht="15" x14ac:dyDescent="0.2">
      <c r="I739" s="279"/>
    </row>
    <row r="740" spans="9:9" ht="15" x14ac:dyDescent="0.2">
      <c r="I740" s="279"/>
    </row>
    <row r="741" spans="9:9" ht="15" x14ac:dyDescent="0.2">
      <c r="I741" s="279"/>
    </row>
    <row r="742" spans="9:9" ht="15" x14ac:dyDescent="0.2">
      <c r="I742" s="279"/>
    </row>
    <row r="743" spans="9:9" ht="15" x14ac:dyDescent="0.2">
      <c r="I743" s="279"/>
    </row>
    <row r="744" spans="9:9" ht="15" x14ac:dyDescent="0.2">
      <c r="I744" s="279"/>
    </row>
    <row r="745" spans="9:9" ht="15" x14ac:dyDescent="0.2">
      <c r="I745" s="279"/>
    </row>
    <row r="746" spans="9:9" ht="15" x14ac:dyDescent="0.2">
      <c r="I746" s="279"/>
    </row>
    <row r="747" spans="9:9" ht="15" x14ac:dyDescent="0.2">
      <c r="I747" s="279"/>
    </row>
    <row r="748" spans="9:9" ht="15" x14ac:dyDescent="0.2">
      <c r="I748" s="279"/>
    </row>
    <row r="749" spans="9:9" ht="15" x14ac:dyDescent="0.2">
      <c r="I749" s="279"/>
    </row>
    <row r="750" spans="9:9" ht="15" x14ac:dyDescent="0.2">
      <c r="I750" s="279"/>
    </row>
    <row r="751" spans="9:9" ht="15" x14ac:dyDescent="0.2">
      <c r="I751" s="279"/>
    </row>
    <row r="752" spans="9:9" ht="15" x14ac:dyDescent="0.2">
      <c r="I752" s="279"/>
    </row>
    <row r="753" spans="9:9" ht="15" x14ac:dyDescent="0.2">
      <c r="I753" s="279"/>
    </row>
    <row r="754" spans="9:9" ht="15" x14ac:dyDescent="0.2">
      <c r="I754" s="279"/>
    </row>
    <row r="755" spans="9:9" ht="15" x14ac:dyDescent="0.2">
      <c r="I755" s="279"/>
    </row>
    <row r="756" spans="9:9" ht="15" x14ac:dyDescent="0.2">
      <c r="I756" s="279"/>
    </row>
    <row r="757" spans="9:9" ht="15" x14ac:dyDescent="0.2">
      <c r="I757" s="279"/>
    </row>
    <row r="758" spans="9:9" ht="15" x14ac:dyDescent="0.2">
      <c r="I758" s="279"/>
    </row>
    <row r="759" spans="9:9" ht="15" x14ac:dyDescent="0.2">
      <c r="I759" s="279"/>
    </row>
    <row r="760" spans="9:9" ht="15" x14ac:dyDescent="0.2">
      <c r="I760" s="279"/>
    </row>
    <row r="761" spans="9:9" ht="15" x14ac:dyDescent="0.2">
      <c r="I761" s="279"/>
    </row>
    <row r="762" spans="9:9" ht="15" x14ac:dyDescent="0.2">
      <c r="I762" s="279"/>
    </row>
    <row r="763" spans="9:9" ht="15" x14ac:dyDescent="0.2">
      <c r="I763" s="279"/>
    </row>
    <row r="764" spans="9:9" ht="15" x14ac:dyDescent="0.2">
      <c r="I764" s="279"/>
    </row>
    <row r="765" spans="9:9" ht="15" x14ac:dyDescent="0.2">
      <c r="I765" s="279"/>
    </row>
    <row r="766" spans="9:9" ht="15" x14ac:dyDescent="0.2">
      <c r="I766" s="279"/>
    </row>
    <row r="767" spans="9:9" ht="15" x14ac:dyDescent="0.2">
      <c r="I767" s="279"/>
    </row>
    <row r="768" spans="9:9" ht="15" x14ac:dyDescent="0.2">
      <c r="I768" s="279"/>
    </row>
    <row r="769" spans="9:9" ht="15" x14ac:dyDescent="0.2">
      <c r="I769" s="279"/>
    </row>
    <row r="770" spans="9:9" ht="15" x14ac:dyDescent="0.2">
      <c r="I770" s="279"/>
    </row>
    <row r="771" spans="9:9" ht="15" x14ac:dyDescent="0.2">
      <c r="I771" s="279"/>
    </row>
    <row r="772" spans="9:9" ht="15" x14ac:dyDescent="0.2">
      <c r="I772" s="279"/>
    </row>
    <row r="773" spans="9:9" ht="15" x14ac:dyDescent="0.2">
      <c r="I773" s="279"/>
    </row>
    <row r="774" spans="9:9" ht="15" x14ac:dyDescent="0.2">
      <c r="I774" s="279"/>
    </row>
    <row r="775" spans="9:9" ht="15" x14ac:dyDescent="0.2">
      <c r="I775" s="279"/>
    </row>
    <row r="776" spans="9:9" ht="15" x14ac:dyDescent="0.2">
      <c r="I776" s="279"/>
    </row>
    <row r="777" spans="9:9" ht="15" x14ac:dyDescent="0.2">
      <c r="I777" s="279"/>
    </row>
    <row r="778" spans="9:9" ht="15" x14ac:dyDescent="0.2">
      <c r="I778" s="279"/>
    </row>
    <row r="779" spans="9:9" ht="15" x14ac:dyDescent="0.2">
      <c r="I779" s="279"/>
    </row>
    <row r="780" spans="9:9" ht="15" x14ac:dyDescent="0.2">
      <c r="I780" s="279"/>
    </row>
    <row r="781" spans="9:9" ht="15" x14ac:dyDescent="0.2">
      <c r="I781" s="279"/>
    </row>
    <row r="782" spans="9:9" ht="15" x14ac:dyDescent="0.2">
      <c r="I782" s="279"/>
    </row>
    <row r="783" spans="9:9" ht="15" x14ac:dyDescent="0.2">
      <c r="I783" s="279"/>
    </row>
    <row r="784" spans="9:9" ht="15" x14ac:dyDescent="0.2">
      <c r="I784" s="279"/>
    </row>
    <row r="785" spans="9:9" ht="15" x14ac:dyDescent="0.2">
      <c r="I785" s="279"/>
    </row>
    <row r="786" spans="9:9" ht="15" x14ac:dyDescent="0.2">
      <c r="I786" s="279"/>
    </row>
    <row r="787" spans="9:9" ht="15" x14ac:dyDescent="0.2">
      <c r="I787" s="279"/>
    </row>
    <row r="788" spans="9:9" ht="15" x14ac:dyDescent="0.2">
      <c r="I788" s="279"/>
    </row>
    <row r="789" spans="9:9" ht="15" x14ac:dyDescent="0.2">
      <c r="I789" s="279"/>
    </row>
    <row r="790" spans="9:9" ht="15" x14ac:dyDescent="0.2">
      <c r="I790" s="279"/>
    </row>
    <row r="791" spans="9:9" ht="15" x14ac:dyDescent="0.2">
      <c r="I791" s="279"/>
    </row>
    <row r="792" spans="9:9" ht="15" x14ac:dyDescent="0.2">
      <c r="I792" s="279"/>
    </row>
    <row r="793" spans="9:9" ht="15" x14ac:dyDescent="0.2">
      <c r="I793" s="279"/>
    </row>
    <row r="794" spans="9:9" ht="15" x14ac:dyDescent="0.2">
      <c r="I794" s="279"/>
    </row>
    <row r="795" spans="9:9" ht="15" x14ac:dyDescent="0.2">
      <c r="I795" s="279"/>
    </row>
    <row r="796" spans="9:9" ht="15" x14ac:dyDescent="0.2">
      <c r="I796" s="279"/>
    </row>
    <row r="797" spans="9:9" ht="15" x14ac:dyDescent="0.2">
      <c r="I797" s="279"/>
    </row>
    <row r="798" spans="9:9" ht="15" x14ac:dyDescent="0.2">
      <c r="I798" s="279"/>
    </row>
    <row r="799" spans="9:9" ht="15" x14ac:dyDescent="0.2">
      <c r="I799" s="279"/>
    </row>
    <row r="800" spans="9:9" ht="15" x14ac:dyDescent="0.2">
      <c r="I800" s="279"/>
    </row>
    <row r="801" spans="9:9" ht="15" x14ac:dyDescent="0.2">
      <c r="I801" s="279"/>
    </row>
    <row r="802" spans="9:9" ht="15" x14ac:dyDescent="0.2">
      <c r="I802" s="279"/>
    </row>
    <row r="803" spans="9:9" ht="15" x14ac:dyDescent="0.2">
      <c r="I803" s="279"/>
    </row>
    <row r="804" spans="9:9" ht="15" x14ac:dyDescent="0.2">
      <c r="I804" s="279"/>
    </row>
    <row r="805" spans="9:9" ht="15" x14ac:dyDescent="0.2">
      <c r="I805" s="279"/>
    </row>
    <row r="806" spans="9:9" ht="15" x14ac:dyDescent="0.2">
      <c r="I806" s="279"/>
    </row>
    <row r="807" spans="9:9" ht="15" x14ac:dyDescent="0.2">
      <c r="I807" s="279"/>
    </row>
    <row r="808" spans="9:9" ht="15" x14ac:dyDescent="0.2">
      <c r="I808" s="279"/>
    </row>
    <row r="809" spans="9:9" ht="15" x14ac:dyDescent="0.2">
      <c r="I809" s="279"/>
    </row>
    <row r="810" spans="9:9" ht="15" x14ac:dyDescent="0.2">
      <c r="I810" s="279"/>
    </row>
    <row r="811" spans="9:9" ht="15" x14ac:dyDescent="0.2">
      <c r="I811" s="279"/>
    </row>
    <row r="812" spans="9:9" ht="15" x14ac:dyDescent="0.2">
      <c r="I812" s="279"/>
    </row>
    <row r="813" spans="9:9" ht="15" x14ac:dyDescent="0.2">
      <c r="I813" s="279"/>
    </row>
    <row r="814" spans="9:9" ht="15" x14ac:dyDescent="0.2">
      <c r="I814" s="279"/>
    </row>
    <row r="815" spans="9:9" ht="15" x14ac:dyDescent="0.2">
      <c r="I815" s="279"/>
    </row>
    <row r="816" spans="9:9" ht="15" x14ac:dyDescent="0.2">
      <c r="I816" s="279"/>
    </row>
    <row r="817" spans="9:9" ht="15" x14ac:dyDescent="0.2">
      <c r="I817" s="279"/>
    </row>
    <row r="818" spans="9:9" ht="15" x14ac:dyDescent="0.2">
      <c r="I818" s="279"/>
    </row>
    <row r="819" spans="9:9" ht="15" x14ac:dyDescent="0.2">
      <c r="I819" s="279"/>
    </row>
    <row r="820" spans="9:9" ht="15" x14ac:dyDescent="0.2">
      <c r="I820" s="279"/>
    </row>
    <row r="821" spans="9:9" ht="15" x14ac:dyDescent="0.2">
      <c r="I821" s="279"/>
    </row>
    <row r="822" spans="9:9" ht="15" x14ac:dyDescent="0.2">
      <c r="I822" s="279"/>
    </row>
    <row r="823" spans="9:9" ht="15" x14ac:dyDescent="0.2">
      <c r="I823" s="279"/>
    </row>
    <row r="824" spans="9:9" ht="15" x14ac:dyDescent="0.2">
      <c r="I824" s="279"/>
    </row>
    <row r="825" spans="9:9" ht="15" x14ac:dyDescent="0.2">
      <c r="I825" s="279"/>
    </row>
    <row r="826" spans="9:9" ht="15" x14ac:dyDescent="0.2">
      <c r="I826" s="279"/>
    </row>
    <row r="827" spans="9:9" ht="15" x14ac:dyDescent="0.2">
      <c r="I827" s="279"/>
    </row>
    <row r="828" spans="9:9" ht="15" x14ac:dyDescent="0.2">
      <c r="I828" s="279"/>
    </row>
    <row r="829" spans="9:9" ht="15" x14ac:dyDescent="0.2">
      <c r="I829" s="279"/>
    </row>
    <row r="830" spans="9:9" ht="15" x14ac:dyDescent="0.2">
      <c r="I830" s="279"/>
    </row>
    <row r="831" spans="9:9" ht="15" x14ac:dyDescent="0.2">
      <c r="I831" s="279"/>
    </row>
    <row r="832" spans="9:9" ht="15" x14ac:dyDescent="0.2">
      <c r="I832" s="279"/>
    </row>
    <row r="833" spans="9:9" ht="15" x14ac:dyDescent="0.2">
      <c r="I833" s="279"/>
    </row>
    <row r="834" spans="9:9" ht="15" x14ac:dyDescent="0.2">
      <c r="I834" s="279"/>
    </row>
    <row r="835" spans="9:9" ht="15" x14ac:dyDescent="0.2">
      <c r="I835" s="279"/>
    </row>
    <row r="836" spans="9:9" ht="15" x14ac:dyDescent="0.2">
      <c r="I836" s="279"/>
    </row>
    <row r="837" spans="9:9" ht="15" x14ac:dyDescent="0.2">
      <c r="I837" s="279"/>
    </row>
    <row r="838" spans="9:9" ht="15" x14ac:dyDescent="0.2">
      <c r="I838" s="279"/>
    </row>
    <row r="839" spans="9:9" ht="15" x14ac:dyDescent="0.2">
      <c r="I839" s="279"/>
    </row>
    <row r="840" spans="9:9" ht="15" x14ac:dyDescent="0.2">
      <c r="I840" s="279"/>
    </row>
    <row r="841" spans="9:9" ht="15" x14ac:dyDescent="0.2">
      <c r="I841" s="279"/>
    </row>
    <row r="842" spans="9:9" ht="15" x14ac:dyDescent="0.2">
      <c r="I842" s="279"/>
    </row>
    <row r="843" spans="9:9" ht="15" x14ac:dyDescent="0.2">
      <c r="I843" s="279"/>
    </row>
    <row r="844" spans="9:9" ht="15" x14ac:dyDescent="0.2">
      <c r="I844" s="279"/>
    </row>
    <row r="845" spans="9:9" ht="15" x14ac:dyDescent="0.2">
      <c r="I845" s="279"/>
    </row>
    <row r="846" spans="9:9" ht="15" x14ac:dyDescent="0.2">
      <c r="I846" s="279"/>
    </row>
    <row r="847" spans="9:9" ht="15" x14ac:dyDescent="0.2">
      <c r="I847" s="279"/>
    </row>
    <row r="848" spans="9:9" ht="15" x14ac:dyDescent="0.2">
      <c r="I848" s="279"/>
    </row>
    <row r="849" spans="9:9" ht="15" x14ac:dyDescent="0.2">
      <c r="I849" s="279"/>
    </row>
    <row r="850" spans="9:9" ht="15" x14ac:dyDescent="0.2">
      <c r="I850" s="279"/>
    </row>
    <row r="851" spans="9:9" ht="15" x14ac:dyDescent="0.2">
      <c r="I851" s="279"/>
    </row>
    <row r="852" spans="9:9" ht="15" x14ac:dyDescent="0.2">
      <c r="I852" s="279"/>
    </row>
    <row r="853" spans="9:9" ht="15" x14ac:dyDescent="0.2">
      <c r="I853" s="279"/>
    </row>
    <row r="854" spans="9:9" ht="15" x14ac:dyDescent="0.2">
      <c r="I854" s="279"/>
    </row>
    <row r="855" spans="9:9" ht="15" x14ac:dyDescent="0.2">
      <c r="I855" s="279"/>
    </row>
    <row r="856" spans="9:9" ht="15" x14ac:dyDescent="0.2">
      <c r="I856" s="279"/>
    </row>
    <row r="857" spans="9:9" ht="15" x14ac:dyDescent="0.2">
      <c r="I857" s="279"/>
    </row>
    <row r="858" spans="9:9" ht="15" x14ac:dyDescent="0.2">
      <c r="I858" s="279"/>
    </row>
    <row r="859" spans="9:9" ht="15" x14ac:dyDescent="0.2">
      <c r="I859" s="279"/>
    </row>
    <row r="860" spans="9:9" ht="15" x14ac:dyDescent="0.2">
      <c r="I860" s="279"/>
    </row>
    <row r="861" spans="9:9" ht="15" x14ac:dyDescent="0.2">
      <c r="I861" s="279"/>
    </row>
    <row r="862" spans="9:9" ht="15" x14ac:dyDescent="0.2">
      <c r="I862" s="279"/>
    </row>
    <row r="863" spans="9:9" ht="15" x14ac:dyDescent="0.2">
      <c r="I863" s="279"/>
    </row>
    <row r="864" spans="9:9" ht="15" x14ac:dyDescent="0.2">
      <c r="I864" s="279"/>
    </row>
    <row r="865" spans="9:9" ht="15" x14ac:dyDescent="0.2">
      <c r="I865" s="279"/>
    </row>
    <row r="866" spans="9:9" ht="15" x14ac:dyDescent="0.2">
      <c r="I866" s="279"/>
    </row>
    <row r="867" spans="9:9" ht="15" x14ac:dyDescent="0.2">
      <c r="I867" s="279"/>
    </row>
    <row r="868" spans="9:9" ht="15" x14ac:dyDescent="0.2">
      <c r="I868" s="279"/>
    </row>
    <row r="869" spans="9:9" ht="15" x14ac:dyDescent="0.2">
      <c r="I869" s="279"/>
    </row>
    <row r="870" spans="9:9" ht="15" x14ac:dyDescent="0.2">
      <c r="I870" s="279"/>
    </row>
    <row r="871" spans="9:9" ht="15" x14ac:dyDescent="0.2">
      <c r="I871" s="279"/>
    </row>
    <row r="872" spans="9:9" ht="15" x14ac:dyDescent="0.2">
      <c r="I872" s="279"/>
    </row>
    <row r="873" spans="9:9" ht="15" x14ac:dyDescent="0.2">
      <c r="I873" s="279"/>
    </row>
    <row r="874" spans="9:9" ht="15" x14ac:dyDescent="0.2">
      <c r="I874" s="279"/>
    </row>
    <row r="875" spans="9:9" ht="15" x14ac:dyDescent="0.2">
      <c r="I875" s="279"/>
    </row>
    <row r="876" spans="9:9" ht="15" x14ac:dyDescent="0.2">
      <c r="I876" s="279"/>
    </row>
    <row r="877" spans="9:9" ht="15" x14ac:dyDescent="0.2">
      <c r="I877" s="279"/>
    </row>
    <row r="878" spans="9:9" ht="15" x14ac:dyDescent="0.2">
      <c r="I878" s="279"/>
    </row>
    <row r="879" spans="9:9" ht="15" x14ac:dyDescent="0.2">
      <c r="I879" s="279"/>
    </row>
    <row r="880" spans="9:9" ht="15" x14ac:dyDescent="0.2">
      <c r="I880" s="279"/>
    </row>
    <row r="881" spans="9:9" ht="15" x14ac:dyDescent="0.2">
      <c r="I881" s="279"/>
    </row>
    <row r="882" spans="9:9" ht="15" x14ac:dyDescent="0.2">
      <c r="I882" s="279"/>
    </row>
    <row r="883" spans="9:9" ht="15" x14ac:dyDescent="0.2">
      <c r="I883" s="279"/>
    </row>
    <row r="884" spans="9:9" ht="15" x14ac:dyDescent="0.2">
      <c r="I884" s="279"/>
    </row>
    <row r="885" spans="9:9" ht="15" x14ac:dyDescent="0.2">
      <c r="I885" s="279"/>
    </row>
    <row r="886" spans="9:9" ht="15" x14ac:dyDescent="0.2">
      <c r="I886" s="279"/>
    </row>
    <row r="887" spans="9:9" ht="15" x14ac:dyDescent="0.2">
      <c r="I887" s="279"/>
    </row>
    <row r="888" spans="9:9" ht="15" x14ac:dyDescent="0.2">
      <c r="I888" s="279"/>
    </row>
    <row r="889" spans="9:9" ht="15" x14ac:dyDescent="0.2">
      <c r="I889" s="279"/>
    </row>
    <row r="890" spans="9:9" ht="15" x14ac:dyDescent="0.2">
      <c r="I890" s="279"/>
    </row>
    <row r="891" spans="9:9" ht="15" x14ac:dyDescent="0.2">
      <c r="I891" s="279"/>
    </row>
    <row r="892" spans="9:9" ht="15" x14ac:dyDescent="0.2">
      <c r="I892" s="279"/>
    </row>
    <row r="893" spans="9:9" ht="15" x14ac:dyDescent="0.2">
      <c r="I893" s="279"/>
    </row>
    <row r="894" spans="9:9" ht="15" x14ac:dyDescent="0.2">
      <c r="I894" s="279"/>
    </row>
    <row r="895" spans="9:9" ht="15" x14ac:dyDescent="0.2">
      <c r="I895" s="279"/>
    </row>
    <row r="896" spans="9:9" ht="15" x14ac:dyDescent="0.2">
      <c r="I896" s="279"/>
    </row>
    <row r="897" spans="9:9" ht="15" x14ac:dyDescent="0.2">
      <c r="I897" s="279"/>
    </row>
    <row r="898" spans="9:9" ht="15" x14ac:dyDescent="0.2">
      <c r="I898" s="279"/>
    </row>
    <row r="899" spans="9:9" ht="15" x14ac:dyDescent="0.2">
      <c r="I899" s="279"/>
    </row>
    <row r="900" spans="9:9" ht="15" x14ac:dyDescent="0.2">
      <c r="I900" s="279"/>
    </row>
    <row r="901" spans="9:9" ht="15" x14ac:dyDescent="0.2">
      <c r="I901" s="279"/>
    </row>
    <row r="902" spans="9:9" ht="15" x14ac:dyDescent="0.2">
      <c r="I902" s="279"/>
    </row>
    <row r="903" spans="9:9" ht="15" x14ac:dyDescent="0.2">
      <c r="I903" s="279"/>
    </row>
    <row r="904" spans="9:9" ht="15" x14ac:dyDescent="0.2">
      <c r="I904" s="279"/>
    </row>
    <row r="905" spans="9:9" ht="15" x14ac:dyDescent="0.2">
      <c r="I905" s="279"/>
    </row>
    <row r="906" spans="9:9" ht="15" x14ac:dyDescent="0.2">
      <c r="I906" s="279"/>
    </row>
    <row r="907" spans="9:9" ht="15" x14ac:dyDescent="0.2">
      <c r="I907" s="279"/>
    </row>
    <row r="908" spans="9:9" ht="15" x14ac:dyDescent="0.2">
      <c r="I908" s="279"/>
    </row>
    <row r="909" spans="9:9" ht="15" x14ac:dyDescent="0.2">
      <c r="I909" s="279"/>
    </row>
    <row r="910" spans="9:9" ht="15" x14ac:dyDescent="0.2">
      <c r="I910" s="279"/>
    </row>
    <row r="911" spans="9:9" ht="15" x14ac:dyDescent="0.2">
      <c r="I911" s="279"/>
    </row>
    <row r="912" spans="9:9" ht="15" x14ac:dyDescent="0.2">
      <c r="I912" s="279"/>
    </row>
    <row r="913" spans="9:9" ht="15" x14ac:dyDescent="0.2">
      <c r="I913" s="279"/>
    </row>
    <row r="914" spans="9:9" ht="15" x14ac:dyDescent="0.2">
      <c r="I914" s="279"/>
    </row>
    <row r="915" spans="9:9" ht="15" x14ac:dyDescent="0.2">
      <c r="I915" s="279"/>
    </row>
    <row r="916" spans="9:9" ht="15" x14ac:dyDescent="0.2">
      <c r="I916" s="279"/>
    </row>
    <row r="917" spans="9:9" ht="15" x14ac:dyDescent="0.2">
      <c r="I917" s="279"/>
    </row>
    <row r="918" spans="9:9" ht="15" x14ac:dyDescent="0.2">
      <c r="I918" s="279"/>
    </row>
    <row r="919" spans="9:9" ht="15" x14ac:dyDescent="0.2">
      <c r="I919" s="279"/>
    </row>
    <row r="920" spans="9:9" ht="15" x14ac:dyDescent="0.2">
      <c r="I920" s="279"/>
    </row>
    <row r="921" spans="9:9" ht="15" x14ac:dyDescent="0.2">
      <c r="I921" s="279"/>
    </row>
    <row r="922" spans="9:9" ht="15" x14ac:dyDescent="0.2">
      <c r="I922" s="279"/>
    </row>
    <row r="923" spans="9:9" ht="15" x14ac:dyDescent="0.2">
      <c r="I923" s="279"/>
    </row>
    <row r="924" spans="9:9" ht="15" x14ac:dyDescent="0.2">
      <c r="I924" s="279"/>
    </row>
    <row r="925" spans="9:9" ht="15" x14ac:dyDescent="0.2">
      <c r="I925" s="279"/>
    </row>
    <row r="926" spans="9:9" ht="15" x14ac:dyDescent="0.2">
      <c r="I926" s="279"/>
    </row>
    <row r="927" spans="9:9" ht="15" x14ac:dyDescent="0.2">
      <c r="I927" s="279"/>
    </row>
    <row r="928" spans="9:9" ht="15" x14ac:dyDescent="0.2">
      <c r="I928" s="279"/>
    </row>
    <row r="929" spans="9:9" ht="15" x14ac:dyDescent="0.2">
      <c r="I929" s="279"/>
    </row>
    <row r="930" spans="9:9" ht="15" x14ac:dyDescent="0.2">
      <c r="I930" s="279"/>
    </row>
    <row r="931" spans="9:9" ht="15" x14ac:dyDescent="0.2">
      <c r="I931" s="279"/>
    </row>
    <row r="932" spans="9:9" ht="15" x14ac:dyDescent="0.2">
      <c r="I932" s="279"/>
    </row>
    <row r="933" spans="9:9" ht="15" x14ac:dyDescent="0.2">
      <c r="I933" s="279"/>
    </row>
    <row r="934" spans="9:9" ht="15" x14ac:dyDescent="0.2">
      <c r="I934" s="279"/>
    </row>
    <row r="935" spans="9:9" ht="15" x14ac:dyDescent="0.2">
      <c r="I935" s="279"/>
    </row>
    <row r="936" spans="9:9" ht="15" x14ac:dyDescent="0.2">
      <c r="I936" s="279"/>
    </row>
    <row r="937" spans="9:9" ht="15" x14ac:dyDescent="0.2">
      <c r="I937" s="279"/>
    </row>
    <row r="938" spans="9:9" ht="15" x14ac:dyDescent="0.2">
      <c r="I938" s="279"/>
    </row>
    <row r="939" spans="9:9" ht="15" x14ac:dyDescent="0.2">
      <c r="I939" s="279"/>
    </row>
    <row r="940" spans="9:9" ht="15" x14ac:dyDescent="0.2">
      <c r="I940" s="279"/>
    </row>
    <row r="941" spans="9:9" ht="15" x14ac:dyDescent="0.2">
      <c r="I941" s="279"/>
    </row>
    <row r="942" spans="9:9" ht="15" x14ac:dyDescent="0.2">
      <c r="I942" s="279"/>
    </row>
    <row r="943" spans="9:9" ht="15" x14ac:dyDescent="0.2">
      <c r="I943" s="279"/>
    </row>
    <row r="944" spans="9:9" ht="15" x14ac:dyDescent="0.2">
      <c r="I944" s="279"/>
    </row>
    <row r="945" spans="9:9" ht="15" x14ac:dyDescent="0.2">
      <c r="I945" s="279"/>
    </row>
    <row r="946" spans="9:9" ht="15" x14ac:dyDescent="0.2">
      <c r="I946" s="279"/>
    </row>
    <row r="947" spans="9:9" ht="15" x14ac:dyDescent="0.2">
      <c r="I947" s="279"/>
    </row>
    <row r="948" spans="9:9" ht="15" x14ac:dyDescent="0.2">
      <c r="I948" s="279"/>
    </row>
    <row r="949" spans="9:9" ht="15" x14ac:dyDescent="0.2">
      <c r="I949" s="279"/>
    </row>
    <row r="950" spans="9:9" ht="15" x14ac:dyDescent="0.2">
      <c r="I950" s="279"/>
    </row>
    <row r="951" spans="9:9" ht="15" x14ac:dyDescent="0.2">
      <c r="I951" s="279"/>
    </row>
    <row r="952" spans="9:9" ht="15" x14ac:dyDescent="0.2">
      <c r="I952" s="279"/>
    </row>
    <row r="953" spans="9:9" ht="15" x14ac:dyDescent="0.2">
      <c r="I953" s="279"/>
    </row>
    <row r="954" spans="9:9" ht="15" x14ac:dyDescent="0.2">
      <c r="I954" s="279"/>
    </row>
    <row r="955" spans="9:9" ht="15" x14ac:dyDescent="0.2">
      <c r="I955" s="279"/>
    </row>
    <row r="956" spans="9:9" ht="15" x14ac:dyDescent="0.2">
      <c r="I956" s="279"/>
    </row>
    <row r="957" spans="9:9" ht="15" x14ac:dyDescent="0.2">
      <c r="I957" s="279"/>
    </row>
    <row r="958" spans="9:9" ht="15" x14ac:dyDescent="0.2">
      <c r="I958" s="279"/>
    </row>
    <row r="959" spans="9:9" ht="15" x14ac:dyDescent="0.2">
      <c r="I959" s="279"/>
    </row>
    <row r="960" spans="9:9" ht="15" x14ac:dyDescent="0.2">
      <c r="I960" s="279"/>
    </row>
    <row r="961" spans="9:9" ht="15" x14ac:dyDescent="0.2">
      <c r="I961" s="279"/>
    </row>
    <row r="962" spans="9:9" ht="15" x14ac:dyDescent="0.2">
      <c r="I962" s="279"/>
    </row>
    <row r="963" spans="9:9" ht="15" x14ac:dyDescent="0.2">
      <c r="I963" s="279"/>
    </row>
    <row r="964" spans="9:9" ht="15" x14ac:dyDescent="0.2">
      <c r="I964" s="279"/>
    </row>
    <row r="965" spans="9:9" ht="15" x14ac:dyDescent="0.2">
      <c r="I965" s="279"/>
    </row>
    <row r="966" spans="9:9" ht="15" x14ac:dyDescent="0.2">
      <c r="I966" s="279"/>
    </row>
    <row r="967" spans="9:9" ht="15" x14ac:dyDescent="0.2">
      <c r="I967" s="279"/>
    </row>
    <row r="968" spans="9:9" ht="15" x14ac:dyDescent="0.2">
      <c r="I968" s="279"/>
    </row>
    <row r="969" spans="9:9" ht="15" x14ac:dyDescent="0.2">
      <c r="I969" s="279"/>
    </row>
    <row r="970" spans="9:9" ht="15" x14ac:dyDescent="0.2">
      <c r="I970" s="279"/>
    </row>
    <row r="971" spans="9:9" ht="15" x14ac:dyDescent="0.2">
      <c r="I971" s="279"/>
    </row>
    <row r="972" spans="9:9" ht="15" x14ac:dyDescent="0.2">
      <c r="I972" s="279"/>
    </row>
    <row r="973" spans="9:9" ht="15" x14ac:dyDescent="0.2">
      <c r="I973" s="279"/>
    </row>
    <row r="974" spans="9:9" ht="15" x14ac:dyDescent="0.2">
      <c r="I974" s="279"/>
    </row>
    <row r="975" spans="9:9" ht="15" x14ac:dyDescent="0.2">
      <c r="I975" s="279"/>
    </row>
    <row r="976" spans="9:9" ht="15" x14ac:dyDescent="0.2">
      <c r="I976" s="279"/>
    </row>
    <row r="977" spans="9:9" ht="15" x14ac:dyDescent="0.2">
      <c r="I977" s="279"/>
    </row>
    <row r="978" spans="9:9" ht="15" x14ac:dyDescent="0.2">
      <c r="I978" s="279"/>
    </row>
    <row r="979" spans="9:9" ht="15" x14ac:dyDescent="0.2">
      <c r="I979" s="279"/>
    </row>
    <row r="980" spans="9:9" ht="15" x14ac:dyDescent="0.2">
      <c r="I980" s="279"/>
    </row>
    <row r="981" spans="9:9" ht="15" x14ac:dyDescent="0.2">
      <c r="I981" s="279"/>
    </row>
    <row r="982" spans="9:9" ht="15" x14ac:dyDescent="0.2">
      <c r="I982" s="279"/>
    </row>
    <row r="983" spans="9:9" ht="15" x14ac:dyDescent="0.2">
      <c r="I983" s="279"/>
    </row>
    <row r="984" spans="9:9" ht="15" x14ac:dyDescent="0.2">
      <c r="I984" s="279"/>
    </row>
    <row r="985" spans="9:9" ht="15" x14ac:dyDescent="0.2">
      <c r="I985" s="279"/>
    </row>
    <row r="986" spans="9:9" ht="15" x14ac:dyDescent="0.2">
      <c r="I986" s="279"/>
    </row>
    <row r="987" spans="9:9" ht="15" x14ac:dyDescent="0.2">
      <c r="I987" s="279"/>
    </row>
    <row r="988" spans="9:9" ht="15" x14ac:dyDescent="0.2">
      <c r="I988" s="279"/>
    </row>
    <row r="989" spans="9:9" ht="15" x14ac:dyDescent="0.2">
      <c r="I989" s="279"/>
    </row>
    <row r="990" spans="9:9" ht="15" x14ac:dyDescent="0.2">
      <c r="I990" s="279"/>
    </row>
    <row r="991" spans="9:9" ht="15" x14ac:dyDescent="0.2">
      <c r="I991" s="279"/>
    </row>
    <row r="992" spans="9:9" ht="15" x14ac:dyDescent="0.2">
      <c r="I992" s="279"/>
    </row>
    <row r="993" spans="9:9" ht="15" x14ac:dyDescent="0.2">
      <c r="I993" s="279"/>
    </row>
    <row r="994" spans="9:9" ht="15" x14ac:dyDescent="0.2">
      <c r="I994" s="279"/>
    </row>
    <row r="995" spans="9:9" ht="15" x14ac:dyDescent="0.2">
      <c r="I995" s="279"/>
    </row>
    <row r="996" spans="9:9" ht="15" x14ac:dyDescent="0.2">
      <c r="I996" s="279"/>
    </row>
    <row r="997" spans="9:9" ht="15" x14ac:dyDescent="0.2">
      <c r="I997" s="279"/>
    </row>
    <row r="998" spans="9:9" ht="15" x14ac:dyDescent="0.2">
      <c r="I998" s="279"/>
    </row>
    <row r="999" spans="9:9" ht="15" x14ac:dyDescent="0.2">
      <c r="I999" s="279"/>
    </row>
    <row r="1000" spans="9:9" ht="15" x14ac:dyDescent="0.2">
      <c r="I1000" s="279"/>
    </row>
  </sheetData>
  <mergeCells count="4">
    <mergeCell ref="B1:C1"/>
    <mergeCell ref="D1:E1"/>
    <mergeCell ref="F1:G1"/>
    <mergeCell ref="M6:P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860F-2A0F-BB49-BBEC-9E9DCE859007}">
  <dimension ref="A1:AW73"/>
  <sheetViews>
    <sheetView tabSelected="1" topLeftCell="AI6" zoomScale="116" zoomScaleNormal="50" workbookViewId="0">
      <selection activeCell="AY14" sqref="AY14"/>
    </sheetView>
  </sheetViews>
  <sheetFormatPr baseColWidth="10" defaultRowHeight="14" x14ac:dyDescent="0.15"/>
  <cols>
    <col min="1" max="1" width="28.1640625" customWidth="1"/>
    <col min="2" max="2" width="20" customWidth="1"/>
    <col min="3" max="3" width="19.6640625" customWidth="1"/>
    <col min="4" max="4" width="20" customWidth="1"/>
    <col min="5" max="5" width="17.5" bestFit="1" customWidth="1"/>
    <col min="6" max="7" width="18.1640625" bestFit="1" customWidth="1"/>
    <col min="8" max="9" width="11" bestFit="1" customWidth="1"/>
    <col min="12" max="12" width="16.33203125" customWidth="1"/>
    <col min="13" max="13" width="18.5" customWidth="1"/>
    <col min="14" max="14" width="20.6640625" customWidth="1"/>
    <col min="15" max="15" width="16.1640625" customWidth="1"/>
    <col min="16" max="16" width="18.5" customWidth="1"/>
    <col min="17" max="17" width="17" customWidth="1"/>
    <col min="18" max="18" width="20.1640625" customWidth="1"/>
    <col min="19" max="19" width="21" customWidth="1"/>
    <col min="20" max="21" width="19.33203125" customWidth="1"/>
    <col min="37" max="37" width="22" customWidth="1"/>
    <col min="38" max="38" width="22.1640625" customWidth="1"/>
    <col min="39" max="39" width="21.5" customWidth="1"/>
    <col min="40" max="40" width="23.5" bestFit="1" customWidth="1"/>
    <col min="41" max="41" width="18.1640625" bestFit="1" customWidth="1"/>
    <col min="42" max="42" width="19.5" bestFit="1" customWidth="1"/>
    <col min="43" max="43" width="17.33203125" bestFit="1" customWidth="1"/>
    <col min="44" max="44" width="16.6640625" customWidth="1"/>
    <col min="45" max="45" width="24.83203125" customWidth="1"/>
    <col min="46" max="46" width="18.33203125" customWidth="1"/>
    <col min="47" max="47" width="21.83203125" customWidth="1"/>
    <col min="49" max="49" width="13.83203125" customWidth="1"/>
    <col min="50" max="50" width="14.83203125" customWidth="1"/>
  </cols>
  <sheetData>
    <row r="1" spans="1:44" ht="16" x14ac:dyDescent="0.15">
      <c r="A1" s="2" t="s">
        <v>0</v>
      </c>
      <c r="B1" s="3" t="s">
        <v>153</v>
      </c>
      <c r="C1" s="4"/>
      <c r="D1" s="5"/>
    </row>
    <row r="2" spans="1:44" ht="16" x14ac:dyDescent="0.15">
      <c r="A2" s="2" t="s">
        <v>2</v>
      </c>
      <c r="B2" s="6">
        <v>45253.554678425899</v>
      </c>
      <c r="C2" s="5"/>
      <c r="D2" s="5"/>
    </row>
    <row r="3" spans="1:44" x14ac:dyDescent="0.15">
      <c r="A3" s="5"/>
      <c r="B3" s="5"/>
      <c r="C3" s="5"/>
      <c r="D3" s="5"/>
      <c r="E3" s="406" t="s">
        <v>177</v>
      </c>
      <c r="F3" s="406"/>
      <c r="G3" s="406"/>
      <c r="H3" s="406" t="s">
        <v>178</v>
      </c>
      <c r="I3" s="406"/>
      <c r="J3" s="406"/>
    </row>
    <row r="4" spans="1:44" x14ac:dyDescent="0.15">
      <c r="A4" s="15" t="s">
        <v>3</v>
      </c>
      <c r="B4" s="15" t="s">
        <v>4</v>
      </c>
      <c r="C4" s="15" t="s">
        <v>5</v>
      </c>
      <c r="D4" s="15" t="s">
        <v>6</v>
      </c>
      <c r="E4">
        <v>2020</v>
      </c>
      <c r="F4">
        <v>2021</v>
      </c>
      <c r="G4">
        <v>2022</v>
      </c>
      <c r="H4" s="35" t="s">
        <v>179</v>
      </c>
      <c r="I4" t="s">
        <v>180</v>
      </c>
      <c r="AJ4" s="54" t="s">
        <v>182</v>
      </c>
      <c r="AK4" s="55" t="s">
        <v>183</v>
      </c>
      <c r="AL4" s="55" t="s">
        <v>186</v>
      </c>
      <c r="AM4" s="55" t="s">
        <v>187</v>
      </c>
      <c r="AN4" s="55" t="s">
        <v>202</v>
      </c>
      <c r="AO4" s="55" t="s">
        <v>204</v>
      </c>
      <c r="AP4" s="55" t="s">
        <v>200</v>
      </c>
      <c r="AQ4" s="55" t="s">
        <v>201</v>
      </c>
      <c r="AR4" s="55" t="s">
        <v>242</v>
      </c>
    </row>
    <row r="5" spans="1:44" x14ac:dyDescent="0.15">
      <c r="A5" s="16" t="s">
        <v>154</v>
      </c>
      <c r="B5" s="16">
        <v>91279041771826</v>
      </c>
      <c r="C5" s="16">
        <v>150865359967200</v>
      </c>
      <c r="D5" s="16">
        <v>142770810676858</v>
      </c>
      <c r="O5" s="37"/>
      <c r="P5" s="30"/>
      <c r="AJ5" s="55">
        <v>2021</v>
      </c>
      <c r="AK5" s="55">
        <f>41.1-16.8</f>
        <v>24.3</v>
      </c>
      <c r="AL5" s="55">
        <f>8.3</f>
        <v>8.3000000000000007</v>
      </c>
      <c r="AM5" s="55">
        <f>26.1</f>
        <v>26.1</v>
      </c>
      <c r="AN5" s="55">
        <f>25.1</f>
        <v>25.1</v>
      </c>
      <c r="AO5" s="55">
        <f>37.7-13.1</f>
        <v>24.6</v>
      </c>
      <c r="AP5" s="55">
        <v>108.6</v>
      </c>
      <c r="AQ5" s="553">
        <v>2.5</v>
      </c>
      <c r="AR5" s="55">
        <v>1.5</v>
      </c>
    </row>
    <row r="6" spans="1:44" x14ac:dyDescent="0.15">
      <c r="A6" s="16" t="s">
        <v>155</v>
      </c>
      <c r="B6" s="16">
        <v>-1160538345109</v>
      </c>
      <c r="C6" s="16">
        <v>-1185569987855</v>
      </c>
      <c r="D6" s="16">
        <v>-1361536216226</v>
      </c>
      <c r="O6" s="16"/>
      <c r="P6" s="16"/>
      <c r="AJ6" s="55">
        <v>2022</v>
      </c>
      <c r="AK6" s="55">
        <v>16.8</v>
      </c>
      <c r="AL6" s="55">
        <f>141.4</f>
        <v>141.4</v>
      </c>
      <c r="AM6" s="55">
        <f>8.4</f>
        <v>8.4</v>
      </c>
      <c r="AN6" s="55">
        <v>10</v>
      </c>
      <c r="AO6" s="55">
        <v>13.1</v>
      </c>
      <c r="AP6" s="55">
        <f>AP14-AP5</f>
        <v>16.100000000000009</v>
      </c>
      <c r="AQ6" s="55">
        <f>3.1-2.5</f>
        <v>0.60000000000000009</v>
      </c>
      <c r="AR6" s="55">
        <v>1</v>
      </c>
    </row>
    <row r="7" spans="1:44" x14ac:dyDescent="0.15">
      <c r="A7" s="16" t="s">
        <v>156</v>
      </c>
      <c r="B7" s="16">
        <v>90118503426717</v>
      </c>
      <c r="C7" s="16">
        <v>149679789979345</v>
      </c>
      <c r="D7" s="16">
        <v>141409274460632</v>
      </c>
      <c r="E7" s="36">
        <v>1</v>
      </c>
      <c r="F7" s="36">
        <v>1</v>
      </c>
      <c r="G7" s="36">
        <v>1</v>
      </c>
      <c r="H7" s="32">
        <f>(C7-B7)/B7</f>
        <v>0.66092183389465997</v>
      </c>
      <c r="I7" s="32">
        <f>(D7-C7)/C7</f>
        <v>-5.5254724234008387E-2</v>
      </c>
    </row>
    <row r="8" spans="1:44" x14ac:dyDescent="0.15">
      <c r="A8" s="16" t="s">
        <v>157</v>
      </c>
      <c r="B8" s="16">
        <v>-71214453522563</v>
      </c>
      <c r="C8" s="16">
        <v>-108571380446353</v>
      </c>
      <c r="D8" s="16">
        <v>-124645848221080</v>
      </c>
      <c r="E8" s="34">
        <f>B8/$B$7</f>
        <v>-0.79023120463239283</v>
      </c>
      <c r="F8" s="34">
        <f>C8/$C$7</f>
        <v>-0.72535764822582438</v>
      </c>
      <c r="G8" s="34">
        <f>D8/$D$7</f>
        <v>-0.88145454883711394</v>
      </c>
      <c r="H8" s="30">
        <f t="shared" ref="H8:H26" si="0">(C8-B8)/B8</f>
        <v>0.52456945291245038</v>
      </c>
      <c r="I8" s="30">
        <f t="shared" ref="I8:I26" si="1">(D8-C8)/C8</f>
        <v>0.14805437407761129</v>
      </c>
    </row>
    <row r="9" spans="1:44" x14ac:dyDescent="0.15">
      <c r="A9" s="31" t="s">
        <v>176</v>
      </c>
      <c r="B9" s="16">
        <v>18904049904154</v>
      </c>
      <c r="C9" s="16">
        <v>41108409532992</v>
      </c>
      <c r="D9" s="16">
        <v>16763426239552</v>
      </c>
      <c r="E9" s="33">
        <f>B9/$B$7</f>
        <v>0.20976879536760712</v>
      </c>
      <c r="F9" s="33">
        <f t="shared" ref="F9:F26" si="2">C9/$C$7</f>
        <v>0.27464235177417562</v>
      </c>
      <c r="G9" s="33">
        <f t="shared" ref="G9:G26" si="3">D9/$D$7</f>
        <v>0.11854545116288605</v>
      </c>
      <c r="H9" s="32">
        <f t="shared" si="0"/>
        <v>1.1745821525766702</v>
      </c>
      <c r="I9" s="32">
        <f t="shared" si="1"/>
        <v>-0.59221418609984577</v>
      </c>
      <c r="AJ9" s="54" t="s">
        <v>182</v>
      </c>
      <c r="AK9" s="55" t="s">
        <v>183</v>
      </c>
      <c r="AL9" s="55" t="s">
        <v>186</v>
      </c>
      <c r="AM9" s="55" t="s">
        <v>187</v>
      </c>
      <c r="AN9" s="55" t="s">
        <v>202</v>
      </c>
      <c r="AO9" s="55" t="s">
        <v>204</v>
      </c>
      <c r="AP9" s="55" t="s">
        <v>200</v>
      </c>
      <c r="AQ9" s="55" t="s">
        <v>201</v>
      </c>
      <c r="AR9" s="55" t="s">
        <v>242</v>
      </c>
    </row>
    <row r="10" spans="1:44" x14ac:dyDescent="0.15">
      <c r="A10" s="16" t="s">
        <v>158</v>
      </c>
      <c r="B10" s="16">
        <v>1004789766270</v>
      </c>
      <c r="C10" s="16">
        <v>3071440640188</v>
      </c>
      <c r="D10" s="16">
        <v>3743650707331</v>
      </c>
      <c r="E10" s="30">
        <f t="shared" ref="E10:E26" si="4">B10/$B$7</f>
        <v>1.1149649939394298E-2</v>
      </c>
      <c r="F10" s="30">
        <f t="shared" si="2"/>
        <v>2.052007582728331E-2</v>
      </c>
      <c r="G10" s="30">
        <f t="shared" si="3"/>
        <v>2.6473869706284528E-2</v>
      </c>
      <c r="H10" s="30">
        <f t="shared" si="0"/>
        <v>2.0567992860734057</v>
      </c>
      <c r="I10" s="30">
        <f t="shared" si="1"/>
        <v>0.21885823165439872</v>
      </c>
      <c r="AJ10" s="54">
        <v>2018</v>
      </c>
      <c r="AK10" s="55">
        <v>11.7</v>
      </c>
      <c r="AL10" s="55">
        <v>55.8</v>
      </c>
      <c r="AM10" s="55">
        <v>8.6</v>
      </c>
      <c r="AN10" s="55">
        <v>10</v>
      </c>
      <c r="AO10" s="55">
        <v>10.5</v>
      </c>
      <c r="AP10" s="55">
        <v>44.2</v>
      </c>
      <c r="AQ10" s="55">
        <v>0.5</v>
      </c>
      <c r="AR10" s="552">
        <v>1.47</v>
      </c>
    </row>
    <row r="11" spans="1:44" x14ac:dyDescent="0.15">
      <c r="A11" s="16" t="s">
        <v>158</v>
      </c>
      <c r="B11" s="16">
        <v>-2837406430588</v>
      </c>
      <c r="C11" s="16">
        <v>-3731542257873</v>
      </c>
      <c r="D11" s="16">
        <v>-7026723285241</v>
      </c>
      <c r="E11" s="30">
        <f t="shared" si="4"/>
        <v>-3.1485281298477573E-2</v>
      </c>
      <c r="F11" s="30">
        <f t="shared" si="2"/>
        <v>-2.4930167649139089E-2</v>
      </c>
      <c r="G11" s="30">
        <f t="shared" si="3"/>
        <v>-4.9690681972894377E-2</v>
      </c>
      <c r="H11" s="30">
        <f t="shared" si="0"/>
        <v>0.31512433948340168</v>
      </c>
      <c r="I11" s="30">
        <f t="shared" si="1"/>
        <v>0.88306142598697823</v>
      </c>
      <c r="AJ11" s="54">
        <v>2019</v>
      </c>
      <c r="AK11" s="55">
        <v>11.2</v>
      </c>
      <c r="AL11" s="55">
        <v>63.7</v>
      </c>
      <c r="AM11" s="55">
        <v>7.5</v>
      </c>
      <c r="AN11" s="55">
        <v>8.8000000000000007</v>
      </c>
      <c r="AO11" s="55">
        <v>9.6999999999999993</v>
      </c>
      <c r="AP11" s="55">
        <v>52.5</v>
      </c>
      <c r="AQ11" s="55">
        <v>0.9</v>
      </c>
      <c r="AR11" s="552">
        <v>1.52</v>
      </c>
    </row>
    <row r="12" spans="1:44" x14ac:dyDescent="0.15">
      <c r="A12" s="18" t="s">
        <v>159</v>
      </c>
      <c r="B12" s="17">
        <v>-2191680923417</v>
      </c>
      <c r="C12" s="17">
        <v>-2525823258237</v>
      </c>
      <c r="D12" s="17">
        <v>-3083638131818</v>
      </c>
      <c r="E12" s="30">
        <f t="shared" si="4"/>
        <v>-2.4319988016658994E-2</v>
      </c>
      <c r="F12" s="30">
        <f t="shared" si="2"/>
        <v>-1.6874845018058551E-2</v>
      </c>
      <c r="G12" s="30">
        <f t="shared" si="3"/>
        <v>-2.1806477287856233E-2</v>
      </c>
      <c r="H12" s="30">
        <f t="shared" si="0"/>
        <v>0.15245938916101268</v>
      </c>
      <c r="I12" s="30">
        <f t="shared" si="1"/>
        <v>0.22084477675225359</v>
      </c>
      <c r="AJ12" s="55">
        <v>2020</v>
      </c>
      <c r="AK12" s="56">
        <v>18.899999999999999</v>
      </c>
      <c r="AL12" s="55">
        <v>90.1</v>
      </c>
      <c r="AM12" s="55">
        <v>13.5</v>
      </c>
      <c r="AN12" s="55">
        <v>14.9</v>
      </c>
      <c r="AO12" s="55">
        <v>17.100000000000001</v>
      </c>
      <c r="AP12" s="55">
        <v>71.2</v>
      </c>
      <c r="AQ12" s="55">
        <v>2.2000000000000002</v>
      </c>
      <c r="AR12" s="55">
        <v>1.9</v>
      </c>
    </row>
    <row r="13" spans="1:44" x14ac:dyDescent="0.15">
      <c r="A13" s="16" t="s">
        <v>160</v>
      </c>
      <c r="B13" s="16">
        <v>1964631764</v>
      </c>
      <c r="C13" s="16">
        <v>4465302865</v>
      </c>
      <c r="D13" s="16">
        <v>-1072667584</v>
      </c>
      <c r="E13" s="30">
        <f t="shared" si="4"/>
        <v>2.1800536951854831E-5</v>
      </c>
      <c r="F13" s="30">
        <f t="shared" si="2"/>
        <v>2.9832369925266382E-5</v>
      </c>
      <c r="G13" s="30">
        <f t="shared" si="3"/>
        <v>-7.5855532679267657E-6</v>
      </c>
      <c r="H13" s="30">
        <f t="shared" si="0"/>
        <v>1.2728446861251095</v>
      </c>
      <c r="I13" s="30">
        <f t="shared" si="1"/>
        <v>-1.2402228060290823</v>
      </c>
      <c r="L13" s="39"/>
      <c r="AJ13" s="55">
        <v>2021</v>
      </c>
      <c r="AK13" s="55">
        <v>41.1</v>
      </c>
      <c r="AL13" s="55">
        <v>149.69999999999999</v>
      </c>
      <c r="AM13" s="55">
        <v>34.5</v>
      </c>
      <c r="AN13" s="55">
        <v>35.1</v>
      </c>
      <c r="AO13" s="54">
        <v>37.700000000000003</v>
      </c>
      <c r="AP13" s="55">
        <v>108.6</v>
      </c>
      <c r="AQ13" s="55">
        <v>2.5</v>
      </c>
      <c r="AR13" s="55">
        <v>2.5</v>
      </c>
    </row>
    <row r="14" spans="1:44" x14ac:dyDescent="0.15">
      <c r="A14" s="16" t="s">
        <v>161</v>
      </c>
      <c r="B14" s="16">
        <v>-1090795558423</v>
      </c>
      <c r="C14" s="16">
        <v>-2120068223228</v>
      </c>
      <c r="D14" s="16">
        <v>-2665806087302</v>
      </c>
      <c r="E14" s="30">
        <f t="shared" si="4"/>
        <v>-1.2104013237525836E-2</v>
      </c>
      <c r="F14" s="30">
        <f t="shared" si="2"/>
        <v>-1.4164024572192131E-2</v>
      </c>
      <c r="G14" s="30">
        <f t="shared" si="3"/>
        <v>-1.8851706137875377E-2</v>
      </c>
      <c r="H14" s="30">
        <f t="shared" si="0"/>
        <v>0.9435981443608501</v>
      </c>
      <c r="I14" s="30">
        <f t="shared" si="1"/>
        <v>0.25741523696962149</v>
      </c>
      <c r="L14" s="39"/>
      <c r="AJ14" s="55">
        <v>2022</v>
      </c>
      <c r="AK14" s="55">
        <v>16.8</v>
      </c>
      <c r="AL14" s="55">
        <v>141.4</v>
      </c>
      <c r="AM14" s="55">
        <v>8.4</v>
      </c>
      <c r="AN14" s="55">
        <v>10</v>
      </c>
      <c r="AO14" s="55">
        <v>13.1</v>
      </c>
      <c r="AP14" s="55">
        <v>124.7</v>
      </c>
      <c r="AQ14" s="55">
        <v>3.1</v>
      </c>
      <c r="AR14" s="55">
        <v>1.5</v>
      </c>
    </row>
    <row r="15" spans="1:44" x14ac:dyDescent="0.15">
      <c r="A15" s="16" t="s">
        <v>162</v>
      </c>
      <c r="B15" s="16">
        <v>-690298504185</v>
      </c>
      <c r="C15" s="16">
        <v>-1324261548679</v>
      </c>
      <c r="D15" s="16">
        <v>-1019444279447</v>
      </c>
      <c r="E15" s="30">
        <f t="shared" si="4"/>
        <v>-7.6598975564029451E-3</v>
      </c>
      <c r="F15" s="30">
        <f t="shared" si="2"/>
        <v>-8.8472969454442777E-3</v>
      </c>
      <c r="G15" s="30">
        <f t="shared" si="3"/>
        <v>-7.2091755179099718E-3</v>
      </c>
      <c r="H15" s="30">
        <f t="shared" si="0"/>
        <v>0.91838971206012909</v>
      </c>
      <c r="I15" s="30">
        <f t="shared" si="1"/>
        <v>-0.23017905302473407</v>
      </c>
      <c r="L15" s="39"/>
      <c r="AJ15" s="55"/>
      <c r="AK15" s="55"/>
    </row>
    <row r="16" spans="1:44" x14ac:dyDescent="0.15">
      <c r="A16" s="31" t="s">
        <v>203</v>
      </c>
      <c r="B16" s="16">
        <v>15292303808992</v>
      </c>
      <c r="C16" s="16">
        <v>37008443446265</v>
      </c>
      <c r="D16" s="16">
        <v>9794030627309</v>
      </c>
      <c r="E16" s="33">
        <f t="shared" si="4"/>
        <v>0.16969105375154692</v>
      </c>
      <c r="F16" s="33">
        <f t="shared" si="2"/>
        <v>0.24725077080460872</v>
      </c>
      <c r="G16" s="33">
        <f t="shared" si="3"/>
        <v>6.9260171687222927E-2</v>
      </c>
      <c r="H16" s="32">
        <f t="shared" si="0"/>
        <v>1.4200698539943819</v>
      </c>
      <c r="I16" s="32">
        <f t="shared" si="1"/>
        <v>-0.73535686142732271</v>
      </c>
      <c r="L16" s="39"/>
    </row>
    <row r="17" spans="1:47" x14ac:dyDescent="0.15">
      <c r="A17" s="18" t="s">
        <v>163</v>
      </c>
      <c r="B17" s="17">
        <v>654081334225</v>
      </c>
      <c r="C17" s="17">
        <v>796666105925</v>
      </c>
      <c r="D17" s="17">
        <v>872024724926</v>
      </c>
      <c r="E17" s="30">
        <f t="shared" si="4"/>
        <v>7.2580137192012851E-3</v>
      </c>
      <c r="F17" s="30">
        <f t="shared" si="2"/>
        <v>5.3224694264665633E-3</v>
      </c>
      <c r="G17" s="30">
        <f t="shared" si="3"/>
        <v>6.1666727889815283E-3</v>
      </c>
      <c r="H17" s="30">
        <f t="shared" si="0"/>
        <v>0.21799241812785275</v>
      </c>
      <c r="I17" s="30">
        <f t="shared" si="1"/>
        <v>9.4592475367709997E-2</v>
      </c>
      <c r="L17" s="39"/>
      <c r="AJ17" s="57" t="s">
        <v>182</v>
      </c>
      <c r="AK17" s="53" t="s">
        <v>200</v>
      </c>
      <c r="AL17" s="53" t="s">
        <v>201</v>
      </c>
      <c r="AM17" t="s">
        <v>198</v>
      </c>
      <c r="AN17" t="s">
        <v>199</v>
      </c>
      <c r="AO17" s="52" t="s">
        <v>187</v>
      </c>
    </row>
    <row r="18" spans="1:47" x14ac:dyDescent="0.15">
      <c r="A18" s="18" t="s">
        <v>164</v>
      </c>
      <c r="B18" s="17">
        <v>-589418351516</v>
      </c>
      <c r="C18" s="17">
        <v>-748331838000</v>
      </c>
      <c r="D18" s="17">
        <v>-743114224951</v>
      </c>
      <c r="E18" s="30">
        <f t="shared" si="4"/>
        <v>-6.5404809123944902E-3</v>
      </c>
      <c r="F18" s="30">
        <f t="shared" si="2"/>
        <v>-4.9995516302051585E-3</v>
      </c>
      <c r="G18" s="30">
        <f t="shared" si="3"/>
        <v>-5.2550600219498419E-3</v>
      </c>
      <c r="H18" s="30">
        <f t="shared" si="0"/>
        <v>0.26961068666299615</v>
      </c>
      <c r="I18" s="30">
        <f t="shared" si="1"/>
        <v>-6.9723253562813132E-3</v>
      </c>
      <c r="L18" s="39"/>
      <c r="AJ18" s="55">
        <v>2020</v>
      </c>
      <c r="AK18" s="34">
        <v>0.79023120463239305</v>
      </c>
      <c r="AL18" s="34">
        <v>2.4319988016659001E-2</v>
      </c>
      <c r="AM18" s="34">
        <v>1.97639107939288E-2</v>
      </c>
      <c r="AN18" s="34">
        <v>2.05374330955134E-2</v>
      </c>
      <c r="AO18" s="34">
        <v>0.15459484346417438</v>
      </c>
    </row>
    <row r="19" spans="1:47" x14ac:dyDescent="0.15">
      <c r="A19" s="16" t="s">
        <v>165</v>
      </c>
      <c r="B19" s="16">
        <v>64662982709</v>
      </c>
      <c r="C19" s="16">
        <v>48334267925</v>
      </c>
      <c r="D19" s="16">
        <v>128910499975</v>
      </c>
      <c r="E19" s="30">
        <f t="shared" si="4"/>
        <v>7.1753280680679477E-4</v>
      </c>
      <c r="F19" s="30">
        <f t="shared" si="2"/>
        <v>3.2291779626140489E-4</v>
      </c>
      <c r="G19" s="30">
        <f t="shared" si="3"/>
        <v>9.1161276703168698E-4</v>
      </c>
      <c r="H19" s="30">
        <f t="shared" si="0"/>
        <v>-0.25252028440264507</v>
      </c>
      <c r="I19" s="30">
        <f t="shared" si="1"/>
        <v>1.6670622212594524</v>
      </c>
      <c r="AJ19" s="55">
        <v>2021</v>
      </c>
      <c r="AK19" s="34">
        <v>0.72535764822582405</v>
      </c>
      <c r="AL19" s="34">
        <v>1.6874845018058599E-2</v>
      </c>
      <c r="AM19" s="34">
        <v>2.3011321517636407E-2</v>
      </c>
      <c r="AN19" s="34">
        <v>1.6941651128999601E-2</v>
      </c>
      <c r="AO19" s="34">
        <v>0.24344954083425999</v>
      </c>
    </row>
    <row r="20" spans="1:47" x14ac:dyDescent="0.15">
      <c r="A20" s="16" t="s">
        <v>166</v>
      </c>
      <c r="B20" s="16">
        <v>0</v>
      </c>
      <c r="C20" s="16">
        <v>0</v>
      </c>
      <c r="D20" s="16">
        <v>0</v>
      </c>
      <c r="E20" s="30">
        <f t="shared" si="4"/>
        <v>0</v>
      </c>
      <c r="F20" s="30">
        <f t="shared" si="2"/>
        <v>0</v>
      </c>
      <c r="G20" s="30">
        <f t="shared" si="3"/>
        <v>0</v>
      </c>
      <c r="H20" s="30"/>
      <c r="I20" s="30"/>
      <c r="AJ20" s="55">
        <v>2022</v>
      </c>
      <c r="AK20" s="34">
        <v>0.88145454883711405</v>
      </c>
      <c r="AL20" s="34">
        <v>2.1806477287856198E-2</v>
      </c>
      <c r="AM20" s="34">
        <v>2.6060881655785351E-2</v>
      </c>
      <c r="AN20" s="34">
        <v>1.04555523561477E-2</v>
      </c>
      <c r="AO20" s="34">
        <v>5.9209924333117031E-2</v>
      </c>
    </row>
    <row r="21" spans="1:47" x14ac:dyDescent="0.15">
      <c r="A21" s="31" t="s">
        <v>205</v>
      </c>
      <c r="B21" s="16">
        <v>15356966791701</v>
      </c>
      <c r="C21" s="16">
        <v>37056777714190</v>
      </c>
      <c r="D21" s="16">
        <v>9922941127284</v>
      </c>
      <c r="E21" s="32">
        <f t="shared" si="4"/>
        <v>0.17040858655835373</v>
      </c>
      <c r="F21" s="32">
        <f t="shared" si="2"/>
        <v>0.24757368860087012</v>
      </c>
      <c r="G21" s="32">
        <f t="shared" si="3"/>
        <v>7.0171784454254607E-2</v>
      </c>
      <c r="H21" s="32">
        <f t="shared" si="0"/>
        <v>1.413027143759646</v>
      </c>
      <c r="I21" s="32">
        <f t="shared" si="1"/>
        <v>-0.7322233140771911</v>
      </c>
      <c r="AQ21" s="17"/>
      <c r="AR21" s="17"/>
      <c r="AS21" s="17"/>
      <c r="AT21" s="17"/>
      <c r="AU21" s="17"/>
    </row>
    <row r="22" spans="1:47" x14ac:dyDescent="0.15">
      <c r="A22" s="18" t="s">
        <v>167</v>
      </c>
      <c r="B22" s="17">
        <v>-1784567843866</v>
      </c>
      <c r="C22" s="17">
        <v>-2855306347167</v>
      </c>
      <c r="D22" s="17">
        <v>-1001020240086</v>
      </c>
      <c r="E22" s="30">
        <f t="shared" si="4"/>
        <v>-1.9802457608688359E-2</v>
      </c>
      <c r="F22" s="30">
        <f t="shared" si="2"/>
        <v>-1.9076098032747218E-2</v>
      </c>
      <c r="G22" s="30">
        <f t="shared" si="3"/>
        <v>-7.078886755512501E-3</v>
      </c>
      <c r="H22" s="30">
        <f t="shared" si="0"/>
        <v>0.59999876551703679</v>
      </c>
      <c r="I22" s="30">
        <f t="shared" si="1"/>
        <v>-0.64941756912381743</v>
      </c>
      <c r="L22" s="39"/>
      <c r="AQ22" s="16"/>
      <c r="AR22" s="16"/>
      <c r="AS22" s="16"/>
      <c r="AT22" s="16"/>
      <c r="AU22" s="16"/>
    </row>
    <row r="23" spans="1:47" x14ac:dyDescent="0.15">
      <c r="A23" s="18" t="s">
        <v>168</v>
      </c>
      <c r="B23" s="17">
        <v>-66234890928</v>
      </c>
      <c r="C23" s="17">
        <v>319483564275</v>
      </c>
      <c r="D23" s="17">
        <v>-477491832682</v>
      </c>
      <c r="E23" s="30">
        <f t="shared" si="4"/>
        <v>-7.3497548682509143E-4</v>
      </c>
      <c r="F23" s="30">
        <f t="shared" si="2"/>
        <v>2.1344469037475732E-3</v>
      </c>
      <c r="G23" s="30">
        <f t="shared" si="3"/>
        <v>-3.3766656006352157E-3</v>
      </c>
      <c r="H23" s="30">
        <f t="shared" si="0"/>
        <v>-5.8234934760033275</v>
      </c>
      <c r="I23" s="30">
        <f t="shared" si="1"/>
        <v>-2.4945740127995824</v>
      </c>
      <c r="L23" s="39"/>
      <c r="AJ23" s="53"/>
      <c r="AK23" s="53"/>
      <c r="AL23" s="53"/>
      <c r="AM23" s="53"/>
    </row>
    <row r="24" spans="1:47" x14ac:dyDescent="0.15">
      <c r="A24" s="16" t="s">
        <v>169</v>
      </c>
      <c r="B24" s="16">
        <v>-1850802734794</v>
      </c>
      <c r="C24" s="16">
        <v>-2535822782892</v>
      </c>
      <c r="D24" s="16">
        <v>-1478512072768</v>
      </c>
      <c r="E24" s="30">
        <f t="shared" si="4"/>
        <v>-2.0537433095513449E-2</v>
      </c>
      <c r="F24" s="30">
        <f t="shared" si="2"/>
        <v>-1.6941651128999646E-2</v>
      </c>
      <c r="G24" s="30">
        <f t="shared" si="3"/>
        <v>-1.0455552356147717E-2</v>
      </c>
      <c r="H24" s="30">
        <f t="shared" si="0"/>
        <v>0.37012050783156253</v>
      </c>
      <c r="I24" s="30">
        <f t="shared" si="1"/>
        <v>-0.41694976370477327</v>
      </c>
      <c r="L24" s="39"/>
      <c r="AK24" s="53"/>
      <c r="AL24" s="53"/>
    </row>
    <row r="25" spans="1:47" x14ac:dyDescent="0.15">
      <c r="A25" s="31" t="s">
        <v>181</v>
      </c>
      <c r="B25" s="16">
        <v>13506164056907</v>
      </c>
      <c r="C25" s="16">
        <v>34520954931298</v>
      </c>
      <c r="D25" s="16">
        <v>8444429054516</v>
      </c>
      <c r="E25" s="32">
        <f t="shared" si="4"/>
        <v>0.14987115346284027</v>
      </c>
      <c r="F25" s="32">
        <f t="shared" si="2"/>
        <v>0.23063203747187047</v>
      </c>
      <c r="G25" s="32">
        <f t="shared" si="3"/>
        <v>5.9716232098106892E-2</v>
      </c>
      <c r="H25" s="32">
        <f t="shared" si="0"/>
        <v>1.5559407383063821</v>
      </c>
      <c r="I25" s="32">
        <f t="shared" si="1"/>
        <v>-0.75538251849284843</v>
      </c>
      <c r="L25" s="39"/>
      <c r="O25" s="38"/>
      <c r="P25" s="39"/>
      <c r="AO25" s="16"/>
      <c r="AP25" s="16"/>
      <c r="AQ25" s="16"/>
      <c r="AR25" s="16"/>
      <c r="AS25" s="16"/>
    </row>
    <row r="26" spans="1:47" x14ac:dyDescent="0.15">
      <c r="A26" s="16" t="s">
        <v>170</v>
      </c>
      <c r="B26" s="16">
        <v>55864004095</v>
      </c>
      <c r="C26" s="16">
        <v>42811733838</v>
      </c>
      <c r="D26" s="16">
        <v>-39081499515</v>
      </c>
      <c r="E26" s="30">
        <f t="shared" si="4"/>
        <v>6.1989493800712928E-4</v>
      </c>
      <c r="F26" s="30">
        <f t="shared" si="2"/>
        <v>2.8602213995561983E-4</v>
      </c>
      <c r="G26" s="30">
        <f t="shared" si="3"/>
        <v>-2.7637154397450924E-4</v>
      </c>
      <c r="H26" s="30">
        <f t="shared" si="0"/>
        <v>-0.23364365781593194</v>
      </c>
      <c r="I26" s="30">
        <f t="shared" si="1"/>
        <v>-1.9128688798936468</v>
      </c>
      <c r="L26" s="39"/>
      <c r="O26" s="39"/>
      <c r="P26" s="39"/>
    </row>
    <row r="27" spans="1:47" x14ac:dyDescent="0.15">
      <c r="A27" s="16" t="s">
        <v>171</v>
      </c>
      <c r="B27" s="16">
        <v>13450300052812</v>
      </c>
      <c r="C27" s="16">
        <v>34478143197460</v>
      </c>
      <c r="D27" s="16">
        <v>8483510554031</v>
      </c>
      <c r="E27" s="30"/>
      <c r="F27" s="30"/>
      <c r="G27" s="30"/>
      <c r="H27" s="30"/>
      <c r="I27" s="30"/>
      <c r="L27" s="39"/>
      <c r="O27" s="39"/>
      <c r="P27" s="39"/>
    </row>
    <row r="28" spans="1:47" x14ac:dyDescent="0.15">
      <c r="A28" s="16" t="s">
        <v>172</v>
      </c>
      <c r="B28" s="16">
        <v>2728</v>
      </c>
      <c r="C28" s="16">
        <v>7166</v>
      </c>
      <c r="D28" s="16">
        <v>1452</v>
      </c>
      <c r="E28" s="30"/>
      <c r="F28" s="30"/>
      <c r="G28" s="30"/>
      <c r="H28" s="30"/>
      <c r="I28" s="30"/>
    </row>
    <row r="29" spans="1:47" x14ac:dyDescent="0.15">
      <c r="A29" s="16" t="s">
        <v>173</v>
      </c>
      <c r="B29" s="16">
        <v>0</v>
      </c>
      <c r="C29" s="16">
        <v>7166</v>
      </c>
      <c r="D29" s="16">
        <v>0</v>
      </c>
      <c r="E29" s="30"/>
      <c r="F29" s="30"/>
      <c r="G29" s="30"/>
      <c r="H29" s="30"/>
      <c r="I29" s="30"/>
    </row>
    <row r="30" spans="1:47" x14ac:dyDescent="0.15">
      <c r="A30" s="51" t="s">
        <v>202</v>
      </c>
      <c r="B30" s="16">
        <f>B9+B12+B14+B15</f>
        <v>14931274918129</v>
      </c>
      <c r="C30" s="16">
        <f t="shared" ref="C30:D30" si="5">C9+C12+C14+C15</f>
        <v>35138256502848</v>
      </c>
      <c r="D30" s="16">
        <f t="shared" si="5"/>
        <v>9994537740985</v>
      </c>
      <c r="E30" s="30"/>
      <c r="F30" s="30"/>
      <c r="G30" s="30"/>
      <c r="H30" s="30">
        <f>(C30-B30)/B30</f>
        <v>1.3533326320436598</v>
      </c>
      <c r="I30" s="30">
        <f>(D30-C30)/C30</f>
        <v>-0.71556534854895459</v>
      </c>
    </row>
    <row r="31" spans="1:47" x14ac:dyDescent="0.15">
      <c r="A31" s="16" t="s">
        <v>241</v>
      </c>
      <c r="B31" s="16">
        <f>B9+B14+B15</f>
        <v>17122955841546</v>
      </c>
      <c r="C31" s="16">
        <f t="shared" ref="C31:D31" si="6">C9+C14+C15</f>
        <v>37664079761085</v>
      </c>
      <c r="D31" s="16">
        <f t="shared" si="6"/>
        <v>13078175872803</v>
      </c>
      <c r="E31" s="30"/>
      <c r="F31" s="30"/>
      <c r="G31" s="30"/>
      <c r="H31" s="30"/>
      <c r="I31" s="30"/>
      <c r="L31" s="39"/>
      <c r="Q31" s="16"/>
      <c r="R31" s="16"/>
      <c r="S31" s="16"/>
    </row>
    <row r="32" spans="1:47" x14ac:dyDescent="0.15">
      <c r="B32" s="30"/>
      <c r="C32" s="30"/>
      <c r="D32" s="30"/>
      <c r="L32" s="39"/>
      <c r="O32" s="47"/>
      <c r="P32" s="46"/>
      <c r="AN32" s="58" t="s">
        <v>182</v>
      </c>
      <c r="AO32" s="61">
        <v>2021</v>
      </c>
    </row>
    <row r="33" spans="1:45" ht="16" x14ac:dyDescent="0.2">
      <c r="A33" s="13" t="s">
        <v>114</v>
      </c>
      <c r="B33" s="30"/>
      <c r="C33" s="30"/>
      <c r="D33" s="30"/>
      <c r="L33" s="39"/>
    </row>
    <row r="34" spans="1:45" x14ac:dyDescent="0.15">
      <c r="A34" s="14" t="s">
        <v>115</v>
      </c>
      <c r="B34" s="46"/>
      <c r="C34" s="46"/>
      <c r="D34" s="46"/>
      <c r="L34" s="39"/>
      <c r="AJ34" t="s">
        <v>182</v>
      </c>
      <c r="AK34" t="s">
        <v>364</v>
      </c>
      <c r="AL34" t="s">
        <v>365</v>
      </c>
      <c r="AN34" s="58" t="s">
        <v>212</v>
      </c>
      <c r="AO34" t="s">
        <v>366</v>
      </c>
      <c r="AR34" t="s">
        <v>364</v>
      </c>
      <c r="AS34" t="s">
        <v>365</v>
      </c>
    </row>
    <row r="35" spans="1:45" x14ac:dyDescent="0.15">
      <c r="B35" s="30"/>
      <c r="C35" s="30">
        <v>-22097815712253</v>
      </c>
      <c r="D35" s="30"/>
      <c r="L35" s="39"/>
      <c r="AJ35">
        <v>2020</v>
      </c>
      <c r="AK35" t="s">
        <v>186</v>
      </c>
      <c r="AL35">
        <v>90.1</v>
      </c>
      <c r="AN35" s="61" t="s">
        <v>186</v>
      </c>
      <c r="AO35" s="551">
        <v>149.69999999999999</v>
      </c>
      <c r="AR35" s="61" t="s">
        <v>186</v>
      </c>
      <c r="AS35">
        <f>AO35</f>
        <v>149.69999999999999</v>
      </c>
    </row>
    <row r="36" spans="1:45" x14ac:dyDescent="0.15">
      <c r="A36" s="48"/>
      <c r="B36" s="46"/>
      <c r="C36" s="46"/>
      <c r="D36" s="46"/>
      <c r="L36" s="39"/>
      <c r="AJ36">
        <v>2020</v>
      </c>
      <c r="AK36" t="s">
        <v>200</v>
      </c>
      <c r="AL36">
        <v>-71.2</v>
      </c>
      <c r="AN36" s="61" t="s">
        <v>200</v>
      </c>
      <c r="AO36" s="551">
        <v>-108.6</v>
      </c>
      <c r="AR36" s="61" t="s">
        <v>200</v>
      </c>
      <c r="AS36">
        <f t="shared" ref="AS36:AS41" si="7">AO36</f>
        <v>-108.6</v>
      </c>
    </row>
    <row r="37" spans="1:45" x14ac:dyDescent="0.15">
      <c r="B37" s="30"/>
      <c r="C37" s="30"/>
      <c r="D37" s="30"/>
      <c r="AJ37">
        <v>2020</v>
      </c>
      <c r="AK37" t="s">
        <v>362</v>
      </c>
      <c r="AL37" s="102">
        <v>-1.9</v>
      </c>
      <c r="AN37" s="61" t="s">
        <v>362</v>
      </c>
      <c r="AO37" s="551">
        <v>-3.4</v>
      </c>
      <c r="AR37" s="61" t="s">
        <v>362</v>
      </c>
      <c r="AS37">
        <f t="shared" si="7"/>
        <v>-3.4</v>
      </c>
    </row>
    <row r="38" spans="1:45" x14ac:dyDescent="0.15">
      <c r="B38" s="46"/>
      <c r="C38" s="16">
        <v>-44165626148685</v>
      </c>
      <c r="D38" s="16">
        <v>-52472820451654</v>
      </c>
      <c r="E38" s="16">
        <v>-71214453522563</v>
      </c>
      <c r="F38" s="16">
        <v>-108571380446353</v>
      </c>
      <c r="G38" s="16">
        <v>-124645848221080</v>
      </c>
      <c r="AJ38">
        <v>2020</v>
      </c>
      <c r="AK38" t="s">
        <v>201</v>
      </c>
      <c r="AL38">
        <v>-2.2000000000000002</v>
      </c>
      <c r="AM38" s="53"/>
      <c r="AN38" s="61" t="s">
        <v>201</v>
      </c>
      <c r="AO38" s="551">
        <v>-2.5</v>
      </c>
      <c r="AR38" s="61" t="s">
        <v>201</v>
      </c>
      <c r="AS38">
        <f t="shared" si="7"/>
        <v>-2.5</v>
      </c>
    </row>
    <row r="39" spans="1:45" x14ac:dyDescent="0.15">
      <c r="AJ39">
        <v>2020</v>
      </c>
      <c r="AK39" t="s">
        <v>242</v>
      </c>
      <c r="AL39">
        <v>-1.9</v>
      </c>
      <c r="AN39" s="61" t="s">
        <v>242</v>
      </c>
      <c r="AO39" s="551">
        <v>-2.5</v>
      </c>
      <c r="AR39" s="61" t="s">
        <v>242</v>
      </c>
      <c r="AS39">
        <f t="shared" si="7"/>
        <v>-2.5</v>
      </c>
    </row>
    <row r="40" spans="1:45" x14ac:dyDescent="0.15">
      <c r="Q40" s="16"/>
      <c r="AJ40">
        <v>2020</v>
      </c>
      <c r="AK40" t="s">
        <v>363</v>
      </c>
      <c r="AL40">
        <v>0.6</v>
      </c>
      <c r="AN40" s="61" t="s">
        <v>363</v>
      </c>
      <c r="AO40" s="551">
        <v>1.8</v>
      </c>
      <c r="AR40" s="61" t="s">
        <v>363</v>
      </c>
      <c r="AS40">
        <f t="shared" si="7"/>
        <v>1.8</v>
      </c>
    </row>
    <row r="41" spans="1:45" x14ac:dyDescent="0.15">
      <c r="AJ41">
        <v>2020</v>
      </c>
      <c r="AK41" t="s">
        <v>187</v>
      </c>
      <c r="AL41">
        <v>13.5</v>
      </c>
      <c r="AN41" s="61" t="s">
        <v>187</v>
      </c>
      <c r="AO41" s="551">
        <v>34.5</v>
      </c>
      <c r="AR41" s="61" t="s">
        <v>187</v>
      </c>
      <c r="AS41">
        <f t="shared" si="7"/>
        <v>34.5</v>
      </c>
    </row>
    <row r="42" spans="1:45" x14ac:dyDescent="0.15">
      <c r="O42" s="47"/>
      <c r="P42" s="46"/>
      <c r="AJ42">
        <v>2021</v>
      </c>
      <c r="AK42" t="s">
        <v>186</v>
      </c>
      <c r="AL42">
        <v>149.69999999999999</v>
      </c>
    </row>
    <row r="43" spans="1:45" x14ac:dyDescent="0.15">
      <c r="AJ43">
        <v>2021</v>
      </c>
      <c r="AK43" t="s">
        <v>200</v>
      </c>
      <c r="AL43">
        <v>-108.6</v>
      </c>
    </row>
    <row r="44" spans="1:45" x14ac:dyDescent="0.15">
      <c r="O44" s="38"/>
      <c r="P44" s="39"/>
      <c r="AJ44">
        <v>2021</v>
      </c>
      <c r="AK44" t="s">
        <v>362</v>
      </c>
      <c r="AL44" s="102">
        <v>-3.4</v>
      </c>
    </row>
    <row r="45" spans="1:45" x14ac:dyDescent="0.15">
      <c r="O45" s="39"/>
      <c r="P45" s="39"/>
      <c r="AJ45">
        <v>2021</v>
      </c>
      <c r="AK45" t="s">
        <v>201</v>
      </c>
      <c r="AL45">
        <v>-2.5</v>
      </c>
    </row>
    <row r="46" spans="1:45" x14ac:dyDescent="0.15">
      <c r="O46" s="39"/>
      <c r="P46" s="39"/>
      <c r="AJ46">
        <v>2021</v>
      </c>
      <c r="AK46" t="s">
        <v>242</v>
      </c>
      <c r="AL46">
        <v>-2.5</v>
      </c>
    </row>
    <row r="47" spans="1:45" x14ac:dyDescent="0.15">
      <c r="AJ47">
        <v>2021</v>
      </c>
      <c r="AK47" t="s">
        <v>363</v>
      </c>
      <c r="AL47">
        <v>1.8</v>
      </c>
    </row>
    <row r="48" spans="1:45" x14ac:dyDescent="0.15">
      <c r="M48" s="16"/>
      <c r="N48" s="16"/>
      <c r="O48" s="16"/>
      <c r="AJ48">
        <v>2021</v>
      </c>
      <c r="AK48" t="s">
        <v>187</v>
      </c>
      <c r="AL48">
        <v>34.5</v>
      </c>
    </row>
    <row r="49" spans="16:49" x14ac:dyDescent="0.15">
      <c r="P49" s="16"/>
      <c r="AJ49">
        <v>2022</v>
      </c>
      <c r="AK49" t="s">
        <v>186</v>
      </c>
      <c r="AL49">
        <v>141.4</v>
      </c>
    </row>
    <row r="50" spans="16:49" x14ac:dyDescent="0.15">
      <c r="AJ50">
        <v>2022</v>
      </c>
      <c r="AK50" t="s">
        <v>200</v>
      </c>
      <c r="AL50">
        <v>-124.6</v>
      </c>
    </row>
    <row r="51" spans="16:49" x14ac:dyDescent="0.15">
      <c r="AJ51">
        <v>2022</v>
      </c>
      <c r="AK51" t="s">
        <v>362</v>
      </c>
      <c r="AL51">
        <v>-3.7</v>
      </c>
    </row>
    <row r="52" spans="16:49" x14ac:dyDescent="0.15">
      <c r="AJ52">
        <v>2022</v>
      </c>
      <c r="AK52" t="s">
        <v>201</v>
      </c>
      <c r="AL52">
        <v>-3.1</v>
      </c>
    </row>
    <row r="53" spans="16:49" x14ac:dyDescent="0.15">
      <c r="AJ53">
        <v>2022</v>
      </c>
      <c r="AK53" t="s">
        <v>242</v>
      </c>
      <c r="AL53">
        <v>-1.5</v>
      </c>
    </row>
    <row r="54" spans="16:49" x14ac:dyDescent="0.15">
      <c r="AJ54">
        <v>2022</v>
      </c>
      <c r="AK54" t="s">
        <v>363</v>
      </c>
      <c r="AL54">
        <v>-0.1</v>
      </c>
    </row>
    <row r="55" spans="16:49" x14ac:dyDescent="0.15">
      <c r="AJ55">
        <v>2022</v>
      </c>
      <c r="AK55" t="s">
        <v>187</v>
      </c>
      <c r="AL55">
        <v>8.4</v>
      </c>
    </row>
    <row r="58" spans="16:49" ht="15" x14ac:dyDescent="0.2">
      <c r="AR58" s="63"/>
      <c r="AS58" s="63"/>
      <c r="AT58" s="63"/>
    </row>
    <row r="59" spans="16:49" ht="15" x14ac:dyDescent="0.2">
      <c r="AJ59" s="30"/>
      <c r="AR59" s="63"/>
      <c r="AS59" s="63"/>
      <c r="AT59" s="63"/>
      <c r="AU59" s="63"/>
      <c r="AV59" s="63"/>
      <c r="AW59" s="63"/>
    </row>
    <row r="60" spans="16:49" ht="15" x14ac:dyDescent="0.2">
      <c r="AJ60" s="30"/>
      <c r="AR60" s="64"/>
      <c r="AS60" s="103"/>
      <c r="AT60" s="103"/>
      <c r="AU60" s="103"/>
      <c r="AV60" s="103"/>
      <c r="AW60" s="103"/>
    </row>
    <row r="61" spans="16:49" ht="15" x14ac:dyDescent="0.2">
      <c r="AJ61" s="30"/>
      <c r="AR61" s="64"/>
      <c r="AS61" s="103"/>
      <c r="AT61" s="103"/>
      <c r="AU61" s="103"/>
      <c r="AV61" s="103"/>
      <c r="AW61" s="103"/>
    </row>
    <row r="62" spans="16:49" ht="15" x14ac:dyDescent="0.2">
      <c r="AJ62" s="30"/>
      <c r="AR62" s="64"/>
      <c r="AS62" s="103"/>
      <c r="AT62" s="103"/>
      <c r="AU62" s="103"/>
      <c r="AV62" s="103"/>
      <c r="AW62" s="103"/>
    </row>
    <row r="63" spans="16:49" x14ac:dyDescent="0.15">
      <c r="AJ63" s="30"/>
    </row>
    <row r="64" spans="16:49" x14ac:dyDescent="0.15">
      <c r="AJ64" s="30"/>
    </row>
    <row r="65" spans="36:36" x14ac:dyDescent="0.15">
      <c r="AJ65" s="30"/>
    </row>
    <row r="66" spans="36:36" x14ac:dyDescent="0.15">
      <c r="AJ66" s="30"/>
    </row>
    <row r="67" spans="36:36" x14ac:dyDescent="0.15">
      <c r="AJ67" s="30"/>
    </row>
    <row r="68" spans="36:36" x14ac:dyDescent="0.15">
      <c r="AJ68" s="30"/>
    </row>
    <row r="69" spans="36:36" x14ac:dyDescent="0.15">
      <c r="AJ69" s="30"/>
    </row>
    <row r="70" spans="36:36" x14ac:dyDescent="0.15">
      <c r="AJ70" s="30"/>
    </row>
    <row r="71" spans="36:36" x14ac:dyDescent="0.15">
      <c r="AJ71" s="30"/>
    </row>
    <row r="72" spans="36:36" x14ac:dyDescent="0.15">
      <c r="AJ72" s="30"/>
    </row>
    <row r="73" spans="36:36" x14ac:dyDescent="0.15">
      <c r="AJ73" s="30"/>
    </row>
  </sheetData>
  <mergeCells count="2">
    <mergeCell ref="E3:G3"/>
    <mergeCell ref="H3:J3"/>
  </mergeCells>
  <hyperlinks>
    <hyperlink ref="A34" r:id="rId2" xr:uid="{4D808605-6138-3F48-AE14-9DD7451D194E}"/>
  </hyperlinks>
  <pageMargins left="0.7" right="0.7" top="0.75" bottom="0.75" header="0.3" footer="0.3"/>
  <drawing r:id="rId3"/>
  <tableParts count="4">
    <tablePart r:id="rId4"/>
    <tablePart r:id="rId5"/>
    <tablePart r:id="rId6"/>
    <tablePart r:id="rId7"/>
  </tableParts>
  <extLst>
    <ext xmlns:x14="http://schemas.microsoft.com/office/spreadsheetml/2009/9/main" uri="{A8765BA9-456A-4dab-B4F3-ACF838C121DE}">
      <x14:slicerList>
        <x14:slicer r:id="rId8"/>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8183F-FF09-4C78-9A31-B54CFE38B184}">
  <dimension ref="A1:AT138"/>
  <sheetViews>
    <sheetView topLeftCell="A47" zoomScale="116" zoomScaleNormal="44" workbookViewId="0">
      <selection activeCell="U56" sqref="U56"/>
    </sheetView>
  </sheetViews>
  <sheetFormatPr baseColWidth="10" defaultColWidth="9.1640625" defaultRowHeight="11" x14ac:dyDescent="0.15"/>
  <cols>
    <col min="1" max="1" width="37" style="5" customWidth="1"/>
    <col min="2" max="2" width="18.5" style="5" customWidth="1"/>
    <col min="3" max="3" width="17.83203125" style="5" customWidth="1"/>
    <col min="4" max="4" width="17.6640625" style="5" customWidth="1"/>
    <col min="5" max="8" width="15.83203125" style="5" customWidth="1"/>
    <col min="9" max="9" width="17.5" style="5" customWidth="1"/>
    <col min="10" max="10" width="20.83203125" style="5" customWidth="1"/>
    <col min="11" max="11" width="22.5" style="5" customWidth="1"/>
    <col min="12" max="16" width="15.5" style="5" customWidth="1"/>
    <col min="17" max="17" width="22.83203125" style="5" customWidth="1"/>
    <col min="18" max="18" width="18" style="5" customWidth="1"/>
    <col min="19" max="28" width="15.5" style="5" customWidth="1"/>
    <col min="29" max="29" width="19.33203125" style="5" customWidth="1"/>
    <col min="30" max="30" width="18.83203125" style="5" customWidth="1"/>
    <col min="31" max="31" width="20.5" style="5" customWidth="1"/>
    <col min="32" max="32" width="20.83203125" style="5" customWidth="1"/>
    <col min="33" max="33" width="20" style="5" customWidth="1"/>
    <col min="34" max="34" width="18" style="5" customWidth="1"/>
    <col min="35" max="37" width="15.5" style="5" customWidth="1"/>
    <col min="38" max="38" width="16.83203125" style="5" customWidth="1"/>
    <col min="39" max="39" width="17.6640625" style="5" customWidth="1"/>
    <col min="40" max="40" width="17" style="5" customWidth="1"/>
    <col min="41" max="41" width="16.6640625" style="5" customWidth="1"/>
    <col min="42" max="42" width="16.83203125" style="5" customWidth="1"/>
    <col min="43" max="59" width="15.5" style="5" customWidth="1"/>
    <col min="60" max="60" width="9.1640625" style="5" customWidth="1"/>
    <col min="61" max="16384" width="9.1640625" style="5"/>
  </cols>
  <sheetData>
    <row r="1" spans="1:46" s="1" customFormat="1" x14ac:dyDescent="0.15"/>
    <row r="2" spans="1:46" s="1" customFormat="1" x14ac:dyDescent="0.15"/>
    <row r="3" spans="1:46" s="1" customFormat="1" x14ac:dyDescent="0.15"/>
    <row r="4" spans="1:46" s="1" customFormat="1" x14ac:dyDescent="0.15"/>
    <row r="5" spans="1:46" ht="16" x14ac:dyDescent="0.15">
      <c r="A5" s="2" t="s">
        <v>0</v>
      </c>
      <c r="B5" s="3" t="s">
        <v>1</v>
      </c>
      <c r="C5" s="4"/>
    </row>
    <row r="6" spans="1:46" ht="16" x14ac:dyDescent="0.15">
      <c r="A6" s="2" t="s">
        <v>2</v>
      </c>
      <c r="B6" s="6">
        <v>45253.553666782398</v>
      </c>
      <c r="M6" s="7"/>
    </row>
    <row r="7" spans="1:46" x14ac:dyDescent="0.15">
      <c r="E7" s="550" t="s">
        <v>190</v>
      </c>
      <c r="F7" s="550"/>
      <c r="G7" s="550"/>
      <c r="H7" s="550" t="s">
        <v>178</v>
      </c>
      <c r="I7" s="550"/>
      <c r="AL7" s="22" t="s">
        <v>174</v>
      </c>
      <c r="AM7" s="23" t="s">
        <v>8</v>
      </c>
      <c r="AN7" s="23" t="s">
        <v>31</v>
      </c>
      <c r="AO7" s="16" t="s">
        <v>62</v>
      </c>
      <c r="AP7" s="16" t="s">
        <v>76</v>
      </c>
      <c r="AQ7" s="16" t="s">
        <v>175</v>
      </c>
      <c r="AR7" s="16" t="s">
        <v>40</v>
      </c>
      <c r="AS7" s="16" t="s">
        <v>47</v>
      </c>
      <c r="AT7" s="5" t="s">
        <v>189</v>
      </c>
    </row>
    <row r="8" spans="1:46" x14ac:dyDescent="0.15">
      <c r="A8" s="15" t="s">
        <v>3</v>
      </c>
      <c r="B8" s="15" t="s">
        <v>4</v>
      </c>
      <c r="C8" s="15" t="s">
        <v>5</v>
      </c>
      <c r="D8" s="15" t="s">
        <v>6</v>
      </c>
      <c r="E8" s="5">
        <v>2020</v>
      </c>
      <c r="F8" s="5">
        <v>2021</v>
      </c>
      <c r="G8" s="5">
        <v>2022</v>
      </c>
      <c r="AL8" s="22">
        <v>2020</v>
      </c>
      <c r="AM8" s="25">
        <v>0.43150056465224623</v>
      </c>
      <c r="AN8" s="25">
        <v>0.56849943534775371</v>
      </c>
      <c r="AO8" s="24">
        <v>0.39521443659282129</v>
      </c>
      <c r="AP8" s="24">
        <v>0.15448413842981024</v>
      </c>
      <c r="AQ8" s="24">
        <v>0.45030142497736847</v>
      </c>
      <c r="AR8" s="24">
        <v>0.5</v>
      </c>
      <c r="AS8" s="24">
        <v>0.05</v>
      </c>
      <c r="AT8" s="24">
        <v>0.01</v>
      </c>
    </row>
    <row r="9" spans="1:46" x14ac:dyDescent="0.15">
      <c r="A9" s="16" t="s">
        <v>7</v>
      </c>
      <c r="B9" s="16">
        <v>131511434388837</v>
      </c>
      <c r="C9" s="16">
        <v>178236422358249</v>
      </c>
      <c r="D9" s="16">
        <v>170335519508132</v>
      </c>
      <c r="H9" s="24">
        <f>(C9-B9)/B9</f>
        <v>0.35529220851824367</v>
      </c>
      <c r="I9" s="24">
        <f>(D9-C9)/C9</f>
        <v>-4.4328217238542078E-2</v>
      </c>
      <c r="AL9" s="22">
        <v>2021</v>
      </c>
      <c r="AM9" s="25">
        <v>0.52825824487800821</v>
      </c>
      <c r="AN9" s="25">
        <v>0.47174175512199179</v>
      </c>
      <c r="AO9" s="24">
        <v>0.41214536795846551</v>
      </c>
      <c r="AP9" s="24">
        <v>7.852761397014893E-2</v>
      </c>
      <c r="AQ9" s="24">
        <v>0.50932701807138558</v>
      </c>
      <c r="AR9" s="24">
        <v>0.39</v>
      </c>
      <c r="AS9" s="24">
        <v>0.05</v>
      </c>
      <c r="AT9" s="24">
        <v>0.03</v>
      </c>
    </row>
    <row r="10" spans="1:46" x14ac:dyDescent="0.15">
      <c r="A10" s="16" t="s">
        <v>8</v>
      </c>
      <c r="B10" s="16">
        <v>56747258197010</v>
      </c>
      <c r="C10" s="16">
        <v>94154859648304</v>
      </c>
      <c r="D10" s="16">
        <v>80514708725456</v>
      </c>
      <c r="E10" s="24"/>
      <c r="F10" s="24">
        <f>C10/$C$9</f>
        <v>0.52825824487800821</v>
      </c>
      <c r="G10" s="24">
        <f>D10/$D$9</f>
        <v>0.47268302558358732</v>
      </c>
      <c r="H10" s="24">
        <f>(C10-B10)/B10</f>
        <v>0.65919663151699193</v>
      </c>
      <c r="I10" s="24">
        <f>(D10-C10)/C10</f>
        <v>-0.14486932457653234</v>
      </c>
      <c r="J10" s="24"/>
      <c r="K10" s="24"/>
      <c r="L10" s="24"/>
      <c r="AL10" s="22">
        <v>2022</v>
      </c>
      <c r="AM10" s="25">
        <v>0.47268302558358732</v>
      </c>
      <c r="AN10" s="25">
        <v>0.52731697441641268</v>
      </c>
      <c r="AO10" s="24">
        <v>0.36625003910418491</v>
      </c>
      <c r="AP10" s="24">
        <v>6.9493369591061005E-2</v>
      </c>
      <c r="AQ10" s="24">
        <v>0.56425659130475403</v>
      </c>
      <c r="AR10" s="24">
        <v>0.42</v>
      </c>
      <c r="AS10" s="24">
        <v>0.08</v>
      </c>
      <c r="AT10" s="24">
        <v>0.03</v>
      </c>
    </row>
    <row r="11" spans="1:46" x14ac:dyDescent="0.15">
      <c r="A11" s="31" t="s">
        <v>9</v>
      </c>
      <c r="B11" s="31">
        <v>13696099298228</v>
      </c>
      <c r="C11" s="31">
        <v>22471375562130</v>
      </c>
      <c r="D11" s="31">
        <v>8324588920227</v>
      </c>
      <c r="E11" s="24">
        <f t="shared" ref="E11:E72" si="0">B11/$B$9</f>
        <v>0.10414379070441161</v>
      </c>
      <c r="F11" s="24">
        <f t="shared" ref="F11:F72" si="1">C11/$C$9</f>
        <v>0.12607622653558045</v>
      </c>
      <c r="G11" s="24">
        <f t="shared" ref="G11:G72" si="2">D11/$D$9</f>
        <v>4.8871714744320109E-2</v>
      </c>
      <c r="H11" s="24">
        <f>(C11-B11)/B11</f>
        <v>0.6407135398790037</v>
      </c>
      <c r="I11" s="24">
        <f t="shared" ref="I11:I74" si="3">(D11-C11)/C11</f>
        <v>-0.62954698090418393</v>
      </c>
      <c r="J11" s="24"/>
      <c r="K11" s="24"/>
      <c r="L11" s="24"/>
      <c r="M11" s="24"/>
      <c r="N11" s="24"/>
      <c r="O11" s="24"/>
      <c r="P11" s="24"/>
      <c r="Q11" s="24"/>
    </row>
    <row r="12" spans="1:46" x14ac:dyDescent="0.15">
      <c r="A12" s="18" t="s">
        <v>10</v>
      </c>
      <c r="B12" s="17">
        <v>2094314298228</v>
      </c>
      <c r="C12" s="17">
        <v>6316299666510</v>
      </c>
      <c r="D12" s="17">
        <v>3458049733104</v>
      </c>
      <c r="E12" s="24">
        <f t="shared" si="0"/>
        <v>1.5924959741795426E-2</v>
      </c>
      <c r="F12" s="24">
        <f t="shared" si="1"/>
        <v>3.5437760604364342E-2</v>
      </c>
      <c r="G12" s="24">
        <f t="shared" si="2"/>
        <v>2.0301401276079174E-2</v>
      </c>
      <c r="H12" s="24">
        <f t="shared" ref="H12:H75" si="4">(C12-B12)/B12</f>
        <v>2.0159272998585851</v>
      </c>
      <c r="I12" s="24">
        <f t="shared" si="3"/>
        <v>-0.45251968467564707</v>
      </c>
      <c r="J12" s="24"/>
      <c r="K12" s="24"/>
      <c r="L12" s="24"/>
      <c r="M12" s="24"/>
      <c r="N12" s="24"/>
      <c r="O12" s="24"/>
      <c r="P12" s="24"/>
      <c r="Q12" s="24"/>
    </row>
    <row r="13" spans="1:46" x14ac:dyDescent="0.15">
      <c r="A13" s="18" t="s">
        <v>11</v>
      </c>
      <c r="B13" s="17">
        <v>11601785000000</v>
      </c>
      <c r="C13" s="17">
        <v>16155075895620</v>
      </c>
      <c r="D13" s="17">
        <v>4866539187123</v>
      </c>
      <c r="E13" s="24">
        <f t="shared" si="0"/>
        <v>8.8218830962616179E-2</v>
      </c>
      <c r="F13" s="24">
        <f t="shared" si="1"/>
        <v>9.0638465931216119E-2</v>
      </c>
      <c r="G13" s="24">
        <f t="shared" si="2"/>
        <v>2.8570313468240932E-2</v>
      </c>
      <c r="H13" s="24">
        <f t="shared" si="4"/>
        <v>0.39246468501355608</v>
      </c>
      <c r="I13" s="24">
        <f t="shared" si="3"/>
        <v>-0.6987609827049821</v>
      </c>
      <c r="AL13" s="23"/>
      <c r="AM13" s="23"/>
      <c r="AN13" s="23"/>
      <c r="AO13" s="23"/>
      <c r="AP13" s="23"/>
      <c r="AQ13" s="16"/>
    </row>
    <row r="14" spans="1:46" x14ac:dyDescent="0.15">
      <c r="A14" s="31" t="s">
        <v>12</v>
      </c>
      <c r="B14" s="31">
        <v>8126992675380</v>
      </c>
      <c r="C14" s="31">
        <v>18236152616078</v>
      </c>
      <c r="D14" s="31">
        <v>26268246676354</v>
      </c>
      <c r="E14" s="24">
        <f t="shared" si="0"/>
        <v>6.1796852214014313E-2</v>
      </c>
      <c r="F14" s="24">
        <f t="shared" si="1"/>
        <v>0.10231440002438991</v>
      </c>
      <c r="G14" s="24">
        <f t="shared" si="2"/>
        <v>0.15421473308800943</v>
      </c>
      <c r="H14" s="24">
        <f t="shared" si="4"/>
        <v>1.2438992311784407</v>
      </c>
      <c r="I14" s="24">
        <f t="shared" si="3"/>
        <v>0.44044893840131949</v>
      </c>
      <c r="AL14" s="23"/>
      <c r="AM14" s="23"/>
      <c r="AN14" s="23"/>
      <c r="AO14" s="23"/>
      <c r="AP14" s="23"/>
      <c r="AQ14" s="16"/>
    </row>
    <row r="15" spans="1:46" x14ac:dyDescent="0.15">
      <c r="A15" s="18" t="s">
        <v>12</v>
      </c>
      <c r="B15" s="17">
        <v>0</v>
      </c>
      <c r="C15" s="17">
        <v>0</v>
      </c>
      <c r="D15" s="17">
        <v>0</v>
      </c>
      <c r="E15" s="24">
        <f t="shared" si="0"/>
        <v>0</v>
      </c>
      <c r="F15" s="24">
        <f t="shared" si="1"/>
        <v>0</v>
      </c>
      <c r="G15" s="24">
        <f t="shared" si="2"/>
        <v>0</v>
      </c>
      <c r="H15" s="24">
        <v>0</v>
      </c>
      <c r="I15" s="24">
        <v>0</v>
      </c>
      <c r="AL15" s="25"/>
      <c r="AM15" s="25"/>
      <c r="AN15" s="25"/>
      <c r="AO15" s="25"/>
      <c r="AP15" s="25"/>
      <c r="AQ15" s="16"/>
    </row>
    <row r="16" spans="1:46" x14ac:dyDescent="0.15">
      <c r="A16" s="18" t="s">
        <v>13</v>
      </c>
      <c r="B16" s="17">
        <v>0</v>
      </c>
      <c r="C16" s="17">
        <v>0</v>
      </c>
      <c r="D16" s="17">
        <v>0</v>
      </c>
      <c r="E16" s="24">
        <f t="shared" si="0"/>
        <v>0</v>
      </c>
      <c r="F16" s="24">
        <f t="shared" si="1"/>
        <v>0</v>
      </c>
      <c r="G16" s="24">
        <f t="shared" si="2"/>
        <v>0</v>
      </c>
      <c r="H16" s="24">
        <v>0</v>
      </c>
      <c r="I16" s="24">
        <v>0</v>
      </c>
      <c r="AL16" s="16"/>
      <c r="AM16" s="16"/>
      <c r="AN16" s="16"/>
      <c r="AO16" s="16"/>
      <c r="AP16" s="16"/>
      <c r="AQ16" s="16"/>
    </row>
    <row r="17" spans="1:43" x14ac:dyDescent="0.15">
      <c r="A17" s="18" t="s">
        <v>14</v>
      </c>
      <c r="B17" s="17">
        <v>8126992675380</v>
      </c>
      <c r="C17" s="17">
        <v>18236152616078</v>
      </c>
      <c r="D17" s="17">
        <v>26268246676354</v>
      </c>
      <c r="E17" s="24">
        <f t="shared" si="0"/>
        <v>6.1796852214014313E-2</v>
      </c>
      <c r="F17" s="24">
        <f t="shared" si="1"/>
        <v>0.10231440002438991</v>
      </c>
      <c r="G17" s="24">
        <f t="shared" si="2"/>
        <v>0.15421473308800943</v>
      </c>
      <c r="H17" s="24">
        <f t="shared" si="4"/>
        <v>1.2438992311784407</v>
      </c>
      <c r="I17" s="24">
        <f t="shared" si="3"/>
        <v>0.44044893840131949</v>
      </c>
      <c r="AM17" s="24"/>
      <c r="AN17" s="24"/>
      <c r="AO17" s="24"/>
      <c r="AP17" s="24"/>
      <c r="AQ17" s="24"/>
    </row>
    <row r="18" spans="1:43" x14ac:dyDescent="0.15">
      <c r="A18" s="31" t="s">
        <v>15</v>
      </c>
      <c r="B18" s="31">
        <v>6124790460291</v>
      </c>
      <c r="C18" s="31">
        <v>7662680796645</v>
      </c>
      <c r="D18" s="31">
        <v>9892867373309</v>
      </c>
      <c r="E18" s="24">
        <f t="shared" si="0"/>
        <v>4.6572303684118944E-2</v>
      </c>
      <c r="F18" s="24">
        <f t="shared" si="1"/>
        <v>4.2991666323077778E-2</v>
      </c>
      <c r="G18" s="24">
        <f t="shared" si="2"/>
        <v>5.8078710781380535E-2</v>
      </c>
      <c r="H18" s="24">
        <f t="shared" si="4"/>
        <v>0.25109272657156861</v>
      </c>
      <c r="I18" s="24">
        <f t="shared" si="3"/>
        <v>0.29104521457300647</v>
      </c>
      <c r="AL18" s="26" t="s">
        <v>174</v>
      </c>
      <c r="AM18" s="16" t="s">
        <v>9</v>
      </c>
      <c r="AN18" s="16" t="s">
        <v>12</v>
      </c>
      <c r="AO18" s="16" t="s">
        <v>15</v>
      </c>
      <c r="AP18" s="16" t="s">
        <v>24</v>
      </c>
      <c r="AQ18" s="16" t="s">
        <v>26</v>
      </c>
    </row>
    <row r="19" spans="1:43" x14ac:dyDescent="0.15">
      <c r="A19" s="18" t="s">
        <v>16</v>
      </c>
      <c r="B19" s="17">
        <v>3949486943250</v>
      </c>
      <c r="C19" s="17">
        <v>4973095672343</v>
      </c>
      <c r="D19" s="17">
        <v>2958587125337</v>
      </c>
      <c r="E19" s="24">
        <f t="shared" si="0"/>
        <v>3.003150989572996E-2</v>
      </c>
      <c r="F19" s="24">
        <f t="shared" si="1"/>
        <v>2.7901680288147004E-2</v>
      </c>
      <c r="G19" s="24">
        <f t="shared" si="2"/>
        <v>1.7369173111282606E-2</v>
      </c>
      <c r="H19" s="24">
        <f t="shared" si="4"/>
        <v>0.25917511408473753</v>
      </c>
      <c r="I19" s="24">
        <f t="shared" si="3"/>
        <v>-0.40508139793274767</v>
      </c>
      <c r="AL19" s="27">
        <v>2020</v>
      </c>
      <c r="AM19" s="24">
        <v>0.10414379070441161</v>
      </c>
      <c r="AN19" s="24">
        <v>6.1796852214014313E-2</v>
      </c>
      <c r="AO19" s="24">
        <v>4.6572303684118944E-2</v>
      </c>
      <c r="AP19" s="24">
        <v>0.19988240833477888</v>
      </c>
      <c r="AQ19" s="24">
        <v>1.9105209714922487E-2</v>
      </c>
    </row>
    <row r="20" spans="1:43" x14ac:dyDescent="0.15">
      <c r="A20" s="18" t="s">
        <v>17</v>
      </c>
      <c r="B20" s="17">
        <v>1303037835829</v>
      </c>
      <c r="C20" s="17">
        <v>1722371823278</v>
      </c>
      <c r="D20" s="17">
        <v>5366251939739</v>
      </c>
      <c r="E20" s="24">
        <f t="shared" si="0"/>
        <v>9.908171421629669E-3</v>
      </c>
      <c r="F20" s="24">
        <f t="shared" si="1"/>
        <v>9.6634111058181617E-3</v>
      </c>
      <c r="G20" s="24">
        <f t="shared" si="2"/>
        <v>3.150401017494657E-2</v>
      </c>
      <c r="H20" s="24">
        <f t="shared" si="4"/>
        <v>0.32181259509031629</v>
      </c>
      <c r="I20" s="24">
        <f t="shared" si="3"/>
        <v>2.1156175845503591</v>
      </c>
      <c r="AL20" s="28">
        <v>2021</v>
      </c>
      <c r="AM20" s="24">
        <v>0.12607622653558045</v>
      </c>
      <c r="AN20" s="24">
        <v>0.10231440002438991</v>
      </c>
      <c r="AO20" s="24">
        <v>4.2991666323077778E-2</v>
      </c>
      <c r="AP20" s="24">
        <v>0.2363966543691117</v>
      </c>
      <c r="AQ20" s="24">
        <v>2.0479297625848391E-2</v>
      </c>
    </row>
    <row r="21" spans="1:43" x14ac:dyDescent="0.15">
      <c r="A21" s="18" t="s">
        <v>18</v>
      </c>
      <c r="B21" s="17">
        <v>0</v>
      </c>
      <c r="C21" s="17">
        <v>0</v>
      </c>
      <c r="D21" s="17">
        <v>0</v>
      </c>
      <c r="E21" s="24">
        <f t="shared" si="0"/>
        <v>0</v>
      </c>
      <c r="F21" s="24">
        <f t="shared" si="1"/>
        <v>0</v>
      </c>
      <c r="G21" s="24">
        <f t="shared" si="2"/>
        <v>0</v>
      </c>
      <c r="H21" s="24">
        <v>0</v>
      </c>
      <c r="I21" s="24">
        <v>0</v>
      </c>
      <c r="AL21" s="29">
        <v>2022</v>
      </c>
      <c r="AM21" s="24">
        <v>4.8871714744320109E-2</v>
      </c>
      <c r="AN21" s="24">
        <v>0.15421473308800943</v>
      </c>
      <c r="AO21" s="24">
        <v>5.8078710781380535E-2</v>
      </c>
      <c r="AP21" s="24">
        <v>0.20248924707965185</v>
      </c>
      <c r="AQ21" s="24">
        <v>9.0286198902254158E-3</v>
      </c>
    </row>
    <row r="22" spans="1:43" x14ac:dyDescent="0.15">
      <c r="A22" s="18" t="s">
        <v>19</v>
      </c>
      <c r="B22" s="17">
        <v>0</v>
      </c>
      <c r="C22" s="17">
        <v>0</v>
      </c>
      <c r="D22" s="17">
        <v>0</v>
      </c>
      <c r="E22" s="24">
        <f t="shared" si="0"/>
        <v>0</v>
      </c>
      <c r="F22" s="24">
        <f t="shared" si="1"/>
        <v>0</v>
      </c>
      <c r="G22" s="24">
        <f t="shared" si="2"/>
        <v>0</v>
      </c>
      <c r="H22" s="24">
        <v>0</v>
      </c>
      <c r="I22" s="24">
        <v>0</v>
      </c>
      <c r="AN22" s="16"/>
      <c r="AO22" s="24"/>
      <c r="AP22" s="24"/>
    </row>
    <row r="23" spans="1:43" x14ac:dyDescent="0.15">
      <c r="A23" s="18" t="s">
        <v>20</v>
      </c>
      <c r="B23" s="17">
        <v>0</v>
      </c>
      <c r="C23" s="17">
        <v>23521740500</v>
      </c>
      <c r="D23" s="17">
        <v>124200000000</v>
      </c>
      <c r="E23" s="24">
        <f t="shared" si="0"/>
        <v>0</v>
      </c>
      <c r="F23" s="24">
        <f t="shared" si="1"/>
        <v>1.3196932584700404E-4</v>
      </c>
      <c r="G23" s="24">
        <f t="shared" si="2"/>
        <v>7.2914915431992772E-4</v>
      </c>
      <c r="H23" s="24">
        <v>0</v>
      </c>
      <c r="I23" s="24">
        <v>0</v>
      </c>
      <c r="AN23" s="16"/>
      <c r="AO23" s="24"/>
      <c r="AP23" s="24"/>
    </row>
    <row r="24" spans="1:43" x14ac:dyDescent="0.15">
      <c r="A24" s="18" t="s">
        <v>21</v>
      </c>
      <c r="B24" s="17">
        <v>910365502671</v>
      </c>
      <c r="C24" s="17">
        <v>981799066828</v>
      </c>
      <c r="D24" s="17">
        <v>1482978249031</v>
      </c>
      <c r="E24" s="24">
        <f t="shared" si="0"/>
        <v>6.9223296582663837E-3</v>
      </c>
      <c r="F24" s="24">
        <f t="shared" si="1"/>
        <v>5.5084087406928424E-3</v>
      </c>
      <c r="G24" s="24">
        <f t="shared" si="2"/>
        <v>8.7062184875668341E-3</v>
      </c>
      <c r="H24" s="24">
        <f t="shared" si="4"/>
        <v>7.8466905816855864E-2</v>
      </c>
      <c r="I24" s="24">
        <f t="shared" si="3"/>
        <v>0.51047021649980939</v>
      </c>
      <c r="AN24" s="16"/>
      <c r="AO24" s="24"/>
      <c r="AP24" s="24"/>
    </row>
    <row r="25" spans="1:43" x14ac:dyDescent="0.15">
      <c r="A25" s="18" t="s">
        <v>22</v>
      </c>
      <c r="B25" s="17">
        <v>-39336197606</v>
      </c>
      <c r="C25" s="17">
        <v>-39275168162</v>
      </c>
      <c r="D25" s="17">
        <v>-41074336139</v>
      </c>
      <c r="E25" s="24">
        <f t="shared" si="0"/>
        <v>-2.9910857400958397E-4</v>
      </c>
      <c r="F25" s="24">
        <f t="shared" si="1"/>
        <v>-2.2035433410494675E-4</v>
      </c>
      <c r="G25" s="24">
        <f t="shared" si="2"/>
        <v>-2.4113782173916501E-4</v>
      </c>
      <c r="H25" s="24">
        <f t="shared" si="4"/>
        <v>-1.5514830541397092E-3</v>
      </c>
      <c r="I25" s="24">
        <f t="shared" si="3"/>
        <v>4.5809300410348169E-2</v>
      </c>
      <c r="AL25" s="24"/>
      <c r="AM25" s="24"/>
    </row>
    <row r="26" spans="1:43" x14ac:dyDescent="0.15">
      <c r="A26" s="18" t="s">
        <v>23</v>
      </c>
      <c r="B26" s="17">
        <v>1236376147</v>
      </c>
      <c r="C26" s="17">
        <v>1167661858</v>
      </c>
      <c r="D26" s="17">
        <v>1924395341</v>
      </c>
      <c r="E26" s="24">
        <f t="shared" si="0"/>
        <v>9.4012825025117861E-6</v>
      </c>
      <c r="F26" s="24">
        <f t="shared" si="1"/>
        <v>6.5511966777084446E-6</v>
      </c>
      <c r="G26" s="24">
        <f t="shared" si="2"/>
        <v>1.1297675003762954E-5</v>
      </c>
      <c r="H26" s="24">
        <f t="shared" si="4"/>
        <v>-5.5577171370324085E-2</v>
      </c>
      <c r="I26" s="24">
        <f t="shared" si="3"/>
        <v>0.64807587728878269</v>
      </c>
      <c r="AL26" s="24"/>
      <c r="AM26" s="24"/>
      <c r="AN26" s="24"/>
      <c r="AO26" s="21"/>
    </row>
    <row r="27" spans="1:43" x14ac:dyDescent="0.15">
      <c r="A27" s="31" t="s">
        <v>24</v>
      </c>
      <c r="B27" s="31">
        <v>26286822229202</v>
      </c>
      <c r="C27" s="31">
        <v>42134493932210</v>
      </c>
      <c r="D27" s="31">
        <v>34491111096123</v>
      </c>
      <c r="E27" s="24">
        <f>B27/$B$9</f>
        <v>0.19988240833477888</v>
      </c>
      <c r="F27" s="24">
        <f t="shared" si="1"/>
        <v>0.2363966543691117</v>
      </c>
      <c r="G27" s="24">
        <f t="shared" si="2"/>
        <v>0.20248924707965185</v>
      </c>
      <c r="H27" s="24">
        <f t="shared" si="4"/>
        <v>0.60287514271705467</v>
      </c>
      <c r="I27" s="24">
        <f t="shared" si="3"/>
        <v>-0.18140440581496967</v>
      </c>
      <c r="AL27" s="24"/>
      <c r="AM27" s="24"/>
      <c r="AN27" s="24"/>
    </row>
    <row r="28" spans="1:43" x14ac:dyDescent="0.15">
      <c r="A28" s="18" t="s">
        <v>24</v>
      </c>
      <c r="B28" s="17">
        <v>26373360826788</v>
      </c>
      <c r="C28" s="17">
        <v>42370012405544</v>
      </c>
      <c r="D28" s="17">
        <v>35727277739296</v>
      </c>
      <c r="E28" s="24">
        <f t="shared" si="0"/>
        <v>0.20054043931123477</v>
      </c>
      <c r="F28" s="24">
        <f t="shared" si="1"/>
        <v>0.23771803677915926</v>
      </c>
      <c r="G28" s="24">
        <f t="shared" si="2"/>
        <v>0.20974649234912124</v>
      </c>
      <c r="H28" s="24">
        <f t="shared" si="4"/>
        <v>0.60654581279257558</v>
      </c>
      <c r="I28" s="24">
        <f t="shared" si="3"/>
        <v>-0.15677915320550664</v>
      </c>
      <c r="AL28" s="24"/>
      <c r="AM28" s="24"/>
      <c r="AN28" s="24"/>
    </row>
    <row r="29" spans="1:43" x14ac:dyDescent="0.15">
      <c r="A29" s="18" t="s">
        <v>25</v>
      </c>
      <c r="B29" s="17">
        <v>-86538597586</v>
      </c>
      <c r="C29" s="17">
        <v>-235518473334</v>
      </c>
      <c r="D29" s="17">
        <v>-1236166643173</v>
      </c>
      <c r="E29" s="24">
        <f t="shared" si="0"/>
        <v>-6.5803097645588142E-4</v>
      </c>
      <c r="F29" s="24">
        <f t="shared" si="1"/>
        <v>-1.3213824100475719E-3</v>
      </c>
      <c r="G29" s="24">
        <f t="shared" si="2"/>
        <v>-7.2572452694693789E-3</v>
      </c>
      <c r="H29" s="24">
        <f t="shared" si="4"/>
        <v>1.7215425244203586</v>
      </c>
      <c r="I29" s="24">
        <f t="shared" si="3"/>
        <v>4.2487035334163918</v>
      </c>
    </row>
    <row r="30" spans="1:43" x14ac:dyDescent="0.15">
      <c r="A30" s="16" t="s">
        <v>26</v>
      </c>
      <c r="B30" s="16">
        <v>2512553533909</v>
      </c>
      <c r="C30" s="16">
        <v>3650156741241</v>
      </c>
      <c r="D30" s="16">
        <v>1537894659443</v>
      </c>
      <c r="E30" s="24">
        <f t="shared" si="0"/>
        <v>1.9105209714922487E-2</v>
      </c>
      <c r="F30" s="24">
        <f t="shared" si="1"/>
        <v>2.0479297625848391E-2</v>
      </c>
      <c r="G30" s="24">
        <f t="shared" si="2"/>
        <v>9.0286198902254158E-3</v>
      </c>
      <c r="H30" s="24">
        <f t="shared" si="4"/>
        <v>0.45276774881772602</v>
      </c>
      <c r="I30" s="24">
        <f t="shared" si="3"/>
        <v>-0.57867709020075164</v>
      </c>
    </row>
    <row r="31" spans="1:43" x14ac:dyDescent="0.15">
      <c r="A31" s="18" t="s">
        <v>27</v>
      </c>
      <c r="B31" s="17">
        <v>141398046799</v>
      </c>
      <c r="C31" s="17">
        <v>296697348350</v>
      </c>
      <c r="D31" s="17">
        <v>320077470557</v>
      </c>
      <c r="E31" s="24">
        <f t="shared" si="0"/>
        <v>1.0751768274455244E-3</v>
      </c>
      <c r="F31" s="24">
        <f t="shared" si="1"/>
        <v>1.6646280509022373E-3</v>
      </c>
      <c r="G31" s="24">
        <f t="shared" si="2"/>
        <v>1.87909997563203E-3</v>
      </c>
      <c r="H31" s="24">
        <f t="shared" si="4"/>
        <v>1.09831291921423</v>
      </c>
      <c r="I31" s="24">
        <f t="shared" si="3"/>
        <v>7.8801250961702429E-2</v>
      </c>
    </row>
    <row r="32" spans="1:43" x14ac:dyDescent="0.15">
      <c r="A32" s="18" t="s">
        <v>28</v>
      </c>
      <c r="B32" s="17">
        <v>2357338685110</v>
      </c>
      <c r="C32" s="17">
        <v>3335690250424</v>
      </c>
      <c r="D32" s="17">
        <v>1117646951943</v>
      </c>
      <c r="E32" s="24">
        <f t="shared" si="0"/>
        <v>1.7924971285311269E-2</v>
      </c>
      <c r="F32" s="24">
        <f t="shared" si="1"/>
        <v>1.8714975347291132E-2</v>
      </c>
      <c r="G32" s="24">
        <f t="shared" si="2"/>
        <v>6.5614438795288518E-3</v>
      </c>
      <c r="H32" s="24">
        <f t="shared" si="4"/>
        <v>0.41502376026563503</v>
      </c>
      <c r="I32" s="24">
        <f t="shared" si="3"/>
        <v>-0.66494282501172408</v>
      </c>
    </row>
    <row r="33" spans="1:43" x14ac:dyDescent="0.15">
      <c r="A33" s="18" t="s">
        <v>29</v>
      </c>
      <c r="B33" s="17">
        <v>13816802000</v>
      </c>
      <c r="C33" s="17">
        <v>17769142467</v>
      </c>
      <c r="D33" s="17">
        <v>100170236943</v>
      </c>
      <c r="E33" s="24">
        <f t="shared" si="0"/>
        <v>1.0506160216569581E-4</v>
      </c>
      <c r="F33" s="24">
        <f t="shared" si="1"/>
        <v>9.9694227655022395E-5</v>
      </c>
      <c r="G33" s="24">
        <f t="shared" si="2"/>
        <v>5.8807603506453492E-4</v>
      </c>
      <c r="H33" s="24">
        <f t="shared" si="4"/>
        <v>0.28605320297707099</v>
      </c>
      <c r="I33" s="24">
        <f t="shared" si="3"/>
        <v>4.6373140757372715</v>
      </c>
    </row>
    <row r="34" spans="1:43" x14ac:dyDescent="0.15">
      <c r="A34" s="18" t="s">
        <v>30</v>
      </c>
      <c r="B34" s="17">
        <v>0</v>
      </c>
      <c r="C34" s="17">
        <v>0</v>
      </c>
      <c r="D34" s="17">
        <v>0</v>
      </c>
      <c r="E34" s="24">
        <f t="shared" si="0"/>
        <v>0</v>
      </c>
      <c r="F34" s="24">
        <f t="shared" si="1"/>
        <v>0</v>
      </c>
      <c r="G34" s="24">
        <f t="shared" si="2"/>
        <v>0</v>
      </c>
      <c r="H34" s="24">
        <v>0</v>
      </c>
      <c r="I34" s="24">
        <v>0</v>
      </c>
    </row>
    <row r="35" spans="1:43" x14ac:dyDescent="0.15">
      <c r="A35" s="18" t="s">
        <v>26</v>
      </c>
      <c r="B35" s="17">
        <v>0</v>
      </c>
      <c r="C35" s="17">
        <v>-22097815712253</v>
      </c>
      <c r="D35" s="17">
        <v>0</v>
      </c>
      <c r="E35" s="24">
        <f t="shared" si="0"/>
        <v>0</v>
      </c>
      <c r="F35" s="24">
        <f t="shared" si="1"/>
        <v>-0.1239803594567061</v>
      </c>
      <c r="G35" s="24">
        <f t="shared" si="2"/>
        <v>0</v>
      </c>
      <c r="H35" s="24">
        <v>0</v>
      </c>
      <c r="I35" s="24">
        <v>0</v>
      </c>
    </row>
    <row r="36" spans="1:43" x14ac:dyDescent="0.15">
      <c r="A36" s="16" t="s">
        <v>31</v>
      </c>
      <c r="B36" s="16">
        <v>74764176191827</v>
      </c>
      <c r="C36" s="16">
        <v>84081562709945</v>
      </c>
      <c r="D36" s="16">
        <v>89820810782676</v>
      </c>
      <c r="E36" s="24">
        <f t="shared" si="0"/>
        <v>0.56849943534775371</v>
      </c>
      <c r="F36" s="24">
        <f t="shared" si="1"/>
        <v>0.47174175512199179</v>
      </c>
      <c r="G36" s="24">
        <f t="shared" si="2"/>
        <v>0.52731697441641268</v>
      </c>
      <c r="H36" s="24">
        <f t="shared" si="4"/>
        <v>0.12462367664176241</v>
      </c>
      <c r="I36" s="24">
        <f t="shared" si="3"/>
        <v>6.8258104247296211E-2</v>
      </c>
    </row>
    <row r="37" spans="1:43" x14ac:dyDescent="0.15">
      <c r="A37" s="16" t="s">
        <v>32</v>
      </c>
      <c r="B37" s="16">
        <v>305165547431</v>
      </c>
      <c r="C37" s="16">
        <v>809234947969</v>
      </c>
      <c r="D37" s="16">
        <v>894484456379</v>
      </c>
      <c r="E37" s="24">
        <f t="shared" si="0"/>
        <v>2.3204487795998306E-3</v>
      </c>
      <c r="F37" s="24">
        <f t="shared" si="1"/>
        <v>4.5402333443524011E-3</v>
      </c>
      <c r="G37" s="24">
        <f t="shared" si="2"/>
        <v>5.2513090573354923E-3</v>
      </c>
      <c r="H37" s="24">
        <f t="shared" si="4"/>
        <v>1.651790003103065</v>
      </c>
      <c r="I37" s="24">
        <f t="shared" si="3"/>
        <v>0.10534580670787555</v>
      </c>
    </row>
    <row r="38" spans="1:43" x14ac:dyDescent="0.15">
      <c r="A38" s="18" t="s">
        <v>33</v>
      </c>
      <c r="B38" s="17">
        <v>0</v>
      </c>
      <c r="C38" s="17">
        <v>0</v>
      </c>
      <c r="D38" s="17">
        <v>0</v>
      </c>
      <c r="E38" s="24">
        <f t="shared" si="0"/>
        <v>0</v>
      </c>
      <c r="F38" s="24">
        <f t="shared" si="1"/>
        <v>0</v>
      </c>
      <c r="G38" s="24">
        <f t="shared" si="2"/>
        <v>0</v>
      </c>
      <c r="H38" s="24">
        <v>0</v>
      </c>
      <c r="I38" s="24">
        <v>0</v>
      </c>
    </row>
    <row r="39" spans="1:43" x14ac:dyDescent="0.15">
      <c r="A39" s="18" t="s">
        <v>34</v>
      </c>
      <c r="B39" s="17">
        <v>0</v>
      </c>
      <c r="C39" s="17">
        <v>0</v>
      </c>
      <c r="D39" s="17">
        <v>0</v>
      </c>
      <c r="E39" s="24">
        <f t="shared" si="0"/>
        <v>0</v>
      </c>
      <c r="F39" s="24">
        <f t="shared" si="1"/>
        <v>0</v>
      </c>
      <c r="G39" s="24">
        <f t="shared" si="2"/>
        <v>0</v>
      </c>
      <c r="H39" s="24">
        <v>0</v>
      </c>
      <c r="I39" s="24">
        <v>0</v>
      </c>
    </row>
    <row r="40" spans="1:43" x14ac:dyDescent="0.15">
      <c r="A40" s="18" t="s">
        <v>35</v>
      </c>
      <c r="B40" s="17">
        <v>0</v>
      </c>
      <c r="C40" s="17">
        <v>0</v>
      </c>
      <c r="D40" s="17">
        <v>0</v>
      </c>
      <c r="E40" s="24">
        <f t="shared" si="0"/>
        <v>0</v>
      </c>
      <c r="F40" s="24">
        <f t="shared" si="1"/>
        <v>0</v>
      </c>
      <c r="G40" s="24">
        <f t="shared" si="2"/>
        <v>0</v>
      </c>
      <c r="H40" s="24">
        <v>0</v>
      </c>
      <c r="I40" s="24">
        <v>0</v>
      </c>
    </row>
    <row r="41" spans="1:43" x14ac:dyDescent="0.15">
      <c r="A41" s="18" t="s">
        <v>36</v>
      </c>
      <c r="B41" s="17">
        <v>0</v>
      </c>
      <c r="C41" s="17">
        <v>0</v>
      </c>
      <c r="D41" s="17">
        <v>0</v>
      </c>
      <c r="E41" s="24">
        <f t="shared" si="0"/>
        <v>0</v>
      </c>
      <c r="F41" s="24">
        <f t="shared" si="1"/>
        <v>0</v>
      </c>
      <c r="G41" s="24">
        <f t="shared" si="2"/>
        <v>0</v>
      </c>
      <c r="H41" s="24">
        <v>0</v>
      </c>
      <c r="I41" s="24">
        <v>0</v>
      </c>
    </row>
    <row r="42" spans="1:43" x14ac:dyDescent="0.15">
      <c r="A42" s="18" t="s">
        <v>37</v>
      </c>
      <c r="B42" s="17">
        <v>96007238800</v>
      </c>
      <c r="C42" s="17">
        <v>118401369280</v>
      </c>
      <c r="D42" s="17">
        <v>101693561714</v>
      </c>
      <c r="E42" s="24">
        <f t="shared" si="0"/>
        <v>7.300295920743856E-4</v>
      </c>
      <c r="F42" s="24">
        <f t="shared" si="1"/>
        <v>6.6429390644981293E-4</v>
      </c>
      <c r="G42" s="24">
        <f t="shared" si="2"/>
        <v>5.97019118547057E-4</v>
      </c>
      <c r="H42" s="24">
        <f t="shared" si="4"/>
        <v>0.23325460413095433</v>
      </c>
      <c r="I42" s="24">
        <f t="shared" si="3"/>
        <v>-0.14111160764102948</v>
      </c>
    </row>
    <row r="43" spans="1:43" ht="14" x14ac:dyDescent="0.15">
      <c r="A43" s="18" t="s">
        <v>38</v>
      </c>
      <c r="B43" s="17">
        <v>209158308631</v>
      </c>
      <c r="C43" s="17">
        <v>690833578689</v>
      </c>
      <c r="D43" s="17">
        <v>792790894665</v>
      </c>
      <c r="E43" s="24">
        <f t="shared" si="0"/>
        <v>1.5904191875254449E-3</v>
      </c>
      <c r="F43" s="24">
        <f t="shared" si="1"/>
        <v>3.8759394379025884E-3</v>
      </c>
      <c r="G43" s="24">
        <f t="shared" si="2"/>
        <v>4.6542899387884348E-3</v>
      </c>
      <c r="H43" s="24">
        <f t="shared" si="4"/>
        <v>2.3029219982256515</v>
      </c>
      <c r="I43" s="24">
        <f t="shared" si="3"/>
        <v>0.14758592969595535</v>
      </c>
      <c r="AL43" s="40" t="s">
        <v>182</v>
      </c>
      <c r="AM43" s="41" t="s">
        <v>188</v>
      </c>
      <c r="AN43"/>
      <c r="AO43"/>
      <c r="AP43" t="s">
        <v>184</v>
      </c>
      <c r="AQ43" t="s">
        <v>185</v>
      </c>
    </row>
    <row r="44" spans="1:43" ht="14" x14ac:dyDescent="0.15">
      <c r="A44" s="18" t="s">
        <v>39</v>
      </c>
      <c r="B44" s="17">
        <v>0</v>
      </c>
      <c r="C44" s="17">
        <v>0</v>
      </c>
      <c r="D44" s="17">
        <v>0</v>
      </c>
      <c r="E44" s="24">
        <f t="shared" si="0"/>
        <v>0</v>
      </c>
      <c r="F44" s="24">
        <f t="shared" si="1"/>
        <v>0</v>
      </c>
      <c r="G44" s="24">
        <f t="shared" si="2"/>
        <v>0</v>
      </c>
      <c r="H44" s="24">
        <v>0</v>
      </c>
      <c r="I44" s="24">
        <v>0</v>
      </c>
      <c r="AL44" s="42">
        <v>2018</v>
      </c>
      <c r="AM44" s="39">
        <v>78.2</v>
      </c>
      <c r="AN44"/>
      <c r="AO44"/>
      <c r="AP44" s="47">
        <f>AM48-AM47</f>
        <v>-7.8999999999999773</v>
      </c>
      <c r="AQ44" s="46">
        <f>Table6121619[[#This Row],[Absolute change]]/AM47</f>
        <v>-4.433221099887754E-2</v>
      </c>
    </row>
    <row r="45" spans="1:43" ht="14" x14ac:dyDescent="0.15">
      <c r="A45" s="16" t="s">
        <v>40</v>
      </c>
      <c r="B45" s="16">
        <v>65561657180137</v>
      </c>
      <c r="C45" s="16">
        <v>69280841784004</v>
      </c>
      <c r="D45" s="16">
        <v>70832915657865</v>
      </c>
      <c r="E45" s="24">
        <f t="shared" si="0"/>
        <v>0.49852438675630495</v>
      </c>
      <c r="F45" s="24">
        <f t="shared" si="1"/>
        <v>0.38870193233991157</v>
      </c>
      <c r="G45" s="24">
        <f t="shared" si="2"/>
        <v>0.41584348268878446</v>
      </c>
      <c r="H45" s="24">
        <f t="shared" si="4"/>
        <v>5.6728044467335231E-2</v>
      </c>
      <c r="I45" s="24">
        <f t="shared" si="3"/>
        <v>2.2402641681229581E-2</v>
      </c>
      <c r="AL45" s="43">
        <v>2019</v>
      </c>
      <c r="AM45" s="39">
        <v>101.8</v>
      </c>
      <c r="AN45"/>
      <c r="AO45"/>
      <c r="AP45"/>
      <c r="AQ45"/>
    </row>
    <row r="46" spans="1:43" ht="14" x14ac:dyDescent="0.15">
      <c r="A46" s="18" t="s">
        <v>41</v>
      </c>
      <c r="B46" s="17">
        <v>65307819877543</v>
      </c>
      <c r="C46" s="17">
        <v>68744125939109</v>
      </c>
      <c r="D46" s="17">
        <v>70199153681536</v>
      </c>
      <c r="E46" s="24">
        <f t="shared" si="0"/>
        <v>0.49659423289726112</v>
      </c>
      <c r="F46" s="24">
        <f t="shared" si="1"/>
        <v>0.38569067438380078</v>
      </c>
      <c r="G46" s="24">
        <f t="shared" si="2"/>
        <v>0.41212281433870063</v>
      </c>
      <c r="H46" s="24">
        <f t="shared" si="4"/>
        <v>5.2617068951456784E-2</v>
      </c>
      <c r="I46" s="24">
        <f t="shared" si="3"/>
        <v>2.1165848318673942E-2</v>
      </c>
      <c r="AL46" s="44">
        <v>2020</v>
      </c>
      <c r="AM46" s="39">
        <v>131.5</v>
      </c>
      <c r="AN46"/>
      <c r="AO46"/>
      <c r="AP46" s="38" t="s">
        <v>182</v>
      </c>
      <c r="AQ46" s="41" t="s">
        <v>188</v>
      </c>
    </row>
    <row r="47" spans="1:43" ht="14" x14ac:dyDescent="0.15">
      <c r="A47" s="19" t="s">
        <v>42</v>
      </c>
      <c r="B47" s="17">
        <v>82616601097978</v>
      </c>
      <c r="C47" s="17">
        <v>91026106008677</v>
      </c>
      <c r="D47" s="17">
        <v>98976369133844</v>
      </c>
      <c r="E47" s="24">
        <f t="shared" si="0"/>
        <v>0.62820850127531336</v>
      </c>
      <c r="F47" s="24">
        <f t="shared" si="1"/>
        <v>0.51070429267098782</v>
      </c>
      <c r="G47" s="24">
        <f t="shared" si="2"/>
        <v>0.58106711635748265</v>
      </c>
      <c r="H47" s="24">
        <f t="shared" si="4"/>
        <v>0.10178952896798388</v>
      </c>
      <c r="I47" s="24">
        <f t="shared" si="3"/>
        <v>8.7340472681640871E-2</v>
      </c>
      <c r="AL47" s="41">
        <v>2021</v>
      </c>
      <c r="AM47" s="39">
        <v>178.2</v>
      </c>
      <c r="AN47"/>
      <c r="AO47"/>
      <c r="AP47" s="39">
        <v>2021</v>
      </c>
      <c r="AQ47" s="39">
        <v>7.9</v>
      </c>
    </row>
    <row r="48" spans="1:43" ht="14" x14ac:dyDescent="0.15">
      <c r="A48" s="19" t="s">
        <v>43</v>
      </c>
      <c r="B48" s="17">
        <v>-17308781220435</v>
      </c>
      <c r="C48" s="17">
        <v>-22281980069568</v>
      </c>
      <c r="D48" s="17">
        <v>-28777215452308</v>
      </c>
      <c r="E48" s="24">
        <f t="shared" si="0"/>
        <v>-0.13161426837805223</v>
      </c>
      <c r="F48" s="24">
        <f t="shared" si="1"/>
        <v>-0.1250136182871871</v>
      </c>
      <c r="G48" s="24">
        <f t="shared" si="2"/>
        <v>-0.16894430201878208</v>
      </c>
      <c r="H48" s="24">
        <f t="shared" si="4"/>
        <v>0.28732230107926771</v>
      </c>
      <c r="I48" s="24">
        <f t="shared" si="3"/>
        <v>0.29150171405148056</v>
      </c>
      <c r="AL48" s="45">
        <v>2022</v>
      </c>
      <c r="AM48" s="39">
        <v>170.3</v>
      </c>
      <c r="AN48"/>
      <c r="AO48"/>
      <c r="AP48" s="39">
        <v>2022</v>
      </c>
      <c r="AQ48" s="39">
        <v>170.3</v>
      </c>
    </row>
    <row r="49" spans="1:45" x14ac:dyDescent="0.15">
      <c r="A49" s="18" t="s">
        <v>44</v>
      </c>
      <c r="B49" s="17">
        <v>0</v>
      </c>
      <c r="C49" s="17">
        <v>0</v>
      </c>
      <c r="D49" s="17">
        <v>0</v>
      </c>
      <c r="E49" s="24">
        <f t="shared" si="0"/>
        <v>0</v>
      </c>
      <c r="F49" s="24">
        <f t="shared" si="1"/>
        <v>0</v>
      </c>
      <c r="G49" s="24">
        <f t="shared" si="2"/>
        <v>0</v>
      </c>
      <c r="H49" s="24">
        <v>0</v>
      </c>
      <c r="I49" s="24">
        <v>0</v>
      </c>
    </row>
    <row r="50" spans="1:45" x14ac:dyDescent="0.15">
      <c r="A50" s="19" t="s">
        <v>42</v>
      </c>
      <c r="B50" s="17">
        <v>0</v>
      </c>
      <c r="C50" s="17">
        <v>0</v>
      </c>
      <c r="D50" s="17">
        <v>0</v>
      </c>
      <c r="E50" s="24">
        <f t="shared" si="0"/>
        <v>0</v>
      </c>
      <c r="F50" s="24">
        <f t="shared" si="1"/>
        <v>0</v>
      </c>
      <c r="G50" s="24">
        <f t="shared" si="2"/>
        <v>0</v>
      </c>
      <c r="H50" s="24">
        <v>0</v>
      </c>
      <c r="I50" s="24">
        <v>0</v>
      </c>
    </row>
    <row r="51" spans="1:45" x14ac:dyDescent="0.15">
      <c r="A51" s="19" t="s">
        <v>43</v>
      </c>
      <c r="B51" s="17">
        <v>0</v>
      </c>
      <c r="C51" s="17">
        <v>0</v>
      </c>
      <c r="D51" s="17">
        <v>0</v>
      </c>
      <c r="E51" s="24">
        <f t="shared" si="0"/>
        <v>0</v>
      </c>
      <c r="F51" s="24">
        <f t="shared" si="1"/>
        <v>0</v>
      </c>
      <c r="G51" s="24">
        <f t="shared" si="2"/>
        <v>0</v>
      </c>
      <c r="H51" s="24">
        <v>0</v>
      </c>
      <c r="I51" s="24">
        <v>0</v>
      </c>
    </row>
    <row r="52" spans="1:45" x14ac:dyDescent="0.15">
      <c r="A52" s="18" t="s">
        <v>45</v>
      </c>
      <c r="B52" s="17">
        <v>253837302594</v>
      </c>
      <c r="C52" s="17">
        <v>536715844895</v>
      </c>
      <c r="D52" s="17">
        <v>633761976329</v>
      </c>
      <c r="E52" s="24">
        <f t="shared" si="0"/>
        <v>1.9301538590438057E-3</v>
      </c>
      <c r="F52" s="24">
        <f t="shared" si="1"/>
        <v>3.0112579561107876E-3</v>
      </c>
      <c r="G52" s="24">
        <f t="shared" si="2"/>
        <v>3.720668350083868E-3</v>
      </c>
      <c r="H52" s="24">
        <f t="shared" si="4"/>
        <v>1.1144088729679342</v>
      </c>
      <c r="I52" s="24">
        <f t="shared" si="3"/>
        <v>0.18081473158852901</v>
      </c>
    </row>
    <row r="53" spans="1:45" ht="14" x14ac:dyDescent="0.15">
      <c r="A53" s="19" t="s">
        <v>42</v>
      </c>
      <c r="B53" s="17">
        <v>342995279178</v>
      </c>
      <c r="C53" s="17">
        <v>618321659402</v>
      </c>
      <c r="D53" s="17">
        <v>744538077973</v>
      </c>
      <c r="E53" s="24">
        <f t="shared" si="0"/>
        <v>2.6081023355267598E-3</v>
      </c>
      <c r="F53" s="24">
        <f t="shared" si="1"/>
        <v>3.4691094627067581E-3</v>
      </c>
      <c r="G53" s="24">
        <f t="shared" si="2"/>
        <v>4.3710089364975635E-3</v>
      </c>
      <c r="H53" s="24">
        <f t="shared" si="4"/>
        <v>0.80271186496743963</v>
      </c>
      <c r="I53" s="24">
        <f t="shared" si="3"/>
        <v>0.20412744184486148</v>
      </c>
      <c r="AL53" s="40" t="s">
        <v>182</v>
      </c>
      <c r="AM53" s="41" t="s">
        <v>191</v>
      </c>
      <c r="AO53" s="49"/>
      <c r="AP53" t="s">
        <v>184</v>
      </c>
      <c r="AQ53" t="s">
        <v>185</v>
      </c>
      <c r="AR53" s="49"/>
      <c r="AS53" s="49"/>
    </row>
    <row r="54" spans="1:45" ht="14" x14ac:dyDescent="0.15">
      <c r="A54" s="19" t="s">
        <v>43</v>
      </c>
      <c r="B54" s="17">
        <v>-89157976584</v>
      </c>
      <c r="C54" s="17">
        <v>-81605814507</v>
      </c>
      <c r="D54" s="17">
        <v>-110776101644</v>
      </c>
      <c r="E54" s="24">
        <f t="shared" si="0"/>
        <v>-6.7794847648295394E-4</v>
      </c>
      <c r="F54" s="24">
        <f t="shared" si="1"/>
        <v>-4.5785150659597036E-4</v>
      </c>
      <c r="G54" s="24">
        <f t="shared" si="2"/>
        <v>-6.5034058641369528E-4</v>
      </c>
      <c r="H54" s="24">
        <f t="shared" si="4"/>
        <v>-8.470540008144696E-2</v>
      </c>
      <c r="I54" s="24">
        <f t="shared" si="3"/>
        <v>0.35745353824631976</v>
      </c>
      <c r="AL54" s="42">
        <v>2018</v>
      </c>
      <c r="AM54" s="39">
        <v>25.31</v>
      </c>
      <c r="AP54" s="47">
        <f>AM58-AM57</f>
        <v>-13.64</v>
      </c>
      <c r="AQ54" s="46">
        <f>Table612161930[[#This Row],[Absolute change]]/AM57</f>
        <v>-0.14487519915029209</v>
      </c>
    </row>
    <row r="55" spans="1:45" ht="13" x14ac:dyDescent="0.15">
      <c r="A55" s="16" t="s">
        <v>46</v>
      </c>
      <c r="B55" s="16">
        <v>564296973801</v>
      </c>
      <c r="C55" s="16">
        <v>548210755123</v>
      </c>
      <c r="D55" s="16">
        <v>629111776960</v>
      </c>
      <c r="E55" s="24">
        <f t="shared" si="0"/>
        <v>4.2908586346382281E-3</v>
      </c>
      <c r="F55" s="24">
        <f t="shared" si="1"/>
        <v>3.0757504435379402E-3</v>
      </c>
      <c r="G55" s="24">
        <f t="shared" si="2"/>
        <v>3.6933681170941302E-3</v>
      </c>
      <c r="H55" s="24">
        <f t="shared" si="4"/>
        <v>-2.8506654164111862E-2</v>
      </c>
      <c r="I55" s="24">
        <f t="shared" si="3"/>
        <v>0.1475728469041957</v>
      </c>
      <c r="AL55" s="43">
        <v>2019</v>
      </c>
      <c r="AM55" s="39">
        <v>30.44</v>
      </c>
      <c r="AP55" s="39"/>
      <c r="AQ55" s="39"/>
    </row>
    <row r="56" spans="1:45" ht="13" x14ac:dyDescent="0.15">
      <c r="A56" s="18" t="s">
        <v>42</v>
      </c>
      <c r="B56" s="17">
        <v>681931844756</v>
      </c>
      <c r="C56" s="17">
        <v>698820145314</v>
      </c>
      <c r="D56" s="17">
        <v>859667015615</v>
      </c>
      <c r="E56" s="24">
        <f>B56/$B$9</f>
        <v>5.1853426124130542E-3</v>
      </c>
      <c r="F56" s="24">
        <f t="shared" si="1"/>
        <v>3.9207482739380614E-3</v>
      </c>
      <c r="G56" s="24">
        <f t="shared" si="2"/>
        <v>5.0469040050918953E-3</v>
      </c>
      <c r="H56" s="24">
        <f t="shared" si="4"/>
        <v>2.4765378956665019E-2</v>
      </c>
      <c r="I56" s="24">
        <f t="shared" si="3"/>
        <v>0.23016919500614408</v>
      </c>
      <c r="AL56" s="44">
        <v>2020</v>
      </c>
      <c r="AM56" s="39">
        <v>56.75</v>
      </c>
      <c r="AP56" s="38" t="s">
        <v>182</v>
      </c>
      <c r="AQ56" s="41" t="s">
        <v>192</v>
      </c>
    </row>
    <row r="57" spans="1:45" ht="13" x14ac:dyDescent="0.15">
      <c r="A57" s="18" t="s">
        <v>43</v>
      </c>
      <c r="B57" s="17">
        <v>-117634870955</v>
      </c>
      <c r="C57" s="17">
        <v>-150609390191</v>
      </c>
      <c r="D57" s="17">
        <v>-230555238655</v>
      </c>
      <c r="E57" s="24">
        <f t="shared" si="0"/>
        <v>-8.9448397777482634E-4</v>
      </c>
      <c r="F57" s="24">
        <f t="shared" si="1"/>
        <v>-8.4499783040012085E-4</v>
      </c>
      <c r="G57" s="24">
        <f t="shared" si="2"/>
        <v>-1.3535358879977646E-3</v>
      </c>
      <c r="H57" s="24">
        <f t="shared" si="4"/>
        <v>0.28031245300225693</v>
      </c>
      <c r="I57" s="24">
        <f t="shared" si="3"/>
        <v>0.53081583002636279</v>
      </c>
      <c r="AL57" s="41">
        <v>2021</v>
      </c>
      <c r="AM57" s="39">
        <v>94.15</v>
      </c>
      <c r="AP57" s="39">
        <v>2021</v>
      </c>
      <c r="AQ57" s="39">
        <f>94.15-80.51</f>
        <v>13.64</v>
      </c>
    </row>
    <row r="58" spans="1:45" ht="13" x14ac:dyDescent="0.15">
      <c r="A58" s="16" t="s">
        <v>47</v>
      </c>
      <c r="B58" s="16">
        <v>6247213506994</v>
      </c>
      <c r="C58" s="16">
        <v>9698699397713</v>
      </c>
      <c r="D58" s="16">
        <v>13363274912355</v>
      </c>
      <c r="E58" s="24">
        <f t="shared" si="0"/>
        <v>4.7503196478893228E-2</v>
      </c>
      <c r="F58" s="24">
        <f t="shared" si="1"/>
        <v>5.4414800686578821E-2</v>
      </c>
      <c r="G58" s="24">
        <f t="shared" si="2"/>
        <v>7.8452661846122013E-2</v>
      </c>
      <c r="H58" s="24">
        <f t="shared" si="4"/>
        <v>0.55248406139071871</v>
      </c>
      <c r="I58" s="24">
        <f t="shared" si="3"/>
        <v>0.3778419522421867</v>
      </c>
      <c r="AL58" s="45">
        <v>2022</v>
      </c>
      <c r="AM58" s="39">
        <v>80.510000000000005</v>
      </c>
      <c r="AP58" s="39">
        <v>2022</v>
      </c>
      <c r="AQ58" s="39">
        <v>80.510000000000005</v>
      </c>
    </row>
    <row r="59" spans="1:45" x14ac:dyDescent="0.15">
      <c r="A59" s="18" t="s">
        <v>48</v>
      </c>
      <c r="B59" s="17">
        <v>918470731946</v>
      </c>
      <c r="C59" s="17">
        <v>1409414047105</v>
      </c>
      <c r="D59" s="17">
        <v>28953988212</v>
      </c>
      <c r="E59" s="24">
        <f t="shared" si="0"/>
        <v>6.9839610237264812E-3</v>
      </c>
      <c r="F59" s="24">
        <f t="shared" si="1"/>
        <v>7.9075535093053369E-3</v>
      </c>
      <c r="G59" s="24">
        <f t="shared" si="2"/>
        <v>1.6998209355047469E-4</v>
      </c>
      <c r="H59" s="24">
        <f t="shared" si="4"/>
        <v>0.53452254718973913</v>
      </c>
      <c r="I59" s="24">
        <f t="shared" si="3"/>
        <v>-0.97945671942785528</v>
      </c>
    </row>
    <row r="60" spans="1:45" x14ac:dyDescent="0.15">
      <c r="A60" s="18" t="s">
        <v>49</v>
      </c>
      <c r="B60" s="17">
        <v>0</v>
      </c>
      <c r="C60" s="17"/>
      <c r="D60" s="17">
        <v>0</v>
      </c>
      <c r="E60" s="24">
        <f t="shared" si="0"/>
        <v>0</v>
      </c>
      <c r="F60" s="24">
        <f t="shared" si="1"/>
        <v>0</v>
      </c>
      <c r="G60" s="24">
        <f t="shared" si="2"/>
        <v>0</v>
      </c>
      <c r="H60" s="24">
        <v>0</v>
      </c>
      <c r="I60" s="24">
        <v>0</v>
      </c>
    </row>
    <row r="61" spans="1:45" x14ac:dyDescent="0.15">
      <c r="A61" s="16" t="s">
        <v>50</v>
      </c>
      <c r="B61" s="16">
        <v>171085206311</v>
      </c>
      <c r="C61" s="16">
        <v>6715955617</v>
      </c>
      <c r="D61" s="16">
        <v>700000000</v>
      </c>
      <c r="E61" s="24">
        <f t="shared" si="0"/>
        <v>1.3009150657208718E-3</v>
      </c>
      <c r="F61" s="24">
        <f t="shared" si="1"/>
        <v>3.7680040522251751E-5</v>
      </c>
      <c r="G61" s="24">
        <f t="shared" si="2"/>
        <v>4.1095362964891257E-6</v>
      </c>
      <c r="H61" s="24">
        <f t="shared" si="4"/>
        <v>-0.96074496584589741</v>
      </c>
      <c r="I61" s="24">
        <f t="shared" si="3"/>
        <v>-0.8957706036311347</v>
      </c>
    </row>
    <row r="62" spans="1:45" x14ac:dyDescent="0.15">
      <c r="A62" s="18" t="s">
        <v>51</v>
      </c>
      <c r="B62" s="17">
        <v>0</v>
      </c>
      <c r="C62" s="17">
        <v>0</v>
      </c>
      <c r="D62" s="17">
        <v>0</v>
      </c>
      <c r="E62" s="24">
        <f t="shared" si="0"/>
        <v>0</v>
      </c>
      <c r="F62" s="24">
        <f t="shared" si="1"/>
        <v>0</v>
      </c>
      <c r="G62" s="24">
        <f t="shared" si="2"/>
        <v>0</v>
      </c>
      <c r="H62" s="24">
        <v>0</v>
      </c>
      <c r="I62" s="24">
        <v>0</v>
      </c>
    </row>
    <row r="63" spans="1:45" ht="14" x14ac:dyDescent="0.15">
      <c r="A63" s="18" t="s">
        <v>52</v>
      </c>
      <c r="B63" s="17">
        <v>385206311</v>
      </c>
      <c r="C63" s="17">
        <v>6015955617</v>
      </c>
      <c r="D63" s="17">
        <v>0</v>
      </c>
      <c r="E63" s="24">
        <f t="shared" si="0"/>
        <v>2.9290708658919258E-6</v>
      </c>
      <c r="F63" s="24">
        <f t="shared" si="1"/>
        <v>3.3752672643463069E-5</v>
      </c>
      <c r="G63" s="24">
        <f t="shared" si="2"/>
        <v>0</v>
      </c>
      <c r="H63" s="24">
        <f t="shared" si="4"/>
        <v>14.617489758624437</v>
      </c>
      <c r="I63" s="24">
        <f t="shared" si="3"/>
        <v>-1</v>
      </c>
      <c r="AL63" s="40" t="s">
        <v>182</v>
      </c>
      <c r="AM63" s="41" t="s">
        <v>193</v>
      </c>
      <c r="AP63" t="s">
        <v>184</v>
      </c>
      <c r="AQ63" t="s">
        <v>185</v>
      </c>
    </row>
    <row r="64" spans="1:45" ht="14" x14ac:dyDescent="0.15">
      <c r="A64" s="18" t="s">
        <v>53</v>
      </c>
      <c r="B64" s="17">
        <v>700000000</v>
      </c>
      <c r="C64" s="17">
        <v>700000000</v>
      </c>
      <c r="D64" s="17">
        <v>700000000</v>
      </c>
      <c r="E64" s="24">
        <f t="shared" si="0"/>
        <v>5.3227310861071228E-6</v>
      </c>
      <c r="F64" s="24">
        <f t="shared" si="1"/>
        <v>3.9273678787886821E-6</v>
      </c>
      <c r="G64" s="24">
        <f t="shared" si="2"/>
        <v>4.1095362964891257E-6</v>
      </c>
      <c r="H64" s="24">
        <f t="shared" si="4"/>
        <v>0</v>
      </c>
      <c r="I64" s="24">
        <f t="shared" si="3"/>
        <v>0</v>
      </c>
      <c r="AL64" s="42">
        <v>2018</v>
      </c>
      <c r="AM64" s="39">
        <v>52.91</v>
      </c>
      <c r="AP64" s="47">
        <f>AM68-AM67</f>
        <v>5.7399999999999949</v>
      </c>
      <c r="AQ64" s="46">
        <f>Table61216193033[[#This Row],[Absolute change]]/AM67</f>
        <v>6.8268315889628867E-2</v>
      </c>
    </row>
    <row r="65" spans="1:43" ht="13" x14ac:dyDescent="0.15">
      <c r="A65" s="18" t="s">
        <v>54</v>
      </c>
      <c r="B65" s="17">
        <v>0</v>
      </c>
      <c r="C65" s="17">
        <v>0</v>
      </c>
      <c r="D65" s="17">
        <v>0</v>
      </c>
      <c r="E65" s="24">
        <f t="shared" si="0"/>
        <v>0</v>
      </c>
      <c r="F65" s="24">
        <f t="shared" si="1"/>
        <v>0</v>
      </c>
      <c r="G65" s="24">
        <f t="shared" si="2"/>
        <v>0</v>
      </c>
      <c r="H65" s="24">
        <v>0</v>
      </c>
      <c r="I65" s="24">
        <v>0</v>
      </c>
      <c r="AL65" s="43">
        <v>2019</v>
      </c>
      <c r="AM65" s="39">
        <v>71.34</v>
      </c>
      <c r="AP65" s="39"/>
      <c r="AQ65" s="39"/>
    </row>
    <row r="66" spans="1:43" ht="13" x14ac:dyDescent="0.15">
      <c r="A66" s="18" t="s">
        <v>55</v>
      </c>
      <c r="B66" s="17">
        <v>170000000000</v>
      </c>
      <c r="C66" s="17">
        <v>0</v>
      </c>
      <c r="D66" s="17">
        <v>0</v>
      </c>
      <c r="E66" s="24">
        <f t="shared" si="0"/>
        <v>1.2926632637688727E-3</v>
      </c>
      <c r="F66" s="24">
        <f t="shared" si="1"/>
        <v>0</v>
      </c>
      <c r="G66" s="24">
        <f t="shared" si="2"/>
        <v>0</v>
      </c>
      <c r="H66" s="24">
        <f t="shared" si="4"/>
        <v>-1</v>
      </c>
      <c r="I66" s="24">
        <f>0</f>
        <v>0</v>
      </c>
      <c r="AL66" s="44">
        <v>2020</v>
      </c>
      <c r="AM66" s="39">
        <v>74.760000000000005</v>
      </c>
      <c r="AP66" s="38" t="s">
        <v>182</v>
      </c>
      <c r="AQ66" s="41" t="s">
        <v>194</v>
      </c>
    </row>
    <row r="67" spans="1:43" ht="13" x14ac:dyDescent="0.15">
      <c r="A67" s="16" t="s">
        <v>56</v>
      </c>
      <c r="B67" s="16">
        <v>1914757777153</v>
      </c>
      <c r="C67" s="16">
        <v>3737859869519</v>
      </c>
      <c r="D67" s="16">
        <v>4100323979117</v>
      </c>
      <c r="E67" s="24">
        <f t="shared" si="0"/>
        <v>1.4559629632596641E-2</v>
      </c>
      <c r="F67" s="24">
        <f t="shared" si="1"/>
        <v>2.0971358267088822E-2</v>
      </c>
      <c r="G67" s="24">
        <f t="shared" si="2"/>
        <v>2.4072043170780044E-2</v>
      </c>
      <c r="H67" s="24">
        <f t="shared" si="4"/>
        <v>0.95213196892022534</v>
      </c>
      <c r="I67" s="24">
        <f t="shared" si="3"/>
        <v>9.6971026804341665E-2</v>
      </c>
      <c r="AL67" s="41">
        <v>2021</v>
      </c>
      <c r="AM67" s="39">
        <v>84.08</v>
      </c>
      <c r="AP67" s="39">
        <v>2021</v>
      </c>
      <c r="AQ67" s="50">
        <v>84.08</v>
      </c>
    </row>
    <row r="68" spans="1:43" ht="13" x14ac:dyDescent="0.15">
      <c r="A68" s="18" t="s">
        <v>57</v>
      </c>
      <c r="B68" s="17">
        <v>1646094518464</v>
      </c>
      <c r="C68" s="17">
        <v>3171382188206</v>
      </c>
      <c r="D68" s="17">
        <v>3929243956403</v>
      </c>
      <c r="E68" s="24">
        <f t="shared" si="0"/>
        <v>1.2516740662998384E-2</v>
      </c>
      <c r="F68" s="24">
        <f t="shared" si="1"/>
        <v>1.7793120767604011E-2</v>
      </c>
      <c r="G68" s="24">
        <f t="shared" si="2"/>
        <v>2.3067672366569519E-2</v>
      </c>
      <c r="H68" s="24">
        <f t="shared" si="4"/>
        <v>0.92661001700271317</v>
      </c>
      <c r="I68" s="24">
        <f t="shared" si="3"/>
        <v>0.23896891740623361</v>
      </c>
      <c r="AL68" s="45">
        <v>2022</v>
      </c>
      <c r="AM68" s="39">
        <v>89.82</v>
      </c>
      <c r="AP68" s="39">
        <v>2022</v>
      </c>
      <c r="AQ68" s="39">
        <f>AM68-AM67</f>
        <v>5.7399999999999949</v>
      </c>
    </row>
    <row r="69" spans="1:43" x14ac:dyDescent="0.15">
      <c r="A69" s="18" t="s">
        <v>58</v>
      </c>
      <c r="B69" s="17">
        <v>225553308024</v>
      </c>
      <c r="C69" s="17">
        <v>529355730648</v>
      </c>
      <c r="D69" s="17">
        <v>83071062718</v>
      </c>
      <c r="E69" s="24">
        <f t="shared" si="0"/>
        <v>1.715085148848057E-3</v>
      </c>
      <c r="F69" s="24">
        <f t="shared" si="1"/>
        <v>2.969963847142384E-3</v>
      </c>
      <c r="G69" s="24">
        <f t="shared" si="2"/>
        <v>4.8769078203935085E-4</v>
      </c>
      <c r="H69" s="24">
        <f t="shared" si="4"/>
        <v>1.3469207137129371</v>
      </c>
      <c r="I69" s="24">
        <f t="shared" si="3"/>
        <v>-0.84307138298793849</v>
      </c>
    </row>
    <row r="70" spans="1:43" x14ac:dyDescent="0.15">
      <c r="A70" s="18" t="s">
        <v>59</v>
      </c>
      <c r="B70" s="17">
        <v>0</v>
      </c>
      <c r="C70" s="17">
        <v>0</v>
      </c>
      <c r="D70" s="17">
        <v>0</v>
      </c>
      <c r="E70" s="24">
        <f t="shared" si="0"/>
        <v>0</v>
      </c>
      <c r="F70" s="24">
        <f t="shared" si="1"/>
        <v>0</v>
      </c>
      <c r="G70" s="24">
        <f t="shared" si="2"/>
        <v>0</v>
      </c>
      <c r="H70" s="24">
        <v>0</v>
      </c>
      <c r="I70" s="24">
        <v>0</v>
      </c>
    </row>
    <row r="71" spans="1:43" x14ac:dyDescent="0.15">
      <c r="A71" s="18" t="s">
        <v>56</v>
      </c>
      <c r="B71" s="17">
        <v>0</v>
      </c>
      <c r="C71" s="17">
        <v>0</v>
      </c>
      <c r="D71" s="17">
        <v>0</v>
      </c>
      <c r="E71" s="24">
        <f t="shared" si="0"/>
        <v>0</v>
      </c>
      <c r="F71" s="24">
        <f t="shared" si="1"/>
        <v>0</v>
      </c>
      <c r="G71" s="24">
        <f t="shared" si="2"/>
        <v>0</v>
      </c>
      <c r="H71" s="24">
        <v>0</v>
      </c>
      <c r="I71" s="24">
        <v>0</v>
      </c>
    </row>
    <row r="72" spans="1:43" x14ac:dyDescent="0.15">
      <c r="A72" s="18" t="s">
        <v>60</v>
      </c>
      <c r="B72" s="17">
        <v>0</v>
      </c>
      <c r="C72" s="17"/>
      <c r="D72" s="17">
        <v>0</v>
      </c>
      <c r="E72" s="24">
        <f t="shared" si="0"/>
        <v>0</v>
      </c>
      <c r="F72" s="24">
        <f t="shared" si="1"/>
        <v>0</v>
      </c>
      <c r="G72" s="24">
        <f t="shared" si="2"/>
        <v>0</v>
      </c>
      <c r="H72" s="24">
        <v>0</v>
      </c>
      <c r="I72" s="24">
        <v>0</v>
      </c>
    </row>
    <row r="73" spans="1:43" ht="14" x14ac:dyDescent="0.15">
      <c r="A73" s="16" t="s">
        <v>61</v>
      </c>
      <c r="B73" s="16">
        <v>72291648082726</v>
      </c>
      <c r="C73" s="16">
        <v>87455796846810</v>
      </c>
      <c r="D73" s="16">
        <v>74222579892349</v>
      </c>
      <c r="E73" s="24"/>
      <c r="H73" s="24">
        <f t="shared" si="4"/>
        <v>0.2097634950406872</v>
      </c>
      <c r="I73" s="24">
        <f t="shared" si="3"/>
        <v>-0.15131320543154697</v>
      </c>
      <c r="AL73" s="40" t="s">
        <v>182</v>
      </c>
      <c r="AM73" s="41" t="s">
        <v>195</v>
      </c>
      <c r="AP73" t="s">
        <v>184</v>
      </c>
      <c r="AQ73" t="s">
        <v>185</v>
      </c>
    </row>
    <row r="74" spans="1:43" ht="14" x14ac:dyDescent="0.15">
      <c r="A74" s="16" t="s">
        <v>62</v>
      </c>
      <c r="B74" s="16">
        <v>51975217447498</v>
      </c>
      <c r="C74" s="16">
        <v>73459315876441</v>
      </c>
      <c r="D74" s="16">
        <v>62385390680685</v>
      </c>
      <c r="E74" s="24">
        <f>B74/$B$9</f>
        <v>0.39521443659282129</v>
      </c>
      <c r="F74" s="24">
        <f>C74/$C$9</f>
        <v>0.41214536795846551</v>
      </c>
      <c r="G74" s="24">
        <f>D74/$D$9</f>
        <v>0.36625003910418491</v>
      </c>
      <c r="H74" s="24">
        <f t="shared" si="4"/>
        <v>0.41335273778594278</v>
      </c>
      <c r="I74" s="24">
        <f t="shared" si="3"/>
        <v>-0.15074909238717124</v>
      </c>
      <c r="AL74" s="42">
        <v>2018</v>
      </c>
      <c r="AM74" s="39">
        <v>22.64</v>
      </c>
      <c r="AP74" s="47">
        <f>AM78-AM77</f>
        <v>-11.069999999999993</v>
      </c>
      <c r="AQ74" s="46">
        <f>(AM78-AM77)/AM77</f>
        <v>-0.15069425537707587</v>
      </c>
    </row>
    <row r="75" spans="1:43" ht="13" x14ac:dyDescent="0.15">
      <c r="A75" s="18" t="s">
        <v>63</v>
      </c>
      <c r="B75" s="17">
        <v>10915752723952</v>
      </c>
      <c r="C75" s="17">
        <v>23729142569420</v>
      </c>
      <c r="D75" s="17">
        <v>11107160795326</v>
      </c>
      <c r="E75" s="24">
        <f t="shared" ref="E75:E127" si="5">B75/$B$9</f>
        <v>8.3002309074339739E-2</v>
      </c>
      <c r="F75" s="24">
        <f t="shared" ref="F75:F127" si="6">C75/$C$9</f>
        <v>0.1331329604547675</v>
      </c>
      <c r="G75" s="24">
        <f t="shared" ref="G75:G127" si="7">D75/$D$9</f>
        <v>6.5207543484761751E-2</v>
      </c>
      <c r="H75" s="24">
        <f t="shared" si="4"/>
        <v>1.1738439088448835</v>
      </c>
      <c r="I75" s="24">
        <f t="shared" ref="I75:I128" si="8">(D75-C75)/C75</f>
        <v>-0.5319189994821002</v>
      </c>
      <c r="AL75" s="43">
        <v>2019</v>
      </c>
      <c r="AM75" s="39">
        <v>26.98</v>
      </c>
      <c r="AP75" s="39"/>
      <c r="AQ75" s="39"/>
    </row>
    <row r="76" spans="1:43" ht="13" x14ac:dyDescent="0.15">
      <c r="A76" s="18" t="s">
        <v>64</v>
      </c>
      <c r="B76" s="17">
        <v>1257272765123</v>
      </c>
      <c r="C76" s="17">
        <v>788002603134</v>
      </c>
      <c r="D76" s="17">
        <v>860793139245</v>
      </c>
      <c r="E76" s="24">
        <f t="shared" si="5"/>
        <v>9.5601783294800742E-3</v>
      </c>
      <c r="F76" s="24">
        <f t="shared" si="6"/>
        <v>4.4211087313576246E-3</v>
      </c>
      <c r="G76" s="24">
        <f t="shared" si="7"/>
        <v>5.0535152135659225E-3</v>
      </c>
      <c r="H76" s="24">
        <f t="shared" ref="H76:H128" si="9">(C76-B76)/B76</f>
        <v>-0.37324451384508511</v>
      </c>
      <c r="I76" s="24">
        <f t="shared" si="8"/>
        <v>9.2373471637658994E-2</v>
      </c>
      <c r="AL76" s="44">
        <v>2020</v>
      </c>
      <c r="AM76" s="39">
        <v>51.98</v>
      </c>
      <c r="AP76" s="38" t="s">
        <v>182</v>
      </c>
      <c r="AQ76" s="41" t="s">
        <v>195</v>
      </c>
    </row>
    <row r="77" spans="1:43" ht="13" x14ac:dyDescent="0.15">
      <c r="A77" s="18" t="s">
        <v>65</v>
      </c>
      <c r="B77" s="17">
        <v>548579261453</v>
      </c>
      <c r="C77" s="17">
        <v>796022241121</v>
      </c>
      <c r="D77" s="17">
        <v>648407591981</v>
      </c>
      <c r="E77" s="24">
        <f t="shared" si="5"/>
        <v>4.1713426973279573E-3</v>
      </c>
      <c r="F77" s="24">
        <f t="shared" si="6"/>
        <v>4.4661031151142783E-3</v>
      </c>
      <c r="G77" s="24">
        <f t="shared" si="7"/>
        <v>3.8066493345214726E-3</v>
      </c>
      <c r="H77" s="24">
        <f t="shared" si="9"/>
        <v>0.45106149111909127</v>
      </c>
      <c r="I77" s="24">
        <f t="shared" si="8"/>
        <v>-0.18544035771176615</v>
      </c>
      <c r="AL77" s="41">
        <v>2021</v>
      </c>
      <c r="AM77" s="39">
        <v>73.459999999999994</v>
      </c>
      <c r="AP77" s="39">
        <v>2021</v>
      </c>
      <c r="AQ77" s="50">
        <f>Table5111518273134[[#This Row],[Current Liabilities]]-AM78</f>
        <v>11.069999999999993</v>
      </c>
    </row>
    <row r="78" spans="1:43" ht="13" x14ac:dyDescent="0.15">
      <c r="A78" s="18" t="s">
        <v>66</v>
      </c>
      <c r="B78" s="17">
        <v>313099678402</v>
      </c>
      <c r="C78" s="17">
        <v>816457005628</v>
      </c>
      <c r="D78" s="17">
        <v>306208839467</v>
      </c>
      <c r="E78" s="24">
        <f t="shared" si="5"/>
        <v>2.380779130400669E-3</v>
      </c>
      <c r="F78" s="24">
        <f t="shared" si="6"/>
        <v>4.5807528833077104E-3</v>
      </c>
      <c r="G78" s="24">
        <f t="shared" si="7"/>
        <v>1.7976804858506406E-3</v>
      </c>
      <c r="H78" s="24">
        <f t="shared" si="9"/>
        <v>1.6076583974631917</v>
      </c>
      <c r="I78" s="24">
        <f t="shared" si="8"/>
        <v>-0.62495411594702266</v>
      </c>
      <c r="AL78" s="45">
        <v>2022</v>
      </c>
      <c r="AM78" s="39">
        <v>62.39</v>
      </c>
      <c r="AP78" s="39">
        <v>2022</v>
      </c>
      <c r="AQ78" s="50">
        <f>Table5111518273134[[#This Row],[Current Liabilities]]-AM79</f>
        <v>62.39</v>
      </c>
    </row>
    <row r="79" spans="1:43" x14ac:dyDescent="0.15">
      <c r="A79" s="18" t="s">
        <v>67</v>
      </c>
      <c r="B79" s="17">
        <v>640129684182</v>
      </c>
      <c r="C79" s="17">
        <v>772615123352</v>
      </c>
      <c r="D79" s="17">
        <v>460508546638</v>
      </c>
      <c r="E79" s="24">
        <f t="shared" si="5"/>
        <v>4.8674830987649517E-3</v>
      </c>
      <c r="F79" s="24">
        <f t="shared" si="6"/>
        <v>4.334776883027143E-3</v>
      </c>
      <c r="G79" s="24">
        <f t="shared" si="7"/>
        <v>2.7035379817890231E-3</v>
      </c>
      <c r="H79" s="24">
        <f t="shared" si="9"/>
        <v>0.20696656075135564</v>
      </c>
      <c r="I79" s="24">
        <f t="shared" si="8"/>
        <v>-0.40396125739801969</v>
      </c>
    </row>
    <row r="80" spans="1:43" x14ac:dyDescent="0.15">
      <c r="A80" s="18" t="s">
        <v>68</v>
      </c>
      <c r="B80" s="17">
        <v>0</v>
      </c>
      <c r="C80" s="17">
        <v>0</v>
      </c>
      <c r="D80" s="17">
        <v>0</v>
      </c>
      <c r="E80" s="24">
        <f t="shared" si="5"/>
        <v>0</v>
      </c>
      <c r="F80" s="24">
        <f t="shared" si="6"/>
        <v>0</v>
      </c>
      <c r="G80" s="24">
        <f t="shared" si="7"/>
        <v>0</v>
      </c>
      <c r="H80" s="24">
        <v>0</v>
      </c>
      <c r="I80" s="24">
        <v>0</v>
      </c>
      <c r="AC80" s="16"/>
      <c r="AD80" s="16"/>
      <c r="AE80" s="16"/>
      <c r="AF80" s="16"/>
      <c r="AG80" s="16"/>
    </row>
    <row r="81" spans="1:43" x14ac:dyDescent="0.15">
      <c r="A81" s="18" t="s">
        <v>69</v>
      </c>
      <c r="B81" s="17">
        <v>0</v>
      </c>
      <c r="C81" s="17">
        <v>0</v>
      </c>
      <c r="D81" s="17">
        <v>0</v>
      </c>
      <c r="E81" s="24">
        <f t="shared" si="5"/>
        <v>0</v>
      </c>
      <c r="F81" s="24">
        <f t="shared" si="6"/>
        <v>0</v>
      </c>
      <c r="G81" s="24">
        <f t="shared" si="7"/>
        <v>0</v>
      </c>
      <c r="H81" s="24">
        <v>0</v>
      </c>
      <c r="I81" s="24">
        <v>0</v>
      </c>
    </row>
    <row r="82" spans="1:43" x14ac:dyDescent="0.15">
      <c r="A82" s="18" t="s">
        <v>70</v>
      </c>
      <c r="B82" s="17">
        <v>34564307818</v>
      </c>
      <c r="C82" s="17">
        <v>16951911160</v>
      </c>
      <c r="D82" s="17">
        <v>16974936888</v>
      </c>
      <c r="E82" s="24">
        <f t="shared" si="5"/>
        <v>2.6282359384663438E-4</v>
      </c>
      <c r="F82" s="24">
        <f t="shared" si="6"/>
        <v>9.5109130534090549E-5</v>
      </c>
      <c r="G82" s="24">
        <f t="shared" si="7"/>
        <v>9.9655884674068804E-5</v>
      </c>
      <c r="H82" s="24">
        <f t="shared" si="9"/>
        <v>-0.50955444416069051</v>
      </c>
      <c r="I82" s="24">
        <f t="shared" si="8"/>
        <v>1.3582968777191256E-3</v>
      </c>
    </row>
    <row r="83" spans="1:43" ht="14" x14ac:dyDescent="0.15">
      <c r="A83" s="18" t="s">
        <v>71</v>
      </c>
      <c r="B83" s="17">
        <v>328061400351</v>
      </c>
      <c r="C83" s="17">
        <v>1047158508079</v>
      </c>
      <c r="D83" s="17">
        <v>418512269668</v>
      </c>
      <c r="E83" s="24">
        <f t="shared" si="5"/>
        <v>2.4945465911430029E-3</v>
      </c>
      <c r="F83" s="24">
        <f t="shared" si="6"/>
        <v>5.8751095551853472E-3</v>
      </c>
      <c r="G83" s="24">
        <f t="shared" si="7"/>
        <v>2.4569876610381299E-3</v>
      </c>
      <c r="H83" s="24">
        <f t="shared" si="9"/>
        <v>2.191958904517942</v>
      </c>
      <c r="I83" s="24">
        <f t="shared" si="8"/>
        <v>-0.60033532035588777</v>
      </c>
      <c r="AL83" s="40" t="s">
        <v>182</v>
      </c>
      <c r="AM83" s="41" t="s">
        <v>196</v>
      </c>
      <c r="AP83" t="s">
        <v>184</v>
      </c>
      <c r="AQ83" t="s">
        <v>185</v>
      </c>
    </row>
    <row r="84" spans="1:43" ht="14" x14ac:dyDescent="0.15">
      <c r="A84" s="18" t="s">
        <v>72</v>
      </c>
      <c r="B84" s="17">
        <v>36798465672104</v>
      </c>
      <c r="C84" s="17">
        <v>43747643082356</v>
      </c>
      <c r="D84" s="17">
        <v>46748670400471</v>
      </c>
      <c r="E84" s="24">
        <f t="shared" si="5"/>
        <v>0.27981191021993401</v>
      </c>
      <c r="F84" s="24">
        <f t="shared" si="6"/>
        <v>0.24544726887765264</v>
      </c>
      <c r="G84" s="24">
        <f t="shared" si="7"/>
        <v>0.27445051117620345</v>
      </c>
      <c r="H84" s="24">
        <f t="shared" si="9"/>
        <v>0.18884421628263698</v>
      </c>
      <c r="I84" s="24">
        <f t="shared" si="8"/>
        <v>6.8598605700094364E-2</v>
      </c>
      <c r="AL84" s="42">
        <v>2018</v>
      </c>
      <c r="AM84" s="39">
        <v>14.96</v>
      </c>
      <c r="AP84" s="47">
        <f>AM88-AM87</f>
        <v>-2.16</v>
      </c>
      <c r="AQ84" s="46">
        <f>(AM88-AM87)/AM87</f>
        <v>-0.1542857142857143</v>
      </c>
    </row>
    <row r="85" spans="1:43" ht="13" x14ac:dyDescent="0.15">
      <c r="A85" s="18" t="s">
        <v>73</v>
      </c>
      <c r="B85" s="17">
        <v>5846534626</v>
      </c>
      <c r="C85" s="17">
        <v>4755735476</v>
      </c>
      <c r="D85" s="17">
        <v>5198833687</v>
      </c>
      <c r="E85" s="24">
        <f t="shared" si="5"/>
        <v>4.4456473714016977E-5</v>
      </c>
      <c r="F85" s="24">
        <f t="shared" si="6"/>
        <v>2.6682175354940292E-5</v>
      </c>
      <c r="G85" s="24">
        <f t="shared" si="7"/>
        <v>3.0521136765909837E-5</v>
      </c>
      <c r="H85" s="24">
        <f t="shared" si="9"/>
        <v>-0.18657191306951817</v>
      </c>
      <c r="I85" s="24">
        <f t="shared" si="8"/>
        <v>9.3171332433461027E-2</v>
      </c>
      <c r="AL85" s="43">
        <v>2019</v>
      </c>
      <c r="AM85" s="39">
        <v>27.01</v>
      </c>
      <c r="AP85" s="39"/>
      <c r="AQ85" s="39"/>
    </row>
    <row r="86" spans="1:43" ht="13" x14ac:dyDescent="0.15">
      <c r="A86" s="18" t="s">
        <v>74</v>
      </c>
      <c r="B86" s="17">
        <v>1133445419487</v>
      </c>
      <c r="C86" s="17">
        <v>1740567096715</v>
      </c>
      <c r="D86" s="17">
        <v>1812955327314</v>
      </c>
      <c r="E86" s="24">
        <f t="shared" si="5"/>
        <v>8.6186073838702623E-3</v>
      </c>
      <c r="F86" s="24">
        <f t="shared" si="6"/>
        <v>9.7654961521642346E-3</v>
      </c>
      <c r="G86" s="24">
        <f t="shared" si="7"/>
        <v>1.064343674501458E-2</v>
      </c>
      <c r="H86" s="24">
        <f t="shared" si="9"/>
        <v>0.53564262274118557</v>
      </c>
      <c r="I86" s="24">
        <f t="shared" si="8"/>
        <v>4.1588876829637571E-2</v>
      </c>
      <c r="AL86" s="44">
        <v>2020</v>
      </c>
      <c r="AM86" s="39">
        <v>20.32</v>
      </c>
      <c r="AP86" s="38" t="s">
        <v>182</v>
      </c>
      <c r="AQ86" s="41" t="s">
        <v>196</v>
      </c>
    </row>
    <row r="87" spans="1:43" ht="13" x14ac:dyDescent="0.15">
      <c r="A87" s="18" t="s">
        <v>75</v>
      </c>
      <c r="B87" s="17">
        <v>0</v>
      </c>
      <c r="C87" s="17">
        <v>0</v>
      </c>
      <c r="D87" s="17">
        <v>0</v>
      </c>
      <c r="E87" s="24">
        <f t="shared" si="5"/>
        <v>0</v>
      </c>
      <c r="F87" s="24">
        <f t="shared" si="6"/>
        <v>0</v>
      </c>
      <c r="G87" s="24">
        <f t="shared" si="7"/>
        <v>0</v>
      </c>
      <c r="H87" s="24">
        <v>0</v>
      </c>
      <c r="I87" s="24">
        <v>0</v>
      </c>
      <c r="AL87" s="41">
        <v>2021</v>
      </c>
      <c r="AM87" s="39">
        <v>14</v>
      </c>
      <c r="AP87" s="39">
        <v>2021</v>
      </c>
      <c r="AQ87" s="50">
        <f>Table511151827313437[[#This Row],[Long-term Liabilities]]-AM88</f>
        <v>2.16</v>
      </c>
    </row>
    <row r="88" spans="1:43" ht="13" x14ac:dyDescent="0.15">
      <c r="A88" s="18" t="s">
        <v>30</v>
      </c>
      <c r="B88" s="17">
        <v>0</v>
      </c>
      <c r="C88" s="17">
        <v>0</v>
      </c>
      <c r="D88" s="17">
        <v>0</v>
      </c>
      <c r="E88" s="24">
        <f t="shared" si="5"/>
        <v>0</v>
      </c>
      <c r="F88" s="24">
        <f t="shared" si="6"/>
        <v>0</v>
      </c>
      <c r="G88" s="24">
        <f t="shared" si="7"/>
        <v>0</v>
      </c>
      <c r="H88" s="24">
        <v>0</v>
      </c>
      <c r="I88" s="24">
        <v>0</v>
      </c>
      <c r="AL88" s="45">
        <v>2022</v>
      </c>
      <c r="AM88" s="39">
        <v>11.84</v>
      </c>
      <c r="AP88" s="39">
        <v>2022</v>
      </c>
      <c r="AQ88" s="50">
        <f>Table511151827313437[[#This Row],[Long-term Liabilities]]-AM89</f>
        <v>11.84</v>
      </c>
    </row>
    <row r="89" spans="1:43" x14ac:dyDescent="0.15">
      <c r="A89" s="16" t="s">
        <v>76</v>
      </c>
      <c r="B89" s="16">
        <v>20316430635228</v>
      </c>
      <c r="C89" s="16">
        <v>13996480970369</v>
      </c>
      <c r="D89" s="16">
        <v>11837189211664</v>
      </c>
      <c r="E89" s="24">
        <f t="shared" si="5"/>
        <v>0.15448413842981024</v>
      </c>
      <c r="F89" s="24">
        <f t="shared" si="6"/>
        <v>7.852761397014893E-2</v>
      </c>
      <c r="G89" s="24">
        <f t="shared" si="7"/>
        <v>6.9493369591061005E-2</v>
      </c>
      <c r="H89" s="24">
        <f t="shared" si="9"/>
        <v>-0.31107578778628675</v>
      </c>
      <c r="I89" s="24">
        <f t="shared" si="8"/>
        <v>-0.15427390379598202</v>
      </c>
    </row>
    <row r="90" spans="1:43" x14ac:dyDescent="0.15">
      <c r="A90" s="18" t="s">
        <v>77</v>
      </c>
      <c r="B90" s="17">
        <v>2637987658239</v>
      </c>
      <c r="C90" s="17">
        <v>0</v>
      </c>
      <c r="D90" s="17">
        <v>0</v>
      </c>
      <c r="E90" s="24">
        <f t="shared" si="5"/>
        <v>2.0058998447536655E-2</v>
      </c>
      <c r="F90" s="24">
        <f t="shared" si="6"/>
        <v>0</v>
      </c>
      <c r="G90" s="24">
        <f t="shared" si="7"/>
        <v>0</v>
      </c>
      <c r="H90" s="24">
        <f t="shared" si="9"/>
        <v>-1</v>
      </c>
      <c r="I90" s="24">
        <v>0</v>
      </c>
      <c r="AL90" s="16"/>
      <c r="AM90" s="16"/>
      <c r="AN90" s="16"/>
      <c r="AO90" s="16"/>
      <c r="AP90" s="16"/>
      <c r="AQ90" s="16"/>
    </row>
    <row r="91" spans="1:43" x14ac:dyDescent="0.15">
      <c r="A91" s="18" t="s">
        <v>78</v>
      </c>
      <c r="B91" s="17">
        <v>0</v>
      </c>
      <c r="C91" s="17">
        <v>0</v>
      </c>
      <c r="D91" s="17">
        <v>0</v>
      </c>
      <c r="E91" s="24">
        <f t="shared" si="5"/>
        <v>0</v>
      </c>
      <c r="F91" s="24">
        <f t="shared" si="6"/>
        <v>0</v>
      </c>
      <c r="G91" s="24">
        <f t="shared" si="7"/>
        <v>0</v>
      </c>
      <c r="H91" s="24">
        <v>0</v>
      </c>
      <c r="I91" s="24">
        <v>0</v>
      </c>
    </row>
    <row r="92" spans="1:43" x14ac:dyDescent="0.15">
      <c r="A92" s="18" t="s">
        <v>79</v>
      </c>
      <c r="B92" s="17">
        <v>223664493846</v>
      </c>
      <c r="C92" s="17">
        <v>410407940262</v>
      </c>
      <c r="D92" s="17">
        <v>531620146455</v>
      </c>
      <c r="E92" s="24">
        <f t="shared" si="5"/>
        <v>1.7007227917893136E-3</v>
      </c>
      <c r="F92" s="24">
        <f t="shared" si="6"/>
        <v>2.3026042311211472E-3</v>
      </c>
      <c r="G92" s="24">
        <f t="shared" si="7"/>
        <v>3.1210175540024106E-3</v>
      </c>
      <c r="H92" s="24">
        <f t="shared" si="9"/>
        <v>0.8349266493079528</v>
      </c>
      <c r="I92" s="24">
        <f t="shared" si="8"/>
        <v>0.29534566537776885</v>
      </c>
    </row>
    <row r="93" spans="1:43" ht="14" x14ac:dyDescent="0.15">
      <c r="A93" s="18" t="s">
        <v>80</v>
      </c>
      <c r="B93" s="17">
        <v>0</v>
      </c>
      <c r="C93" s="17">
        <v>0</v>
      </c>
      <c r="D93" s="17">
        <v>0</v>
      </c>
      <c r="E93" s="24">
        <f t="shared" si="5"/>
        <v>0</v>
      </c>
      <c r="F93" s="24">
        <f t="shared" si="6"/>
        <v>0</v>
      </c>
      <c r="G93" s="24">
        <f t="shared" si="7"/>
        <v>0</v>
      </c>
      <c r="H93" s="24">
        <v>0</v>
      </c>
      <c r="I93" s="24">
        <v>0</v>
      </c>
      <c r="AL93" s="40" t="s">
        <v>182</v>
      </c>
      <c r="AM93" s="41" t="s">
        <v>197</v>
      </c>
      <c r="AP93" t="s">
        <v>184</v>
      </c>
      <c r="AQ93" t="s">
        <v>185</v>
      </c>
    </row>
    <row r="94" spans="1:43" ht="14" x14ac:dyDescent="0.15">
      <c r="A94" s="18" t="s">
        <v>81</v>
      </c>
      <c r="B94" s="17">
        <v>0</v>
      </c>
      <c r="C94" s="17">
        <v>0</v>
      </c>
      <c r="D94" s="17">
        <v>0</v>
      </c>
      <c r="E94" s="24">
        <f t="shared" si="5"/>
        <v>0</v>
      </c>
      <c r="F94" s="24">
        <f t="shared" si="6"/>
        <v>0</v>
      </c>
      <c r="G94" s="24">
        <f t="shared" si="7"/>
        <v>0</v>
      </c>
      <c r="H94" s="24">
        <v>0</v>
      </c>
      <c r="I94" s="24">
        <v>0</v>
      </c>
      <c r="AL94" s="42">
        <v>2018</v>
      </c>
      <c r="AM94" s="39">
        <v>40.619999999999997</v>
      </c>
      <c r="AP94" s="47">
        <f>AM98-AM97</f>
        <v>5.3299999999999983</v>
      </c>
      <c r="AQ94" s="46">
        <f>(AM98-AM97)/AM97</f>
        <v>5.8713372989645275E-2</v>
      </c>
    </row>
    <row r="95" spans="1:43" ht="13" x14ac:dyDescent="0.15">
      <c r="A95" s="18" t="s">
        <v>82</v>
      </c>
      <c r="B95" s="17">
        <v>16127650192</v>
      </c>
      <c r="C95" s="17">
        <v>8803217550</v>
      </c>
      <c r="D95" s="17">
        <v>4109316288</v>
      </c>
      <c r="E95" s="24">
        <f t="shared" si="5"/>
        <v>1.2263306431831416E-4</v>
      </c>
      <c r="F95" s="24">
        <f t="shared" si="6"/>
        <v>4.9390676908369716E-5</v>
      </c>
      <c r="G95" s="24">
        <f t="shared" si="7"/>
        <v>2.4124834913271374E-5</v>
      </c>
      <c r="H95" s="24">
        <f t="shared" si="9"/>
        <v>-0.45415373937321818</v>
      </c>
      <c r="I95" s="24">
        <f t="shared" si="8"/>
        <v>-0.53320291533633635</v>
      </c>
      <c r="AL95" s="43">
        <v>2019</v>
      </c>
      <c r="AM95" s="39">
        <v>47.79</v>
      </c>
      <c r="AP95" s="39"/>
      <c r="AQ95" s="39"/>
    </row>
    <row r="96" spans="1:43" ht="13" x14ac:dyDescent="0.15">
      <c r="A96" s="18" t="s">
        <v>83</v>
      </c>
      <c r="B96" s="17">
        <v>68736086170</v>
      </c>
      <c r="C96" s="17">
        <v>63027061241</v>
      </c>
      <c r="D96" s="17">
        <v>61033120562</v>
      </c>
      <c r="E96" s="24">
        <f t="shared" si="5"/>
        <v>5.2266243227770985E-4</v>
      </c>
      <c r="F96" s="24">
        <f t="shared" si="6"/>
        <v>3.536149368747865E-4</v>
      </c>
      <c r="G96" s="24">
        <f t="shared" si="7"/>
        <v>3.5831117748219397E-4</v>
      </c>
      <c r="H96" s="24">
        <f t="shared" si="9"/>
        <v>-8.3057171961759366E-2</v>
      </c>
      <c r="I96" s="24">
        <f t="shared" si="8"/>
        <v>-3.1636262896276579E-2</v>
      </c>
      <c r="AL96" s="44">
        <v>2020</v>
      </c>
      <c r="AM96" s="39">
        <v>59.22</v>
      </c>
      <c r="AP96" s="38" t="s">
        <v>182</v>
      </c>
      <c r="AQ96" s="41" t="s">
        <v>196</v>
      </c>
    </row>
    <row r="97" spans="1:43" ht="13" x14ac:dyDescent="0.15">
      <c r="A97" s="18" t="s">
        <v>84</v>
      </c>
      <c r="B97" s="17">
        <v>17343247551512</v>
      </c>
      <c r="C97" s="17">
        <v>13464931998700</v>
      </c>
      <c r="D97" s="17">
        <v>11151651204402</v>
      </c>
      <c r="E97" s="24">
        <f t="shared" si="5"/>
        <v>0.13187634696640596</v>
      </c>
      <c r="F97" s="24">
        <f t="shared" si="6"/>
        <v>7.5545344888240384E-2</v>
      </c>
      <c r="G97" s="24">
        <f t="shared" si="7"/>
        <v>6.5468736271823841E-2</v>
      </c>
      <c r="H97" s="24">
        <f t="shared" si="9"/>
        <v>-0.22362106873541598</v>
      </c>
      <c r="I97" s="24">
        <f t="shared" si="8"/>
        <v>-0.17180040675447456</v>
      </c>
      <c r="AL97" s="41">
        <v>2021</v>
      </c>
      <c r="AM97" s="39">
        <v>90.78</v>
      </c>
      <c r="AP97" s="39">
        <v>2021</v>
      </c>
      <c r="AQ97" s="50">
        <v>90.78</v>
      </c>
    </row>
    <row r="98" spans="1:43" ht="13" x14ac:dyDescent="0.15">
      <c r="A98" s="18" t="s">
        <v>85</v>
      </c>
      <c r="B98" s="17">
        <v>0</v>
      </c>
      <c r="C98" s="17">
        <v>0</v>
      </c>
      <c r="D98" s="17">
        <v>0</v>
      </c>
      <c r="E98" s="24">
        <f t="shared" si="5"/>
        <v>0</v>
      </c>
      <c r="F98" s="24">
        <f t="shared" si="6"/>
        <v>0</v>
      </c>
      <c r="G98" s="24">
        <f t="shared" si="7"/>
        <v>0</v>
      </c>
      <c r="H98" s="24">
        <v>0</v>
      </c>
      <c r="I98" s="24">
        <v>0</v>
      </c>
      <c r="AL98" s="45">
        <v>2022</v>
      </c>
      <c r="AM98" s="39">
        <v>96.11</v>
      </c>
      <c r="AP98" s="39">
        <v>2022</v>
      </c>
      <c r="AQ98" s="50">
        <f>Table51115182731343741[[#This Row],[Owner''s Equity]]-AM97</f>
        <v>5.3299999999999983</v>
      </c>
    </row>
    <row r="99" spans="1:43" x14ac:dyDescent="0.15">
      <c r="A99" s="18" t="s">
        <v>86</v>
      </c>
      <c r="B99" s="17"/>
      <c r="C99" s="17"/>
      <c r="D99" s="17"/>
      <c r="E99" s="24">
        <f t="shared" si="5"/>
        <v>0</v>
      </c>
      <c r="F99" s="24">
        <f t="shared" si="6"/>
        <v>0</v>
      </c>
      <c r="G99" s="24">
        <f t="shared" si="7"/>
        <v>0</v>
      </c>
      <c r="H99" s="24">
        <v>0</v>
      </c>
      <c r="I99" s="24">
        <v>0</v>
      </c>
    </row>
    <row r="100" spans="1:43" x14ac:dyDescent="0.15">
      <c r="A100" s="18" t="s">
        <v>87</v>
      </c>
      <c r="B100" s="17">
        <v>666262529</v>
      </c>
      <c r="C100" s="17">
        <v>0</v>
      </c>
      <c r="D100" s="17">
        <v>31207164756</v>
      </c>
      <c r="E100" s="24">
        <f t="shared" si="5"/>
        <v>5.0661946780237833E-6</v>
      </c>
      <c r="F100" s="24">
        <f t="shared" si="6"/>
        <v>0</v>
      </c>
      <c r="G100" s="24">
        <f t="shared" si="7"/>
        <v>1.8320996610756888E-4</v>
      </c>
      <c r="H100" s="24">
        <f t="shared" si="9"/>
        <v>-1</v>
      </c>
      <c r="I100" s="24">
        <v>0</v>
      </c>
      <c r="AL100" s="16"/>
      <c r="AM100" s="16"/>
      <c r="AN100" s="16"/>
      <c r="AO100" s="16"/>
      <c r="AP100" s="16"/>
    </row>
    <row r="101" spans="1:43" x14ac:dyDescent="0.15">
      <c r="A101" s="18" t="s">
        <v>88</v>
      </c>
      <c r="B101" s="17">
        <v>0</v>
      </c>
      <c r="C101" s="17"/>
      <c r="D101" s="17">
        <v>0</v>
      </c>
      <c r="E101" s="24">
        <f t="shared" si="5"/>
        <v>0</v>
      </c>
      <c r="F101" s="24">
        <f t="shared" si="6"/>
        <v>0</v>
      </c>
      <c r="G101" s="24">
        <f t="shared" si="7"/>
        <v>0</v>
      </c>
      <c r="H101" s="24">
        <v>0</v>
      </c>
      <c r="I101" s="24">
        <v>0</v>
      </c>
    </row>
    <row r="102" spans="1:43" x14ac:dyDescent="0.15">
      <c r="A102" s="18" t="s">
        <v>89</v>
      </c>
      <c r="B102" s="17">
        <v>26000932740</v>
      </c>
      <c r="C102" s="17">
        <v>49310752616</v>
      </c>
      <c r="D102" s="17">
        <v>57568259201</v>
      </c>
      <c r="E102" s="24">
        <f t="shared" si="5"/>
        <v>1.9770853280425492E-4</v>
      </c>
      <c r="F102" s="24">
        <f t="shared" si="6"/>
        <v>2.7665923700424767E-4</v>
      </c>
      <c r="G102" s="24">
        <f t="shared" si="7"/>
        <v>3.3796978673171941E-4</v>
      </c>
      <c r="H102" s="24">
        <f t="shared" si="9"/>
        <v>0.89649937212214026</v>
      </c>
      <c r="I102" s="24">
        <f t="shared" si="8"/>
        <v>0.16745853889726808</v>
      </c>
    </row>
    <row r="103" spans="1:43" x14ac:dyDescent="0.15">
      <c r="A103" s="18" t="s">
        <v>90</v>
      </c>
      <c r="B103" s="17">
        <v>0</v>
      </c>
      <c r="C103" s="17">
        <v>0</v>
      </c>
      <c r="D103" s="17">
        <v>0</v>
      </c>
      <c r="E103" s="24">
        <f t="shared" si="5"/>
        <v>0</v>
      </c>
      <c r="F103" s="24">
        <f t="shared" si="6"/>
        <v>0</v>
      </c>
      <c r="G103" s="24">
        <f t="shared" si="7"/>
        <v>0</v>
      </c>
      <c r="H103" s="24">
        <v>0</v>
      </c>
      <c r="I103" s="24">
        <v>0</v>
      </c>
    </row>
    <row r="104" spans="1:43" x14ac:dyDescent="0.15">
      <c r="A104" s="16" t="s">
        <v>91</v>
      </c>
      <c r="B104" s="16">
        <v>59219786306111</v>
      </c>
      <c r="C104" s="16">
        <v>90780625511439</v>
      </c>
      <c r="D104" s="16">
        <v>96112939615783</v>
      </c>
      <c r="E104" s="24">
        <f t="shared" si="5"/>
        <v>0.45030142497736847</v>
      </c>
      <c r="F104" s="24">
        <f t="shared" si="6"/>
        <v>0.50932701807138558</v>
      </c>
      <c r="G104" s="24">
        <f t="shared" si="7"/>
        <v>0.56425659130475403</v>
      </c>
      <c r="H104" s="24">
        <f t="shared" si="9"/>
        <v>0.53294415893681091</v>
      </c>
      <c r="I104" s="24">
        <f t="shared" si="8"/>
        <v>5.8738459603058041E-2</v>
      </c>
    </row>
    <row r="105" spans="1:43" x14ac:dyDescent="0.15">
      <c r="A105" s="16" t="s">
        <v>92</v>
      </c>
      <c r="B105" s="16">
        <v>59219786306111</v>
      </c>
      <c r="C105" s="16">
        <v>90780625511439</v>
      </c>
      <c r="D105" s="16">
        <v>96112939615783</v>
      </c>
      <c r="E105" s="24">
        <f t="shared" si="5"/>
        <v>0.45030142497736847</v>
      </c>
      <c r="F105" s="24">
        <f t="shared" si="6"/>
        <v>0.50932701807138558</v>
      </c>
      <c r="G105" s="24">
        <f t="shared" si="7"/>
        <v>0.56425659130475403</v>
      </c>
      <c r="H105" s="24">
        <f t="shared" si="9"/>
        <v>0.53294415893681091</v>
      </c>
      <c r="I105" s="24">
        <f t="shared" si="8"/>
        <v>5.8738459603058041E-2</v>
      </c>
    </row>
    <row r="106" spans="1:43" x14ac:dyDescent="0.15">
      <c r="A106" s="18" t="s">
        <v>93</v>
      </c>
      <c r="B106" s="17">
        <v>33132826590000</v>
      </c>
      <c r="C106" s="17">
        <v>44729227060000</v>
      </c>
      <c r="D106" s="17">
        <v>58147857000000</v>
      </c>
      <c r="E106" s="24">
        <f t="shared" si="5"/>
        <v>0.25193875151598522</v>
      </c>
      <c r="F106" s="24">
        <f t="shared" si="6"/>
        <v>0.25095447085498501</v>
      </c>
      <c r="G106" s="24">
        <f t="shared" si="7"/>
        <v>0.3413724698636561</v>
      </c>
      <c r="H106" s="24">
        <f t="shared" si="9"/>
        <v>0.34999731877690066</v>
      </c>
      <c r="I106" s="24">
        <f t="shared" si="8"/>
        <v>0.29999691078945284</v>
      </c>
      <c r="AL106" s="16"/>
      <c r="AM106" s="16"/>
      <c r="AN106" s="16"/>
      <c r="AO106" s="16"/>
      <c r="AP106" s="16"/>
    </row>
    <row r="107" spans="1:43" x14ac:dyDescent="0.15">
      <c r="A107" s="19" t="s">
        <v>94</v>
      </c>
      <c r="B107" s="17">
        <v>33132826590000</v>
      </c>
      <c r="C107" s="17">
        <v>44729227060000</v>
      </c>
      <c r="D107" s="17">
        <v>58147857000000</v>
      </c>
      <c r="E107" s="24">
        <f t="shared" si="5"/>
        <v>0.25193875151598522</v>
      </c>
      <c r="F107" s="24">
        <f t="shared" si="6"/>
        <v>0.25095447085498501</v>
      </c>
      <c r="G107" s="24">
        <f t="shared" si="7"/>
        <v>0.3413724698636561</v>
      </c>
      <c r="H107" s="24">
        <f t="shared" si="9"/>
        <v>0.34999731877690066</v>
      </c>
      <c r="I107" s="24">
        <f t="shared" si="8"/>
        <v>0.29999691078945284</v>
      </c>
    </row>
    <row r="108" spans="1:43" x14ac:dyDescent="0.15">
      <c r="A108" s="19" t="s">
        <v>86</v>
      </c>
      <c r="B108" s="17">
        <v>0</v>
      </c>
      <c r="C108" s="17">
        <v>0</v>
      </c>
      <c r="D108" s="17">
        <v>0</v>
      </c>
      <c r="E108" s="24">
        <f t="shared" si="5"/>
        <v>0</v>
      </c>
      <c r="F108" s="24">
        <f t="shared" si="6"/>
        <v>0</v>
      </c>
      <c r="G108" s="24">
        <f t="shared" si="7"/>
        <v>0</v>
      </c>
      <c r="H108" s="24">
        <v>0</v>
      </c>
      <c r="I108" s="24">
        <v>0</v>
      </c>
    </row>
    <row r="109" spans="1:43" x14ac:dyDescent="0.15">
      <c r="A109" s="18" t="s">
        <v>95</v>
      </c>
      <c r="B109" s="17">
        <v>3211560416270</v>
      </c>
      <c r="C109" s="17">
        <v>3211560416270</v>
      </c>
      <c r="D109" s="17">
        <v>3211560416270</v>
      </c>
      <c r="E109" s="24">
        <f t="shared" si="5"/>
        <v>2.4420389232273517E-2</v>
      </c>
      <c r="F109" s="24">
        <f t="shared" si="6"/>
        <v>1.8018541742354295E-2</v>
      </c>
      <c r="G109" s="24">
        <f t="shared" si="7"/>
        <v>1.8854320141470416E-2</v>
      </c>
      <c r="H109" s="24">
        <f t="shared" si="9"/>
        <v>0</v>
      </c>
      <c r="I109" s="24">
        <f t="shared" si="8"/>
        <v>0</v>
      </c>
    </row>
    <row r="110" spans="1:43" x14ac:dyDescent="0.15">
      <c r="A110" s="18" t="s">
        <v>96</v>
      </c>
      <c r="B110" s="17">
        <v>0</v>
      </c>
      <c r="C110" s="17">
        <v>0</v>
      </c>
      <c r="D110" s="17">
        <v>0</v>
      </c>
      <c r="E110" s="24">
        <f t="shared" si="5"/>
        <v>0</v>
      </c>
      <c r="F110" s="24">
        <f t="shared" si="6"/>
        <v>0</v>
      </c>
      <c r="G110" s="24">
        <f t="shared" si="7"/>
        <v>0</v>
      </c>
      <c r="H110" s="24">
        <v>0</v>
      </c>
      <c r="I110" s="24">
        <v>0</v>
      </c>
    </row>
    <row r="111" spans="1:43" x14ac:dyDescent="0.15">
      <c r="A111" s="18" t="s">
        <v>97</v>
      </c>
      <c r="B111" s="17">
        <v>0</v>
      </c>
      <c r="C111" s="17">
        <v>0</v>
      </c>
      <c r="D111" s="17">
        <v>0</v>
      </c>
      <c r="E111" s="24">
        <f t="shared" si="5"/>
        <v>0</v>
      </c>
      <c r="F111" s="24">
        <f t="shared" si="6"/>
        <v>0</v>
      </c>
      <c r="G111" s="24">
        <f t="shared" si="7"/>
        <v>0</v>
      </c>
      <c r="H111" s="24">
        <v>0</v>
      </c>
      <c r="I111" s="24">
        <v>0</v>
      </c>
    </row>
    <row r="112" spans="1:43" x14ac:dyDescent="0.15">
      <c r="A112" s="18" t="s">
        <v>98</v>
      </c>
      <c r="B112" s="17">
        <v>0</v>
      </c>
      <c r="C112" s="17">
        <v>0</v>
      </c>
      <c r="D112" s="17">
        <v>0</v>
      </c>
      <c r="E112" s="24">
        <f t="shared" si="5"/>
        <v>0</v>
      </c>
      <c r="F112" s="24">
        <f t="shared" si="6"/>
        <v>0</v>
      </c>
      <c r="G112" s="24">
        <f t="shared" si="7"/>
        <v>0</v>
      </c>
      <c r="H112" s="24">
        <v>0</v>
      </c>
      <c r="I112" s="24">
        <v>0</v>
      </c>
    </row>
    <row r="113" spans="1:9" x14ac:dyDescent="0.15">
      <c r="A113" s="18" t="s">
        <v>99</v>
      </c>
      <c r="B113" s="17">
        <v>0</v>
      </c>
      <c r="C113" s="17">
        <v>0</v>
      </c>
      <c r="D113" s="17">
        <v>0</v>
      </c>
      <c r="E113" s="24">
        <f t="shared" si="5"/>
        <v>0</v>
      </c>
      <c r="F113" s="24">
        <f t="shared" si="6"/>
        <v>0</v>
      </c>
      <c r="G113" s="24">
        <f t="shared" si="7"/>
        <v>0</v>
      </c>
      <c r="H113" s="24">
        <v>0</v>
      </c>
      <c r="I113" s="24">
        <v>0</v>
      </c>
    </row>
    <row r="114" spans="1:9" x14ac:dyDescent="0.15">
      <c r="A114" s="18" t="s">
        <v>100</v>
      </c>
      <c r="B114" s="17">
        <v>5568369072</v>
      </c>
      <c r="C114" s="17">
        <v>-1925960852</v>
      </c>
      <c r="D114" s="17">
        <v>-20652355005</v>
      </c>
      <c r="E114" s="24">
        <f t="shared" si="5"/>
        <v>4.234133022635982E-5</v>
      </c>
      <c r="F114" s="24">
        <f t="shared" si="6"/>
        <v>-1.0805652551356118E-5</v>
      </c>
      <c r="G114" s="24">
        <f t="shared" si="7"/>
        <v>-1.2124514643003766E-4</v>
      </c>
      <c r="H114" s="24">
        <f t="shared" si="9"/>
        <v>-1.3458752153632392</v>
      </c>
      <c r="I114" s="24">
        <f t="shared" si="8"/>
        <v>9.723143714761239</v>
      </c>
    </row>
    <row r="115" spans="1:9" x14ac:dyDescent="0.15">
      <c r="A115" s="18" t="s">
        <v>101</v>
      </c>
      <c r="B115" s="17">
        <v>928641612156</v>
      </c>
      <c r="C115" s="17">
        <v>923549304122</v>
      </c>
      <c r="D115" s="17">
        <v>834782434216</v>
      </c>
      <c r="E115" s="24">
        <f t="shared" si="5"/>
        <v>7.0612993955362505E-3</v>
      </c>
      <c r="F115" s="24">
        <f t="shared" si="6"/>
        <v>5.1815969592662612E-3</v>
      </c>
      <c r="G115" s="24">
        <f t="shared" si="7"/>
        <v>4.9008124472602827E-3</v>
      </c>
      <c r="H115" s="24">
        <f t="shared" si="9"/>
        <v>-5.4836095726717845E-3</v>
      </c>
      <c r="I115" s="24">
        <f t="shared" si="8"/>
        <v>-9.6114922624936525E-2</v>
      </c>
    </row>
    <row r="116" spans="1:9" x14ac:dyDescent="0.15">
      <c r="A116" s="18" t="s">
        <v>102</v>
      </c>
      <c r="B116" s="17">
        <v>0</v>
      </c>
      <c r="C116" s="17">
        <v>0</v>
      </c>
      <c r="D116" s="17">
        <v>0</v>
      </c>
      <c r="E116" s="24">
        <f t="shared" si="5"/>
        <v>0</v>
      </c>
      <c r="F116" s="24">
        <f t="shared" si="6"/>
        <v>0</v>
      </c>
      <c r="G116" s="24">
        <f t="shared" si="7"/>
        <v>0</v>
      </c>
      <c r="H116" s="24">
        <v>0</v>
      </c>
      <c r="I116" s="24">
        <v>0</v>
      </c>
    </row>
    <row r="117" spans="1:9" x14ac:dyDescent="0.15">
      <c r="A117" s="18" t="s">
        <v>103</v>
      </c>
      <c r="B117" s="17">
        <v>0</v>
      </c>
      <c r="C117" s="17"/>
      <c r="D117" s="17">
        <v>0</v>
      </c>
      <c r="E117" s="24">
        <f t="shared" si="5"/>
        <v>0</v>
      </c>
      <c r="F117" s="24">
        <f t="shared" si="6"/>
        <v>0</v>
      </c>
      <c r="G117" s="24">
        <f t="shared" si="7"/>
        <v>0</v>
      </c>
      <c r="H117" s="24">
        <v>0</v>
      </c>
      <c r="I117" s="24">
        <v>0</v>
      </c>
    </row>
    <row r="118" spans="1:9" x14ac:dyDescent="0.15">
      <c r="A118" s="18" t="s">
        <v>104</v>
      </c>
      <c r="B118" s="17">
        <v>0</v>
      </c>
      <c r="C118" s="17">
        <v>0</v>
      </c>
      <c r="D118" s="17">
        <v>0</v>
      </c>
      <c r="E118" s="24">
        <f t="shared" si="5"/>
        <v>0</v>
      </c>
      <c r="F118" s="24">
        <f t="shared" si="6"/>
        <v>0</v>
      </c>
      <c r="G118" s="24">
        <f t="shared" si="7"/>
        <v>0</v>
      </c>
      <c r="H118" s="24">
        <v>0</v>
      </c>
      <c r="I118" s="24">
        <v>0</v>
      </c>
    </row>
    <row r="119" spans="1:9" x14ac:dyDescent="0.15">
      <c r="A119" s="18" t="s">
        <v>105</v>
      </c>
      <c r="B119" s="17">
        <v>21792442633285</v>
      </c>
      <c r="C119" s="17">
        <v>41763425970912</v>
      </c>
      <c r="D119" s="17">
        <v>33833829973987</v>
      </c>
      <c r="E119" s="24">
        <f t="shared" si="5"/>
        <v>0.1657075883519889</v>
      </c>
      <c r="F119" s="24">
        <f t="shared" si="6"/>
        <v>0.23431476809475546</v>
      </c>
      <c r="G119" s="24">
        <f t="shared" si="7"/>
        <v>0.19863050332477331</v>
      </c>
      <c r="H119" s="24">
        <f t="shared" si="9"/>
        <v>0.91641784602539378</v>
      </c>
      <c r="I119" s="24">
        <f t="shared" si="8"/>
        <v>-0.18986938481646407</v>
      </c>
    </row>
    <row r="120" spans="1:9" x14ac:dyDescent="0.15">
      <c r="A120" s="19" t="s">
        <v>106</v>
      </c>
      <c r="B120" s="17">
        <v>8342142580473</v>
      </c>
      <c r="C120" s="17">
        <v>7285282773452</v>
      </c>
      <c r="D120" s="17">
        <v>25350319419956</v>
      </c>
      <c r="E120" s="24">
        <f t="shared" si="5"/>
        <v>6.3432830911173618E-2</v>
      </c>
      <c r="F120" s="24">
        <f t="shared" si="6"/>
        <v>4.0874265074782729E-2</v>
      </c>
      <c r="G120" s="24">
        <f t="shared" si="7"/>
        <v>0.14882579683414621</v>
      </c>
      <c r="H120" s="24">
        <f t="shared" si="9"/>
        <v>-0.12668925241038928</v>
      </c>
      <c r="I120" s="24">
        <f t="shared" si="8"/>
        <v>2.479661697186835</v>
      </c>
    </row>
    <row r="121" spans="1:9" x14ac:dyDescent="0.15">
      <c r="A121" s="19" t="s">
        <v>107</v>
      </c>
      <c r="B121" s="17">
        <v>13450300052812</v>
      </c>
      <c r="C121" s="17">
        <v>34478143197460</v>
      </c>
      <c r="D121" s="17">
        <v>8483510554031</v>
      </c>
      <c r="E121" s="24">
        <f t="shared" si="5"/>
        <v>0.10227475744081529</v>
      </c>
      <c r="F121" s="24">
        <f t="shared" si="6"/>
        <v>0.19344050301997273</v>
      </c>
      <c r="G121" s="24">
        <f t="shared" si="7"/>
        <v>4.9804706490627092E-2</v>
      </c>
      <c r="H121" s="24">
        <f t="shared" si="9"/>
        <v>1.5633735353176597</v>
      </c>
      <c r="I121" s="24">
        <f t="shared" si="8"/>
        <v>-0.75394526017700458</v>
      </c>
    </row>
    <row r="122" spans="1:9" x14ac:dyDescent="0.15">
      <c r="A122" s="18" t="s">
        <v>108</v>
      </c>
      <c r="B122" s="17">
        <v>148746685328</v>
      </c>
      <c r="C122" s="17">
        <v>154788720987</v>
      </c>
      <c r="D122" s="17">
        <v>105562146315</v>
      </c>
      <c r="E122" s="24">
        <f t="shared" si="5"/>
        <v>1.1310551513581998E-3</v>
      </c>
      <c r="F122" s="24">
        <f t="shared" si="6"/>
        <v>8.6844607257589618E-4</v>
      </c>
      <c r="G122" s="24">
        <f t="shared" si="7"/>
        <v>6.1973067402398331E-4</v>
      </c>
      <c r="H122" s="24">
        <f t="shared" si="9"/>
        <v>4.0619632267278834E-2</v>
      </c>
      <c r="I122" s="24">
        <f t="shared" si="8"/>
        <v>-0.31802430020811606</v>
      </c>
    </row>
    <row r="123" spans="1:9" x14ac:dyDescent="0.15">
      <c r="A123" s="16" t="s">
        <v>109</v>
      </c>
      <c r="B123" s="16">
        <v>0</v>
      </c>
      <c r="C123" s="16">
        <v>0</v>
      </c>
      <c r="D123" s="16">
        <v>0</v>
      </c>
      <c r="E123" s="24">
        <f t="shared" si="5"/>
        <v>0</v>
      </c>
      <c r="F123" s="24">
        <f t="shared" si="6"/>
        <v>0</v>
      </c>
      <c r="G123" s="24">
        <f t="shared" si="7"/>
        <v>0</v>
      </c>
      <c r="H123" s="24">
        <v>0</v>
      </c>
      <c r="I123" s="24">
        <v>0</v>
      </c>
    </row>
    <row r="124" spans="1:9" x14ac:dyDescent="0.15">
      <c r="A124" s="16" t="s">
        <v>110</v>
      </c>
      <c r="B124" s="16">
        <v>0</v>
      </c>
      <c r="C124" s="16"/>
      <c r="D124" s="16">
        <v>0</v>
      </c>
      <c r="E124" s="24">
        <f t="shared" si="5"/>
        <v>0</v>
      </c>
      <c r="F124" s="24">
        <f t="shared" si="6"/>
        <v>0</v>
      </c>
      <c r="G124" s="24">
        <f t="shared" si="7"/>
        <v>0</v>
      </c>
      <c r="H124" s="24">
        <v>0</v>
      </c>
      <c r="I124" s="24">
        <v>0</v>
      </c>
    </row>
    <row r="125" spans="1:9" x14ac:dyDescent="0.15">
      <c r="A125" s="18" t="s">
        <v>109</v>
      </c>
      <c r="B125" s="17">
        <v>0</v>
      </c>
      <c r="C125" s="17">
        <v>0</v>
      </c>
      <c r="D125" s="17">
        <v>0</v>
      </c>
      <c r="E125" s="24">
        <f t="shared" si="5"/>
        <v>0</v>
      </c>
      <c r="F125" s="24">
        <f t="shared" si="6"/>
        <v>0</v>
      </c>
      <c r="G125" s="24">
        <f t="shared" si="7"/>
        <v>0</v>
      </c>
      <c r="H125" s="24">
        <v>0</v>
      </c>
      <c r="I125" s="24">
        <v>0</v>
      </c>
    </row>
    <row r="126" spans="1:9" x14ac:dyDescent="0.15">
      <c r="A126" s="18" t="s">
        <v>111</v>
      </c>
      <c r="B126" s="20">
        <v>0</v>
      </c>
      <c r="C126" s="17">
        <v>0</v>
      </c>
      <c r="D126" s="17">
        <v>0</v>
      </c>
      <c r="E126" s="24">
        <f t="shared" si="5"/>
        <v>0</v>
      </c>
      <c r="F126" s="24">
        <f t="shared" si="6"/>
        <v>0</v>
      </c>
      <c r="G126" s="24">
        <f t="shared" si="7"/>
        <v>0</v>
      </c>
      <c r="H126" s="24">
        <v>0</v>
      </c>
      <c r="I126" s="24">
        <v>0</v>
      </c>
    </row>
    <row r="127" spans="1:9" x14ac:dyDescent="0.15">
      <c r="A127" s="16" t="s">
        <v>112</v>
      </c>
      <c r="B127" s="16">
        <v>0</v>
      </c>
      <c r="C127" s="16"/>
      <c r="D127" s="16">
        <v>0</v>
      </c>
      <c r="E127" s="24">
        <f t="shared" si="5"/>
        <v>0</v>
      </c>
      <c r="F127" s="24">
        <f t="shared" si="6"/>
        <v>0</v>
      </c>
      <c r="G127" s="24">
        <f t="shared" si="7"/>
        <v>0</v>
      </c>
      <c r="H127" s="24">
        <v>0</v>
      </c>
      <c r="I127" s="24">
        <v>0</v>
      </c>
    </row>
    <row r="128" spans="1:9" x14ac:dyDescent="0.15">
      <c r="A128" s="16" t="s">
        <v>113</v>
      </c>
      <c r="B128" s="16">
        <v>131511434388837</v>
      </c>
      <c r="C128" s="16">
        <v>178236422358249</v>
      </c>
      <c r="D128" s="16">
        <v>170335519508132</v>
      </c>
      <c r="H128" s="24">
        <f t="shared" si="9"/>
        <v>0.35529220851824367</v>
      </c>
      <c r="I128" s="24">
        <f t="shared" si="8"/>
        <v>-4.4328217238542078E-2</v>
      </c>
    </row>
    <row r="130" spans="1:12" ht="16" x14ac:dyDescent="0.2">
      <c r="A130" s="13"/>
      <c r="E130" s="8"/>
    </row>
    <row r="131" spans="1:12" ht="16" x14ac:dyDescent="0.2">
      <c r="A131" s="14"/>
      <c r="E131" s="8"/>
    </row>
    <row r="132" spans="1:12" ht="16" x14ac:dyDescent="0.2">
      <c r="A132" s="9"/>
      <c r="E132" s="9"/>
    </row>
    <row r="133" spans="1:12" ht="16" x14ac:dyDescent="0.2">
      <c r="A133" s="9"/>
      <c r="E133" s="9"/>
      <c r="I133" s="12"/>
    </row>
    <row r="134" spans="1:12" ht="15" x14ac:dyDescent="0.2">
      <c r="A134" s="10"/>
      <c r="E134" s="10"/>
    </row>
    <row r="135" spans="1:12" ht="14" customHeight="1" x14ac:dyDescent="0.15">
      <c r="J135" s="12"/>
      <c r="K135" s="12"/>
      <c r="L135" s="12"/>
    </row>
    <row r="136" spans="1:12" ht="16" customHeight="1" x14ac:dyDescent="0.2">
      <c r="A136" s="8"/>
      <c r="E136" s="8"/>
    </row>
    <row r="137" spans="1:12" s="12" customFormat="1" ht="14" customHeight="1" x14ac:dyDescent="0.15">
      <c r="A137" s="11"/>
      <c r="I137" s="5"/>
      <c r="J137" s="5"/>
      <c r="K137" s="5"/>
      <c r="L137" s="5"/>
    </row>
    <row r="138" spans="1:12" ht="15" x14ac:dyDescent="0.2">
      <c r="A138" s="10"/>
    </row>
  </sheetData>
  <mergeCells count="2">
    <mergeCell ref="E7:G7"/>
    <mergeCell ref="H7:I7"/>
  </mergeCells>
  <pageMargins left="0.7" right="0.7" top="0.75" bottom="0.75" header="0.3" footer="0.3"/>
  <drawing r:id="rId1"/>
  <tableParts count="2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s>
  <extLst>
    <ext xmlns:x15="http://schemas.microsoft.com/office/spreadsheetml/2010/11/main" uri="{3A4CF648-6AED-40f4-86FF-DC5316D8AED3}">
      <x14:slicerList xmlns:x14="http://schemas.microsoft.com/office/spreadsheetml/2009/9/main">
        <x14:slicer r:id="rId2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BS</vt:lpstr>
      <vt:lpstr>IS</vt:lpstr>
      <vt:lpstr>CFS</vt:lpstr>
      <vt:lpstr>Financial Ratio</vt:lpstr>
      <vt:lpstr>Benchmarking</vt:lpstr>
      <vt:lpstr>Beta Coefficient</vt:lpstr>
      <vt:lpstr>Income Statement</vt:lpstr>
      <vt:lpstr>Balance Sheet</vt:lpstr>
      <vt:lpstr>Cash Flow Statement</vt:lpstr>
      <vt:lpstr>FR</vt:lpstr>
      <vt:lpstr>Waterfal Chart</vt:lpstr>
      <vt:lpstr>Sheet2</vt:lpstr>
      <vt:lpstr>Data Shaping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Quang Anh</dc:creator>
  <cp:lastModifiedBy>Microsoft Office User</cp:lastModifiedBy>
  <dcterms:created xsi:type="dcterms:W3CDTF">2019-10-07T03:44:38Z</dcterms:created>
  <dcterms:modified xsi:type="dcterms:W3CDTF">2023-12-23T15:24:07Z</dcterms:modified>
</cp:coreProperties>
</file>