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egepvicto-my.sharepoint.com/personal/2042467_etudiant_cegepvicto_ca/Documents/TCG/Session 4/Anlayse financière/"/>
    </mc:Choice>
  </mc:AlternateContent>
  <xr:revisionPtr revIDLastSave="836" documentId="8_{DF7AF0C8-A4B2-40E6-BFE8-A7FEB6BFE27C}" xr6:coauthVersionLast="47" xr6:coauthVersionMax="47" xr10:uidLastSave="{E935BAFA-B48A-498A-BD2E-FAD9F54821D5}"/>
  <bookViews>
    <workbookView xWindow="21765" yWindow="7755" windowWidth="21600" windowHeight="11385" tabRatio="599" firstSheet="14" activeTab="12" xr2:uid="{0379C2FE-9D89-4BD7-8539-1D550A87E8D4}"/>
  </bookViews>
  <sheets>
    <sheet name="Données de base" sheetId="3" r:id="rId1"/>
    <sheet name=" 2.1 intérêt simple" sheetId="1" r:id="rId2"/>
    <sheet name=" 2.2 intérêts sur retard de pmt" sheetId="2" r:id="rId3"/>
    <sheet name="3.1 intérêt composé v finale" sheetId="4" r:id="rId4"/>
    <sheet name="3.2 taux intérêt selon composé" sheetId="5" r:id="rId5"/>
    <sheet name="3.3 calcul montant taux progres" sheetId="6" r:id="rId6"/>
    <sheet name="3,4" sheetId="7" r:id="rId7"/>
    <sheet name="4.1 Versem. pério. rembou empru" sheetId="8" r:id="rId8"/>
    <sheet name="4.2 versem. pério. acc. montant" sheetId="9" r:id="rId9"/>
    <sheet name="4.3 taux intérêt éxigé emprunt" sheetId="10" r:id="rId10"/>
    <sheet name="5.1 annui. diff." sheetId="11" r:id="rId11"/>
    <sheet name="5.2 Vers. irr précé, suiv. annu" sheetId="12" r:id="rId12"/>
    <sheet name="5.3" sheetId="13" r:id="rId13"/>
    <sheet name="5.4" sheetId="14" r:id="rId14"/>
    <sheet name="7,1" sheetId="15" r:id="rId1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0" i="13" l="1"/>
  <c r="J13" i="13"/>
  <c r="K14" i="13"/>
  <c r="K15" i="13"/>
  <c r="K16" i="13"/>
  <c r="K17" i="13"/>
  <c r="J14" i="13"/>
  <c r="J15" i="13"/>
  <c r="J16" i="13"/>
  <c r="J17" i="13"/>
  <c r="K13" i="13"/>
  <c r="L13" i="13"/>
  <c r="L14" i="13" s="1"/>
  <c r="L15" i="13" s="1"/>
  <c r="L12" i="13"/>
  <c r="L9" i="13"/>
  <c r="F3" i="6"/>
  <c r="F4" i="6" s="1"/>
  <c r="D21" i="15"/>
  <c r="E21" i="15"/>
  <c r="F21" i="15"/>
  <c r="G21" i="15"/>
  <c r="H21" i="15"/>
  <c r="I21" i="15"/>
  <c r="J21" i="15"/>
  <c r="K21" i="15"/>
  <c r="L21" i="15"/>
  <c r="M21" i="15"/>
  <c r="C21" i="15"/>
  <c r="F14" i="15"/>
  <c r="E14" i="15"/>
  <c r="F9" i="13"/>
  <c r="C9" i="14"/>
  <c r="C11" i="14" s="1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E27" i="13"/>
  <c r="E28" i="13"/>
  <c r="E29" i="13"/>
  <c r="E30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F12" i="13"/>
  <c r="C13" i="12"/>
  <c r="C12" i="12"/>
  <c r="C11" i="12"/>
  <c r="C10" i="11"/>
  <c r="C9" i="11"/>
  <c r="C8" i="10"/>
  <c r="C9" i="10" s="1"/>
  <c r="C9" i="9"/>
  <c r="C8" i="9"/>
  <c r="C9" i="8"/>
  <c r="C8" i="8"/>
  <c r="F7" i="7"/>
  <c r="F8" i="7"/>
  <c r="F6" i="7"/>
  <c r="F11" i="7"/>
  <c r="F5" i="7"/>
  <c r="D7" i="7"/>
  <c r="D8" i="7"/>
  <c r="D6" i="7"/>
  <c r="C5" i="7"/>
  <c r="C7" i="7"/>
  <c r="C8" i="7"/>
  <c r="C6" i="7"/>
  <c r="D11" i="7"/>
  <c r="C6" i="5"/>
  <c r="C7" i="5" s="1"/>
  <c r="C6" i="4"/>
  <c r="C6" i="2"/>
  <c r="C7" i="2" s="1"/>
  <c r="C5" i="2"/>
  <c r="C6" i="1"/>
  <c r="C5" i="1"/>
  <c r="J18" i="13" l="1"/>
  <c r="D13" i="13"/>
  <c r="D31" i="13" s="1"/>
  <c r="E13" i="13"/>
  <c r="F13" i="13" s="1"/>
  <c r="F10" i="13"/>
  <c r="C16" i="13" s="1"/>
  <c r="I14" i="13"/>
  <c r="I15" i="13"/>
  <c r="I16" i="13"/>
  <c r="I17" i="13"/>
  <c r="I13" i="13"/>
  <c r="I18" i="13" s="1"/>
  <c r="C24" i="15"/>
  <c r="C23" i="15"/>
  <c r="C27" i="13"/>
  <c r="C15" i="13"/>
  <c r="C14" i="13"/>
  <c r="C19" i="13"/>
  <c r="C13" i="13"/>
  <c r="C24" i="13"/>
  <c r="C18" i="13"/>
  <c r="C30" i="13"/>
  <c r="C29" i="13"/>
  <c r="C23" i="13"/>
  <c r="C17" i="13"/>
  <c r="C21" i="13"/>
  <c r="C26" i="13"/>
  <c r="C20" i="13"/>
  <c r="C25" i="13"/>
  <c r="C28" i="13"/>
  <c r="C22" i="13"/>
  <c r="C10" i="14"/>
  <c r="E31" i="13"/>
  <c r="F14" i="13"/>
  <c r="F15" i="13" s="1"/>
  <c r="F16" i="13" s="1"/>
  <c r="F17" i="13" s="1"/>
  <c r="F18" i="13" s="1"/>
  <c r="F19" i="13" s="1"/>
  <c r="F20" i="13" s="1"/>
  <c r="F21" i="13" s="1"/>
  <c r="F22" i="13" s="1"/>
  <c r="F23" i="13" s="1"/>
  <c r="F24" i="13" s="1"/>
  <c r="F25" i="13" s="1"/>
  <c r="F26" i="13" s="1"/>
  <c r="F27" i="13" s="1"/>
  <c r="F28" i="13" s="1"/>
  <c r="F29" i="13" s="1"/>
  <c r="F30" i="13" s="1"/>
  <c r="K18" i="13" l="1"/>
  <c r="L16" i="13"/>
  <c r="L17" i="13" s="1"/>
  <c r="C31" i="13"/>
</calcChain>
</file>

<file path=xl/sharedStrings.xml><?xml version="1.0" encoding="utf-8"?>
<sst xmlns="http://schemas.openxmlformats.org/spreadsheetml/2006/main" count="144" uniqueCount="92">
  <si>
    <t>Nombre de jours par année</t>
  </si>
  <si>
    <t>Nombre de mois par année</t>
  </si>
  <si>
    <t>Valeur initiale</t>
  </si>
  <si>
    <t>Taux annuel</t>
  </si>
  <si>
    <t>Durées en jours</t>
  </si>
  <si>
    <t>Intérêts accumulés</t>
  </si>
  <si>
    <t>Valeur à échéance</t>
  </si>
  <si>
    <t>Date de la facture</t>
  </si>
  <si>
    <t>Délai accordé</t>
  </si>
  <si>
    <t>Date de paiement</t>
  </si>
  <si>
    <t>Montant de la facture</t>
  </si>
  <si>
    <t>Retard (jours)</t>
  </si>
  <si>
    <t>Montant totale</t>
  </si>
  <si>
    <t xml:space="preserve">Montant initiale </t>
  </si>
  <si>
    <t>Fréquence de capitalisation
 par année</t>
  </si>
  <si>
    <t>Durée en années</t>
  </si>
  <si>
    <t>Montant accumulé à 
l'échéance</t>
  </si>
  <si>
    <t>Montant emprunté</t>
  </si>
  <si>
    <t>Montant à rembourser à 
l'échéance</t>
  </si>
  <si>
    <t>Taux d'intérêt périodique</t>
  </si>
  <si>
    <t>Taux d'intérêt annuel</t>
  </si>
  <si>
    <t>Montant initiale</t>
  </si>
  <si>
    <t>Montant a l'échéance</t>
  </si>
  <si>
    <t>Nombre d'années</t>
  </si>
  <si>
    <t>Taux moyen</t>
  </si>
  <si>
    <t>Taux annuels</t>
  </si>
  <si>
    <t>1re année</t>
  </si>
  <si>
    <t>2e année</t>
  </si>
  <si>
    <t>3e année</t>
  </si>
  <si>
    <t>4e année</t>
  </si>
  <si>
    <t>5e année</t>
  </si>
  <si>
    <t>Placement</t>
  </si>
  <si>
    <t>Date 
anniversaire</t>
  </si>
  <si>
    <t>Montant 
accumulés</t>
  </si>
  <si>
    <t>Intérêts 
courus</t>
  </si>
  <si>
    <t>Fin 
d'exercice</t>
  </si>
  <si>
    <t>Total des intérêts</t>
  </si>
  <si>
    <t>Montant  Emprunté (P)</t>
  </si>
  <si>
    <t>Fréquence de capitalisation par année</t>
  </si>
  <si>
    <t>Fréquence des versements par année</t>
  </si>
  <si>
    <t>Nombre total des versements (a*c)</t>
  </si>
  <si>
    <t>Fin depériode ; 0 ou omis
Début de période :1</t>
  </si>
  <si>
    <t>Versement périodique</t>
  </si>
  <si>
    <t>Montant  Emprunté</t>
  </si>
  <si>
    <t>Versement périodique (y)</t>
  </si>
  <si>
    <t>Fréquence de capitalisation par année (v)</t>
  </si>
  <si>
    <t>Nombre total de versements (a*c)</t>
  </si>
  <si>
    <t>Fréquence de capitalisation par année ©</t>
  </si>
  <si>
    <t>Taux d'intérêt périodique (i)</t>
  </si>
  <si>
    <t>Versement périodique (t)</t>
  </si>
  <si>
    <t>Solde à la fin (F)</t>
  </si>
  <si>
    <t>Nombre total de versements</t>
  </si>
  <si>
    <t>Période du premier versements (fn de période)</t>
  </si>
  <si>
    <t>Montant emprunté (P)</t>
  </si>
  <si>
    <t>Taux d'intérêt annuel (t)</t>
  </si>
  <si>
    <t>Versement régulier (y)</t>
  </si>
  <si>
    <t>Fréquence des versements par année (v)</t>
  </si>
  <si>
    <t>Versement irrégulier au ;
Premier versement (1)
Dernier versement (2)</t>
  </si>
  <si>
    <t>Fin de période ; 0 ou omis 
Début de période; 1</t>
  </si>
  <si>
    <t>Versement irrégulier au premier versement</t>
  </si>
  <si>
    <t>Versement irrégulier au dernier versement</t>
  </si>
  <si>
    <t>Fréquence de capitalisation des intérêts par année ©</t>
  </si>
  <si>
    <t>Fréquence de versement par année</t>
  </si>
  <si>
    <t>Taux intérêt périodique</t>
  </si>
  <si>
    <t>Période</t>
  </si>
  <si>
    <t>Versement</t>
  </si>
  <si>
    <t>Intérêt</t>
  </si>
  <si>
    <t>Amortissement</t>
  </si>
  <si>
    <t>Solde</t>
  </si>
  <si>
    <t>Total</t>
  </si>
  <si>
    <t>Montant Emprunté</t>
  </si>
  <si>
    <t>Fréquence de capitqlisation par année</t>
  </si>
  <si>
    <t>Fréquence de vversement par année</t>
  </si>
  <si>
    <t>Nombre total de versement</t>
  </si>
  <si>
    <t>Première période de référence</t>
  </si>
  <si>
    <t>Deuxième ériode de référence</t>
  </si>
  <si>
    <t>Total de l'amortissement financier</t>
  </si>
  <si>
    <t>Total de l'intérêt</t>
  </si>
  <si>
    <t>Durée du project</t>
  </si>
  <si>
    <t>Années :</t>
  </si>
  <si>
    <t>FM Inverstissements</t>
  </si>
  <si>
    <t>Terrain</t>
  </si>
  <si>
    <t>Bâtiment</t>
  </si>
  <si>
    <t>Mobilier</t>
  </si>
  <si>
    <t>FM Exploitation</t>
  </si>
  <si>
    <t>Recettes d'exploitation</t>
  </si>
  <si>
    <t>Débours d'exploitation</t>
  </si>
  <si>
    <t>FM Récupération d'actifs</t>
  </si>
  <si>
    <t>Flux monétaire total</t>
  </si>
  <si>
    <t>Taux de rendement exigé :</t>
  </si>
  <si>
    <t>VAN :</t>
  </si>
  <si>
    <t>TRI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</si>
</sst>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8" formatCode="#,##0.00\ &quot;$&quot;_);[Red]\(#,##0.00\ &quot;$&quot;\)"/>
    <numFmt numFmtId="44" formatCode="_ * #,##0.00_)\ &quot;$&quot;_ ;_ * \(#,##0.00\)\ &quot;$&quot;_ ;_ * &quot;-&quot;??_)\ &quot;$&quot;_ ;_ @_ "/>
    <numFmt numFmtId="164" formatCode="#,##0.00\ &quot;$&quot;"/>
    <numFmt numFmtId="165" formatCode="[$-F800]dddd\,\ mmmm\ dd\,\ yyyy"/>
    <numFmt numFmtId="166" formatCode="0.0%"/>
    <numFmt numFmtId="167" formatCode="0.00000%"/>
    <numFmt numFmtId="168" formatCode="0.000000%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F4B084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7">
    <xf numFmtId="0" fontId="0" fillId="0" borderId="0" xfId="0"/>
    <xf numFmtId="0" fontId="2" fillId="0" borderId="0" xfId="0" applyFont="1"/>
    <xf numFmtId="0" fontId="0" fillId="0" borderId="1" xfId="0" applyBorder="1"/>
    <xf numFmtId="0" fontId="0" fillId="2" borderId="1" xfId="0" applyFill="1" applyBorder="1"/>
    <xf numFmtId="9" fontId="0" fillId="0" borderId="1" xfId="0" applyNumberFormat="1" applyBorder="1"/>
    <xf numFmtId="44" fontId="0" fillId="0" borderId="1" xfId="1" applyFont="1" applyBorder="1"/>
    <xf numFmtId="164" fontId="0" fillId="2" borderId="1" xfId="0" applyNumberFormat="1" applyFill="1" applyBorder="1"/>
    <xf numFmtId="44" fontId="0" fillId="2" borderId="1" xfId="0" applyNumberFormat="1" applyFill="1" applyBorder="1"/>
    <xf numFmtId="165" fontId="0" fillId="0" borderId="1" xfId="0" applyNumberFormat="1" applyBorder="1"/>
    <xf numFmtId="164" fontId="0" fillId="0" borderId="1" xfId="0" applyNumberFormat="1" applyBorder="1"/>
    <xf numFmtId="10" fontId="0" fillId="0" borderId="1" xfId="0" applyNumberFormat="1" applyBorder="1"/>
    <xf numFmtId="1" fontId="0" fillId="0" borderId="1" xfId="0" applyNumberFormat="1" applyBorder="1"/>
    <xf numFmtId="1" fontId="0" fillId="2" borderId="1" xfId="0" applyNumberFormat="1" applyFill="1" applyBorder="1"/>
    <xf numFmtId="166" fontId="0" fillId="2" borderId="1" xfId="0" applyNumberFormat="1" applyFill="1" applyBorder="1"/>
    <xf numFmtId="168" fontId="0" fillId="2" borderId="1" xfId="0" applyNumberFormat="1" applyFill="1" applyBorder="1"/>
    <xf numFmtId="0" fontId="0" fillId="2" borderId="1" xfId="0" applyFill="1" applyBorder="1" applyAlignment="1">
      <alignment wrapText="1"/>
    </xf>
    <xf numFmtId="164" fontId="0" fillId="2" borderId="1" xfId="0" applyNumberFormat="1" applyFill="1" applyBorder="1" applyAlignment="1">
      <alignment wrapText="1"/>
    </xf>
    <xf numFmtId="167" fontId="0" fillId="2" borderId="1" xfId="0" applyNumberFormat="1" applyFill="1" applyBorder="1" applyAlignment="1">
      <alignment wrapText="1"/>
    </xf>
    <xf numFmtId="0" fontId="0" fillId="3" borderId="1" xfId="0" applyFill="1" applyBorder="1"/>
    <xf numFmtId="0" fontId="0" fillId="3" borderId="1" xfId="0" applyFill="1" applyBorder="1" applyAlignment="1">
      <alignment horizontal="center" wrapText="1"/>
    </xf>
    <xf numFmtId="14" fontId="0" fillId="0" borderId="1" xfId="0" applyNumberFormat="1" applyBorder="1"/>
    <xf numFmtId="164" fontId="0" fillId="3" borderId="1" xfId="0" applyNumberFormat="1" applyFill="1" applyBorder="1"/>
    <xf numFmtId="0" fontId="0" fillId="3" borderId="1" xfId="0" applyFill="1" applyBorder="1" applyAlignment="1">
      <alignment wrapText="1"/>
    </xf>
    <xf numFmtId="2" fontId="0" fillId="0" borderId="1" xfId="0" applyNumberFormat="1" applyBorder="1"/>
    <xf numFmtId="8" fontId="0" fillId="3" borderId="1" xfId="1" applyNumberFormat="1" applyFont="1" applyFill="1" applyBorder="1"/>
    <xf numFmtId="168" fontId="0" fillId="3" borderId="1" xfId="2" applyNumberFormat="1" applyFont="1" applyFill="1" applyBorder="1"/>
    <xf numFmtId="10" fontId="0" fillId="0" borderId="1" xfId="2" applyNumberFormat="1" applyFont="1" applyBorder="1"/>
    <xf numFmtId="164" fontId="0" fillId="0" borderId="1" xfId="1" applyNumberFormat="1" applyFont="1" applyBorder="1"/>
    <xf numFmtId="10" fontId="0" fillId="3" borderId="1" xfId="1" applyNumberFormat="1" applyFont="1" applyFill="1" applyBorder="1"/>
    <xf numFmtId="164" fontId="0" fillId="3" borderId="1" xfId="1" applyNumberFormat="1" applyFont="1" applyFill="1" applyBorder="1"/>
    <xf numFmtId="10" fontId="0" fillId="3" borderId="1" xfId="0" applyNumberFormat="1" applyFill="1" applyBorder="1"/>
    <xf numFmtId="9" fontId="0" fillId="0" borderId="1" xfId="2" applyFont="1" applyBorder="1"/>
    <xf numFmtId="1" fontId="0" fillId="0" borderId="1" xfId="2" applyNumberFormat="1" applyFont="1" applyBorder="1"/>
    <xf numFmtId="164" fontId="0" fillId="3" borderId="1" xfId="1" quotePrefix="1" applyNumberFormat="1" applyFont="1" applyFill="1" applyBorder="1"/>
    <xf numFmtId="0" fontId="0" fillId="3" borderId="1" xfId="0" applyFill="1" applyBorder="1" applyAlignment="1">
      <alignment horizontal="center"/>
    </xf>
    <xf numFmtId="0" fontId="0" fillId="3" borderId="7" xfId="0" applyFill="1" applyBorder="1"/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3" borderId="6" xfId="0" applyNumberFormat="1" applyFill="1" applyBorder="1" applyAlignment="1">
      <alignment horizontal="center"/>
    </xf>
    <xf numFmtId="164" fontId="0" fillId="3" borderId="8" xfId="0" applyNumberFormat="1" applyFill="1" applyBorder="1" applyAlignment="1">
      <alignment horizontal="center"/>
    </xf>
    <xf numFmtId="164" fontId="0" fillId="3" borderId="5" xfId="0" applyNumberFormat="1" applyFill="1" applyBorder="1"/>
    <xf numFmtId="0" fontId="3" fillId="0" borderId="0" xfId="0" applyFont="1" applyAlignment="1">
      <alignment horizontal="right"/>
    </xf>
    <xf numFmtId="10" fontId="0" fillId="3" borderId="1" xfId="0" applyNumberFormat="1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3" fillId="3" borderId="10" xfId="0" applyFont="1" applyFill="1" applyBorder="1" applyAlignment="1">
      <alignment horizontal="right"/>
    </xf>
    <xf numFmtId="0" fontId="0" fillId="3" borderId="10" xfId="0" applyFill="1" applyBorder="1"/>
    <xf numFmtId="0" fontId="4" fillId="3" borderId="10" xfId="0" applyFont="1" applyFill="1" applyBorder="1"/>
    <xf numFmtId="0" fontId="5" fillId="3" borderId="10" xfId="0" applyFont="1" applyFill="1" applyBorder="1"/>
    <xf numFmtId="0" fontId="5" fillId="3" borderId="10" xfId="0" applyFont="1" applyFill="1" applyBorder="1" applyAlignment="1">
      <alignment horizontal="left"/>
    </xf>
    <xf numFmtId="9" fontId="3" fillId="0" borderId="0" xfId="2" applyFont="1" applyAlignment="1">
      <alignment horizontal="center"/>
    </xf>
    <xf numFmtId="0" fontId="3" fillId="0" borderId="0" xfId="0" applyFont="1" applyAlignment="1">
      <alignment horizontal="center"/>
    </xf>
    <xf numFmtId="0" fontId="0" fillId="2" borderId="2" xfId="0" applyFill="1" applyBorder="1" applyAlignment="1">
      <alignment horizontal="center" wrapText="1"/>
    </xf>
    <xf numFmtId="0" fontId="0" fillId="2" borderId="3" xfId="0" applyFill="1" applyBorder="1" applyAlignment="1">
      <alignment horizontal="center" wrapText="1"/>
    </xf>
    <xf numFmtId="0" fontId="0" fillId="3" borderId="2" xfId="0" applyFill="1" applyBorder="1" applyAlignment="1">
      <alignment horizontal="left" wrapText="1"/>
    </xf>
    <xf numFmtId="0" fontId="0" fillId="3" borderId="4" xfId="0" applyFill="1" applyBorder="1" applyAlignment="1">
      <alignment horizontal="left" wrapText="1"/>
    </xf>
    <xf numFmtId="0" fontId="0" fillId="3" borderId="3" xfId="0" applyFill="1" applyBorder="1" applyAlignment="1">
      <alignment horizontal="left" wrapText="1"/>
    </xf>
    <xf numFmtId="44" fontId="0" fillId="0" borderId="2" xfId="1" applyFont="1" applyBorder="1" applyAlignment="1"/>
    <xf numFmtId="44" fontId="0" fillId="0" borderId="3" xfId="1" applyFont="1" applyBorder="1" applyAlignment="1"/>
    <xf numFmtId="167" fontId="0" fillId="0" borderId="2" xfId="0" applyNumberFormat="1" applyBorder="1" applyAlignment="1">
      <alignment horizontal="center"/>
    </xf>
    <xf numFmtId="167" fontId="0" fillId="0" borderId="3" xfId="0" applyNumberFormat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4" xfId="0" applyFill="1" applyBorder="1" applyAlignment="1">
      <alignment horizontal="center"/>
    </xf>
  </cellXfs>
  <cellStyles count="3">
    <cellStyle name="Monétaire" xfId="1" builtinId="4"/>
    <cellStyle name="Normal" xfId="0" builtinId="0"/>
    <cellStyle name="Pourcentage" xfId="2" builtinId="5"/>
  </cellStyles>
  <dxfs count="0"/>
  <tableStyles count="0" defaultTableStyle="TableStyleMedium2" defaultPivotStyle="PivotStyleLight16"/>
  <colors>
    <mruColors>
      <color rgb="FFF4B08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FD131-FF53-4D86-862A-9A303FAD18CB}">
  <dimension ref="B3:D5"/>
  <sheetViews>
    <sheetView workbookViewId="0">
      <selection activeCell="G6" sqref="G6"/>
    </sheetView>
  </sheetViews>
  <sheetFormatPr defaultColWidth="11.42578125" defaultRowHeight="15"/>
  <sheetData>
    <row r="3" spans="2:4">
      <c r="B3" s="52" t="s">
        <v>0</v>
      </c>
      <c r="C3" s="52"/>
      <c r="D3" s="1">
        <v>365</v>
      </c>
    </row>
    <row r="4" spans="2:4">
      <c r="B4" s="52" t="s">
        <v>1</v>
      </c>
      <c r="C4" s="52"/>
      <c r="D4" s="1">
        <v>12</v>
      </c>
    </row>
    <row r="5" spans="2:4">
      <c r="D5" s="1"/>
    </row>
  </sheetData>
  <mergeCells count="2">
    <mergeCell ref="B3:C3"/>
    <mergeCell ref="B4:C4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266CE-189B-4C43-A7BF-566AE3E59D30}">
  <dimension ref="B2:C9"/>
  <sheetViews>
    <sheetView workbookViewId="0">
      <selection activeCell="D13" sqref="D13:E13"/>
    </sheetView>
  </sheetViews>
  <sheetFormatPr defaultColWidth="11.42578125" defaultRowHeight="15"/>
  <cols>
    <col min="2" max="2" width="34.7109375" bestFit="1" customWidth="1"/>
    <col min="3" max="3" width="11.5703125" customWidth="1"/>
  </cols>
  <sheetData>
    <row r="2" spans="2:3">
      <c r="B2" s="18" t="s">
        <v>37</v>
      </c>
      <c r="C2" s="9">
        <v>125000</v>
      </c>
    </row>
    <row r="3" spans="2:3">
      <c r="B3" s="18" t="s">
        <v>44</v>
      </c>
      <c r="C3" s="27">
        <v>-189.26</v>
      </c>
    </row>
    <row r="4" spans="2:3">
      <c r="B4" s="18" t="s">
        <v>45</v>
      </c>
      <c r="C4" s="11">
        <v>52</v>
      </c>
    </row>
    <row r="5" spans="2:3">
      <c r="B5" s="18" t="s">
        <v>46</v>
      </c>
      <c r="C5" s="11">
        <v>1040</v>
      </c>
    </row>
    <row r="6" spans="2:3">
      <c r="B6" s="18" t="s">
        <v>47</v>
      </c>
      <c r="C6" s="11">
        <v>2</v>
      </c>
    </row>
    <row r="7" spans="2:3" ht="30">
      <c r="B7" s="22" t="s">
        <v>41</v>
      </c>
      <c r="C7" s="11">
        <v>0</v>
      </c>
    </row>
    <row r="8" spans="2:3">
      <c r="B8" s="18" t="s">
        <v>48</v>
      </c>
      <c r="C8" s="25">
        <f>RATE(C5,C3,C2,0,0)</f>
        <v>9.5022313255745626E-4</v>
      </c>
    </row>
    <row r="9" spans="2:3">
      <c r="B9" s="18" t="s">
        <v>49</v>
      </c>
      <c r="C9" s="28">
        <f>((1+C8)^(C4/C6)-1)*C6</f>
        <v>5.000298946516768E-2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32B9D-8D1A-4638-95CA-00038B89D24E}">
  <dimension ref="B2:C10"/>
  <sheetViews>
    <sheetView workbookViewId="0">
      <selection activeCell="C11" sqref="C11"/>
    </sheetView>
  </sheetViews>
  <sheetFormatPr defaultColWidth="11.42578125" defaultRowHeight="15"/>
  <cols>
    <col min="2" max="2" width="39.140625" bestFit="1" customWidth="1"/>
  </cols>
  <sheetData>
    <row r="2" spans="2:3">
      <c r="B2" s="18" t="s">
        <v>17</v>
      </c>
      <c r="C2" s="27">
        <v>35000</v>
      </c>
    </row>
    <row r="3" spans="2:3">
      <c r="B3" s="18" t="s">
        <v>50</v>
      </c>
      <c r="C3" s="5">
        <v>0</v>
      </c>
    </row>
    <row r="4" spans="2:3">
      <c r="B4" s="18" t="s">
        <v>20</v>
      </c>
      <c r="C4" s="10">
        <v>0.06</v>
      </c>
    </row>
    <row r="5" spans="2:3">
      <c r="B5" s="18" t="s">
        <v>38</v>
      </c>
      <c r="C5" s="23">
        <v>12</v>
      </c>
    </row>
    <row r="6" spans="2:3">
      <c r="B6" s="18" t="s">
        <v>39</v>
      </c>
      <c r="C6" s="23">
        <v>12</v>
      </c>
    </row>
    <row r="7" spans="2:3">
      <c r="B7" s="18" t="s">
        <v>51</v>
      </c>
      <c r="C7" s="23">
        <v>24</v>
      </c>
    </row>
    <row r="8" spans="2:3">
      <c r="B8" s="18" t="s">
        <v>52</v>
      </c>
      <c r="C8" s="23">
        <v>4</v>
      </c>
    </row>
    <row r="9" spans="2:3">
      <c r="B9" s="18" t="s">
        <v>19</v>
      </c>
      <c r="C9" s="30">
        <f>(1+C4/C5)^(C5/C6)-1</f>
        <v>4.9999999999998934E-3</v>
      </c>
    </row>
    <row r="10" spans="2:3">
      <c r="B10" s="18" t="s">
        <v>42</v>
      </c>
      <c r="C10" s="29">
        <f>PMT((C9-C3),C7,C2*(1+C9)^C8,0,1)</f>
        <v>-1574.6062147337693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ECC8B-B08A-425D-934A-50AC43D08F9B}">
  <dimension ref="B2:C13"/>
  <sheetViews>
    <sheetView workbookViewId="0">
      <selection activeCell="B2" sqref="B2"/>
    </sheetView>
  </sheetViews>
  <sheetFormatPr defaultColWidth="11.42578125" defaultRowHeight="15"/>
  <cols>
    <col min="2" max="2" width="35.5703125" bestFit="1" customWidth="1"/>
    <col min="3" max="3" width="31.28515625" customWidth="1"/>
  </cols>
  <sheetData>
    <row r="2" spans="2:3">
      <c r="B2" s="18" t="s">
        <v>53</v>
      </c>
      <c r="C2" s="9">
        <v>22000</v>
      </c>
    </row>
    <row r="3" spans="2:3">
      <c r="B3" s="18" t="s">
        <v>50</v>
      </c>
      <c r="C3" s="9">
        <v>0</v>
      </c>
    </row>
    <row r="4" spans="2:3">
      <c r="B4" s="18" t="s">
        <v>54</v>
      </c>
      <c r="C4" s="31">
        <v>0.05</v>
      </c>
    </row>
    <row r="5" spans="2:3">
      <c r="B5" s="18" t="s">
        <v>47</v>
      </c>
      <c r="C5" s="32">
        <v>12</v>
      </c>
    </row>
    <row r="6" spans="2:3">
      <c r="B6" s="18" t="s">
        <v>55</v>
      </c>
      <c r="C6" s="23">
        <v>-970</v>
      </c>
    </row>
    <row r="7" spans="2:3">
      <c r="B7" s="18" t="s">
        <v>56</v>
      </c>
      <c r="C7" s="23">
        <v>12</v>
      </c>
    </row>
    <row r="8" spans="2:3">
      <c r="B8" s="18" t="s">
        <v>46</v>
      </c>
      <c r="C8" s="23">
        <v>24</v>
      </c>
    </row>
    <row r="9" spans="2:3" ht="45">
      <c r="B9" s="22" t="s">
        <v>57</v>
      </c>
      <c r="C9" s="11">
        <v>2</v>
      </c>
    </row>
    <row r="10" spans="2:3" ht="30">
      <c r="B10" s="22" t="s">
        <v>58</v>
      </c>
      <c r="C10" s="11">
        <v>0</v>
      </c>
    </row>
    <row r="11" spans="2:3">
      <c r="B11" s="22" t="s">
        <v>48</v>
      </c>
      <c r="C11" s="25">
        <f>(1+C4/C5)^(C5/C7)-1</f>
        <v>4.1666666666666519E-3</v>
      </c>
    </row>
    <row r="12" spans="2:3">
      <c r="B12" s="18" t="s">
        <v>59</v>
      </c>
      <c r="C12" s="21" t="str">
        <f>IF(C9=1,PV(C11,C8-1,C6,0,0)-C2*(1+C11),"")</f>
        <v/>
      </c>
    </row>
    <row r="13" spans="2:3">
      <c r="B13" s="18" t="s">
        <v>60</v>
      </c>
      <c r="C13" s="33">
        <f>IF(C9=2,FV(C11,C8,C6,C2-C3,C10)+C6,"")</f>
        <v>-848.36646430442488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4C40F-89C4-4B32-9503-9B076A1C55F5}">
  <dimension ref="B3:L31"/>
  <sheetViews>
    <sheetView tabSelected="1" topLeftCell="G1" workbookViewId="0">
      <selection activeCell="L10" sqref="L10"/>
    </sheetView>
  </sheetViews>
  <sheetFormatPr defaultColWidth="11.42578125" defaultRowHeight="15"/>
  <cols>
    <col min="2" max="2" width="9.85546875" customWidth="1"/>
    <col min="5" max="5" width="13.28515625" bestFit="1" customWidth="1"/>
  </cols>
  <sheetData>
    <row r="3" spans="2:12">
      <c r="B3" s="64" t="s">
        <v>53</v>
      </c>
      <c r="C3" s="64"/>
      <c r="D3" s="64"/>
      <c r="E3" s="64"/>
      <c r="F3" s="9">
        <v>20000</v>
      </c>
      <c r="H3" s="64" t="s">
        <v>53</v>
      </c>
      <c r="I3" s="64"/>
      <c r="J3" s="64"/>
      <c r="K3" s="64"/>
      <c r="L3" s="9">
        <v>1000</v>
      </c>
    </row>
    <row r="4" spans="2:12">
      <c r="B4" s="64" t="s">
        <v>50</v>
      </c>
      <c r="C4" s="64"/>
      <c r="D4" s="64"/>
      <c r="E4" s="64"/>
      <c r="F4" s="9">
        <v>0</v>
      </c>
      <c r="H4" s="64" t="s">
        <v>50</v>
      </c>
      <c r="I4" s="64"/>
      <c r="J4" s="64"/>
      <c r="K4" s="64"/>
      <c r="L4" s="9">
        <v>0</v>
      </c>
    </row>
    <row r="5" spans="2:12">
      <c r="B5" s="64" t="s">
        <v>54</v>
      </c>
      <c r="C5" s="64"/>
      <c r="D5" s="64"/>
      <c r="E5" s="64"/>
      <c r="F5" s="10">
        <v>0.06</v>
      </c>
      <c r="H5" s="64" t="s">
        <v>54</v>
      </c>
      <c r="I5" s="64"/>
      <c r="J5" s="64"/>
      <c r="K5" s="64"/>
      <c r="L5" s="10">
        <v>0.06</v>
      </c>
    </row>
    <row r="6" spans="2:12">
      <c r="B6" s="64" t="s">
        <v>61</v>
      </c>
      <c r="C6" s="64"/>
      <c r="D6" s="64"/>
      <c r="E6" s="64"/>
      <c r="F6" s="23">
        <v>2</v>
      </c>
      <c r="H6" s="64" t="s">
        <v>61</v>
      </c>
      <c r="I6" s="64"/>
      <c r="J6" s="64"/>
      <c r="K6" s="64"/>
      <c r="L6" s="23">
        <v>12</v>
      </c>
    </row>
    <row r="7" spans="2:12">
      <c r="B7" s="64" t="s">
        <v>62</v>
      </c>
      <c r="C7" s="64"/>
      <c r="D7" s="64"/>
      <c r="E7" s="64"/>
      <c r="F7" s="11">
        <v>12</v>
      </c>
      <c r="H7" s="64" t="s">
        <v>62</v>
      </c>
      <c r="I7" s="64"/>
      <c r="J7" s="64"/>
      <c r="K7" s="64"/>
      <c r="L7" s="11">
        <v>12</v>
      </c>
    </row>
    <row r="8" spans="2:12">
      <c r="B8" s="64" t="s">
        <v>51</v>
      </c>
      <c r="C8" s="64"/>
      <c r="D8" s="64"/>
      <c r="E8" s="64"/>
      <c r="F8" s="11">
        <v>18</v>
      </c>
      <c r="H8" s="64" t="s">
        <v>51</v>
      </c>
      <c r="I8" s="64"/>
      <c r="J8" s="64"/>
      <c r="K8" s="64"/>
      <c r="L8" s="11">
        <v>5</v>
      </c>
    </row>
    <row r="9" spans="2:12">
      <c r="B9" s="64" t="s">
        <v>63</v>
      </c>
      <c r="C9" s="64"/>
      <c r="D9" s="64"/>
      <c r="E9" s="64"/>
      <c r="F9" s="30">
        <f>(1+F5/F6)^(F6/F7)-1</f>
        <v>4.938622031196882E-3</v>
      </c>
      <c r="H9" s="64" t="s">
        <v>63</v>
      </c>
      <c r="I9" s="64"/>
      <c r="J9" s="64"/>
      <c r="K9" s="64"/>
      <c r="L9" s="30">
        <f>(1+L5/L6)^(L6/L7)-1</f>
        <v>4.9999999999998934E-3</v>
      </c>
    </row>
    <row r="10" spans="2:12">
      <c r="B10" s="65" t="s">
        <v>42</v>
      </c>
      <c r="C10" s="65"/>
      <c r="D10" s="65"/>
      <c r="E10" s="65"/>
      <c r="F10" s="41">
        <f>PMT(F9,F8,F3-F4,0)</f>
        <v>-1163.9685606746202</v>
      </c>
      <c r="H10" s="65" t="s">
        <v>42</v>
      </c>
      <c r="I10" s="65"/>
      <c r="J10" s="65"/>
      <c r="K10" s="65"/>
      <c r="L10" s="41">
        <f>PMT(L9,L8,L3-L4,0)</f>
        <v>-203.00997497549804</v>
      </c>
    </row>
    <row r="11" spans="2:12">
      <c r="B11" s="35" t="s">
        <v>64</v>
      </c>
      <c r="C11" s="35" t="s">
        <v>65</v>
      </c>
      <c r="D11" s="35" t="s">
        <v>66</v>
      </c>
      <c r="E11" s="35" t="s">
        <v>67</v>
      </c>
      <c r="F11" s="35" t="s">
        <v>68</v>
      </c>
      <c r="H11" s="35" t="s">
        <v>64</v>
      </c>
      <c r="I11" s="35" t="s">
        <v>65</v>
      </c>
      <c r="J11" s="35" t="s">
        <v>66</v>
      </c>
      <c r="K11" s="35" t="s">
        <v>67</v>
      </c>
      <c r="L11" s="35" t="s">
        <v>68</v>
      </c>
    </row>
    <row r="12" spans="2:12">
      <c r="B12" s="34">
        <v>0</v>
      </c>
      <c r="C12" s="38"/>
      <c r="D12" s="38"/>
      <c r="E12" s="38"/>
      <c r="F12" s="38">
        <f>F3</f>
        <v>20000</v>
      </c>
      <c r="H12" s="34">
        <v>0</v>
      </c>
      <c r="I12" s="38"/>
      <c r="J12" s="38"/>
      <c r="K12" s="38"/>
      <c r="L12" s="38">
        <f>L3</f>
        <v>1000</v>
      </c>
    </row>
    <row r="13" spans="2:12">
      <c r="B13" s="34">
        <v>1</v>
      </c>
      <c r="C13" s="38">
        <f>-$F$10</f>
        <v>1163.9685606746202</v>
      </c>
      <c r="D13" s="38">
        <f>-IPMT($F$9,B13,$F$8,$F$3-$F$4)</f>
        <v>98.772440623937641</v>
      </c>
      <c r="E13" s="38">
        <f>-PPMT($F$9,B13,$F$8,$F$3-$F$4)</f>
        <v>1065.1961200506826</v>
      </c>
      <c r="F13" s="38">
        <f>F12-E13</f>
        <v>18934.803879949319</v>
      </c>
      <c r="H13" s="34">
        <v>1</v>
      </c>
      <c r="I13" s="38">
        <f>-$L$10</f>
        <v>203.00997497549804</v>
      </c>
      <c r="J13" s="38">
        <f>-IPMT($L$9,H13,$L$8,$L$3-$L$4)</f>
        <v>4.9999999999998925</v>
      </c>
      <c r="K13" s="38">
        <f>-PPMT($L$9,H13,$L$8,$L$3-$L$4)</f>
        <v>198.00997497549815</v>
      </c>
      <c r="L13" s="38">
        <f>L12-K13</f>
        <v>801.99002502450185</v>
      </c>
    </row>
    <row r="14" spans="2:12">
      <c r="B14" s="34">
        <v>2</v>
      </c>
      <c r="C14" s="38">
        <f t="shared" ref="C14:C30" si="0">-$F$10</f>
        <v>1163.9685606746202</v>
      </c>
      <c r="D14" s="38">
        <f t="shared" ref="D14:D30" si="1">-IPMT($F$9,B14,$F$8,$F$3-$F$4)</f>
        <v>93.511839597909884</v>
      </c>
      <c r="E14" s="38">
        <f t="shared" ref="E14:E30" si="2">-PPMT($F$9,B14,$F$8,$F$3-$F$4)</f>
        <v>1070.4567210767104</v>
      </c>
      <c r="F14" s="38">
        <f t="shared" ref="F14:F30" si="3">F13-E14</f>
        <v>17864.34715887261</v>
      </c>
      <c r="H14" s="34">
        <v>2</v>
      </c>
      <c r="I14" s="38">
        <f t="shared" ref="I14:I17" si="4">-$L$10</f>
        <v>203.00997497549804</v>
      </c>
      <c r="J14" s="38">
        <f t="shared" ref="J14:J17" si="5">-IPMT($L$9,H14,$L$8,$L$3-$L$4)</f>
        <v>4.0099501251224234</v>
      </c>
      <c r="K14" s="38">
        <f t="shared" ref="K14:K17" si="6">-PPMT($L$9,H14,$L$8,$L$3-$L$4)</f>
        <v>199.00002485037561</v>
      </c>
      <c r="L14" s="38">
        <f>L13-K14</f>
        <v>602.99000017412618</v>
      </c>
    </row>
    <row r="15" spans="2:12">
      <c r="B15" s="34">
        <v>3</v>
      </c>
      <c r="C15" s="38">
        <f t="shared" si="0"/>
        <v>1163.9685606746202</v>
      </c>
      <c r="D15" s="38">
        <f t="shared" si="1"/>
        <v>88.225258451757696</v>
      </c>
      <c r="E15" s="38">
        <f t="shared" si="2"/>
        <v>1075.7433022228627</v>
      </c>
      <c r="F15" s="38">
        <f t="shared" si="3"/>
        <v>16788.603856649748</v>
      </c>
      <c r="H15" s="34">
        <v>3</v>
      </c>
      <c r="I15" s="38">
        <f t="shared" si="4"/>
        <v>203.00997497549804</v>
      </c>
      <c r="J15" s="38">
        <f t="shared" si="5"/>
        <v>3.0149500008705665</v>
      </c>
      <c r="K15" s="38">
        <f t="shared" si="6"/>
        <v>199.99502497462748</v>
      </c>
      <c r="L15" s="38">
        <f>L14-K15</f>
        <v>402.9949751994987</v>
      </c>
    </row>
    <row r="16" spans="2:12">
      <c r="B16" s="34">
        <v>4</v>
      </c>
      <c r="C16" s="38">
        <f t="shared" si="0"/>
        <v>1163.9685606746202</v>
      </c>
      <c r="D16" s="38">
        <f t="shared" si="1"/>
        <v>82.912568879487381</v>
      </c>
      <c r="E16" s="38">
        <f t="shared" si="2"/>
        <v>1081.055991795133</v>
      </c>
      <c r="F16" s="38">
        <f t="shared" si="3"/>
        <v>15707.547864854616</v>
      </c>
      <c r="H16" s="34">
        <v>4</v>
      </c>
      <c r="I16" s="38">
        <f t="shared" si="4"/>
        <v>203.00997497549804</v>
      </c>
      <c r="J16" s="38">
        <f t="shared" si="5"/>
        <v>2.0149748759974506</v>
      </c>
      <c r="K16" s="38">
        <f t="shared" si="6"/>
        <v>200.99500009950057</v>
      </c>
      <c r="L16" s="38">
        <f t="shared" ref="L14:L17" si="7">L15-K16</f>
        <v>201.99997509999812</v>
      </c>
    </row>
    <row r="17" spans="2:12">
      <c r="B17" s="34">
        <v>5</v>
      </c>
      <c r="C17" s="38">
        <f t="shared" si="0"/>
        <v>1163.9685606746202</v>
      </c>
      <c r="D17" s="38">
        <f t="shared" si="1"/>
        <v>77.573641941450546</v>
      </c>
      <c r="E17" s="38">
        <f t="shared" si="2"/>
        <v>1086.3949187331698</v>
      </c>
      <c r="F17" s="38">
        <f t="shared" si="3"/>
        <v>14621.152946121447</v>
      </c>
      <c r="H17" s="34">
        <v>5</v>
      </c>
      <c r="I17" s="38">
        <f t="shared" si="4"/>
        <v>203.00997497549804</v>
      </c>
      <c r="J17" s="38">
        <f t="shared" si="5"/>
        <v>1.0099998754999691</v>
      </c>
      <c r="K17" s="38">
        <f t="shared" si="6"/>
        <v>201.99997509999807</v>
      </c>
      <c r="L17" s="38">
        <f t="shared" si="7"/>
        <v>0</v>
      </c>
    </row>
    <row r="18" spans="2:12">
      <c r="B18" s="34">
        <v>6</v>
      </c>
      <c r="C18" s="38">
        <f t="shared" si="0"/>
        <v>1163.9685606746202</v>
      </c>
      <c r="D18" s="38">
        <f t="shared" si="1"/>
        <v>72.208348061214551</v>
      </c>
      <c r="E18" s="38">
        <f t="shared" si="2"/>
        <v>1091.7602126134057</v>
      </c>
      <c r="F18" s="38">
        <f t="shared" si="3"/>
        <v>13529.392733508041</v>
      </c>
      <c r="H18" s="37" t="s">
        <v>69</v>
      </c>
      <c r="I18" s="39">
        <f>SUM(I13:I17)</f>
        <v>1015.0498748774902</v>
      </c>
      <c r="J18" s="39">
        <f>SUM(J13:J17)</f>
        <v>15.049874877490304</v>
      </c>
      <c r="K18" s="39">
        <f>SUM(K13:K17)</f>
        <v>999.99999999999989</v>
      </c>
      <c r="L18" s="40"/>
    </row>
    <row r="19" spans="2:12">
      <c r="B19" s="34">
        <v>7</v>
      </c>
      <c r="C19" s="38">
        <f t="shared" si="0"/>
        <v>1163.9685606746202</v>
      </c>
      <c r="D19" s="38">
        <f t="shared" si="1"/>
        <v>66.816557022417797</v>
      </c>
      <c r="E19" s="38">
        <f t="shared" si="2"/>
        <v>1097.1520036522027</v>
      </c>
      <c r="F19" s="38">
        <f t="shared" si="3"/>
        <v>12432.240729855837</v>
      </c>
    </row>
    <row r="20" spans="2:12">
      <c r="B20" s="34">
        <v>8</v>
      </c>
      <c r="C20" s="38">
        <f t="shared" si="0"/>
        <v>1163.9685606746202</v>
      </c>
      <c r="D20" s="38">
        <f t="shared" si="1"/>
        <v>61.398137965609223</v>
      </c>
      <c r="E20" s="38">
        <f t="shared" si="2"/>
        <v>1102.5704227090109</v>
      </c>
      <c r="F20" s="38">
        <f t="shared" si="3"/>
        <v>11329.670307146826</v>
      </c>
    </row>
    <row r="21" spans="2:12">
      <c r="B21" s="34">
        <v>9</v>
      </c>
      <c r="C21" s="38">
        <f t="shared" si="0"/>
        <v>1163.9685606746202</v>
      </c>
      <c r="D21" s="38">
        <f t="shared" si="1"/>
        <v>55.952959385072447</v>
      </c>
      <c r="E21" s="38">
        <f t="shared" si="2"/>
        <v>1108.0156012895479</v>
      </c>
      <c r="F21" s="38">
        <f t="shared" si="3"/>
        <v>10221.654705857278</v>
      </c>
    </row>
    <row r="22" spans="2:12">
      <c r="B22" s="34">
        <v>10</v>
      </c>
      <c r="C22" s="38">
        <f t="shared" si="0"/>
        <v>1163.9685606746202</v>
      </c>
      <c r="D22" s="38">
        <f t="shared" si="1"/>
        <v>50.480889125634008</v>
      </c>
      <c r="E22" s="38">
        <f t="shared" si="2"/>
        <v>1113.4876715489863</v>
      </c>
      <c r="F22" s="38">
        <f t="shared" si="3"/>
        <v>9108.1670343082915</v>
      </c>
    </row>
    <row r="23" spans="2:12">
      <c r="B23" s="34">
        <v>11</v>
      </c>
      <c r="C23" s="38">
        <f t="shared" si="0"/>
        <v>1163.9685606746202</v>
      </c>
      <c r="D23" s="38">
        <f t="shared" si="1"/>
        <v>44.981794379456083</v>
      </c>
      <c r="E23" s="38">
        <f t="shared" si="2"/>
        <v>1118.986766295164</v>
      </c>
      <c r="F23" s="38">
        <f t="shared" si="3"/>
        <v>7989.1802680131277</v>
      </c>
    </row>
    <row r="24" spans="2:12">
      <c r="B24" s="34">
        <v>12</v>
      </c>
      <c r="C24" s="38">
        <f t="shared" si="0"/>
        <v>1163.9685606746202</v>
      </c>
      <c r="D24" s="38">
        <f t="shared" si="1"/>
        <v>39.455541682813028</v>
      </c>
      <c r="E24" s="38">
        <f t="shared" si="2"/>
        <v>1124.5130189918073</v>
      </c>
      <c r="F24" s="38">
        <f t="shared" si="3"/>
        <v>6864.6672490213205</v>
      </c>
    </row>
    <row r="25" spans="2:12">
      <c r="B25" s="34">
        <v>13</v>
      </c>
      <c r="C25" s="38">
        <f t="shared" si="0"/>
        <v>1163.9685606746202</v>
      </c>
      <c r="D25" s="38">
        <f t="shared" si="1"/>
        <v>33.901996912852368</v>
      </c>
      <c r="E25" s="38">
        <f t="shared" si="2"/>
        <v>1130.0665637617678</v>
      </c>
      <c r="F25" s="38">
        <f t="shared" si="3"/>
        <v>5734.6006852595528</v>
      </c>
    </row>
    <row r="26" spans="2:12">
      <c r="B26" s="34">
        <v>14</v>
      </c>
      <c r="C26" s="38">
        <f t="shared" si="0"/>
        <v>1163.9685606746202</v>
      </c>
      <c r="D26" s="38">
        <f t="shared" si="1"/>
        <v>28.321025284339548</v>
      </c>
      <c r="E26" s="38">
        <f t="shared" si="2"/>
        <v>1135.6475353902806</v>
      </c>
      <c r="F26" s="38">
        <f t="shared" si="3"/>
        <v>4598.9531498692722</v>
      </c>
    </row>
    <row r="27" spans="2:12">
      <c r="B27" s="34">
        <v>15</v>
      </c>
      <c r="C27" s="38">
        <f t="shared" si="0"/>
        <v>1163.9685606746202</v>
      </c>
      <c r="D27" s="38">
        <f t="shared" si="1"/>
        <v>22.71249134638666</v>
      </c>
      <c r="E27" s="38">
        <f t="shared" si="2"/>
        <v>1141.2560693282335</v>
      </c>
      <c r="F27" s="38">
        <f t="shared" si="3"/>
        <v>3457.6970805410388</v>
      </c>
    </row>
    <row r="28" spans="2:12">
      <c r="B28" s="34">
        <v>16</v>
      </c>
      <c r="C28" s="38">
        <f t="shared" si="0"/>
        <v>1163.9685606746202</v>
      </c>
      <c r="D28" s="38">
        <f t="shared" si="1"/>
        <v>17.076258979165093</v>
      </c>
      <c r="E28" s="38">
        <f t="shared" si="2"/>
        <v>1146.892301695455</v>
      </c>
      <c r="F28" s="38">
        <f t="shared" si="3"/>
        <v>2310.8047788455838</v>
      </c>
    </row>
    <row r="29" spans="2:12">
      <c r="B29" s="34">
        <v>17</v>
      </c>
      <c r="C29" s="38">
        <f t="shared" si="0"/>
        <v>1163.9685606746202</v>
      </c>
      <c r="D29" s="38">
        <f t="shared" si="1"/>
        <v>11.412191390601819</v>
      </c>
      <c r="E29" s="38">
        <f t="shared" si="2"/>
        <v>1152.5563692840185</v>
      </c>
      <c r="F29" s="38">
        <f t="shared" si="3"/>
        <v>1158.2484095615653</v>
      </c>
    </row>
    <row r="30" spans="2:12">
      <c r="B30" s="36">
        <v>18</v>
      </c>
      <c r="C30" s="38">
        <f t="shared" si="0"/>
        <v>1163.9685606746202</v>
      </c>
      <c r="D30" s="38">
        <f t="shared" si="1"/>
        <v>5.7201511130594733</v>
      </c>
      <c r="E30" s="38">
        <f t="shared" si="2"/>
        <v>1158.2484095615607</v>
      </c>
      <c r="F30" s="38">
        <f t="shared" si="3"/>
        <v>4.5474735088646412E-12</v>
      </c>
    </row>
    <row r="31" spans="2:12">
      <c r="B31" s="37" t="s">
        <v>69</v>
      </c>
      <c r="C31" s="39">
        <f>SUM(C13:C30)</f>
        <v>20951.434092143169</v>
      </c>
      <c r="D31" s="39">
        <f t="shared" ref="D31" si="8">SUM(D13:D30)</f>
        <v>951.43409214316523</v>
      </c>
      <c r="E31" s="39">
        <f>SUM(E13:E30)</f>
        <v>20000</v>
      </c>
      <c r="F31" s="40"/>
    </row>
  </sheetData>
  <mergeCells count="16">
    <mergeCell ref="H8:K8"/>
    <mergeCell ref="H9:K9"/>
    <mergeCell ref="H10:K10"/>
    <mergeCell ref="H3:K3"/>
    <mergeCell ref="H4:K4"/>
    <mergeCell ref="H5:K5"/>
    <mergeCell ref="H6:K6"/>
    <mergeCell ref="H7:K7"/>
    <mergeCell ref="B9:E9"/>
    <mergeCell ref="B10:E10"/>
    <mergeCell ref="B3:E3"/>
    <mergeCell ref="B4:E4"/>
    <mergeCell ref="B5:E5"/>
    <mergeCell ref="B6:E6"/>
    <mergeCell ref="B7:E7"/>
    <mergeCell ref="B8:E8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B0522-7D41-45DD-9024-4DA87F6D7E5F}">
  <dimension ref="B2:C11"/>
  <sheetViews>
    <sheetView workbookViewId="0">
      <selection activeCell="B11" sqref="B11"/>
    </sheetView>
  </sheetViews>
  <sheetFormatPr defaultColWidth="11.42578125" defaultRowHeight="15"/>
  <cols>
    <col min="2" max="2" width="29.140625" bestFit="1" customWidth="1"/>
  </cols>
  <sheetData>
    <row r="2" spans="2:3">
      <c r="B2" s="18" t="s">
        <v>70</v>
      </c>
      <c r="C2" s="9">
        <v>20000</v>
      </c>
    </row>
    <row r="3" spans="2:3">
      <c r="B3" s="18" t="s">
        <v>20</v>
      </c>
      <c r="C3" s="10">
        <v>0.06</v>
      </c>
    </row>
    <row r="4" spans="2:3">
      <c r="B4" s="18" t="s">
        <v>71</v>
      </c>
      <c r="C4" s="23">
        <v>2</v>
      </c>
    </row>
    <row r="5" spans="2:3">
      <c r="B5" s="18" t="s">
        <v>72</v>
      </c>
      <c r="C5" s="23">
        <v>12</v>
      </c>
    </row>
    <row r="6" spans="2:3">
      <c r="B6" s="18" t="s">
        <v>73</v>
      </c>
      <c r="C6" s="23">
        <v>18</v>
      </c>
    </row>
    <row r="7" spans="2:3">
      <c r="B7" s="18" t="s">
        <v>74</v>
      </c>
      <c r="C7" s="23">
        <v>13</v>
      </c>
    </row>
    <row r="8" spans="2:3">
      <c r="B8" s="18" t="s">
        <v>75</v>
      </c>
      <c r="C8" s="23">
        <v>18</v>
      </c>
    </row>
    <row r="9" spans="2:3">
      <c r="B9" s="18" t="s">
        <v>19</v>
      </c>
      <c r="C9" s="30">
        <f>(1+C3/C4)^(C4/C5)-1</f>
        <v>4.938622031196882E-3</v>
      </c>
    </row>
    <row r="10" spans="2:3">
      <c r="B10" s="18" t="s">
        <v>76</v>
      </c>
      <c r="C10" s="21">
        <f>CUMPRINC(C9,C6,C2,C7,C8,0)</f>
        <v>-6864.6672490213168</v>
      </c>
    </row>
    <row r="11" spans="2:3">
      <c r="B11" s="18" t="s">
        <v>77</v>
      </c>
      <c r="C11" s="21">
        <f>CUMIPMT(C9,C6,C2,C7,C8,0)</f>
        <v>-119.14411502640451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2F09E2-53DC-40E0-8700-54BAA7F5C70F}">
  <dimension ref="B7:M24"/>
  <sheetViews>
    <sheetView workbookViewId="0">
      <selection activeCell="B4" sqref="B4"/>
    </sheetView>
  </sheetViews>
  <sheetFormatPr defaultColWidth="11.42578125" defaultRowHeight="15"/>
  <cols>
    <col min="2" max="2" width="22.5703125" bestFit="1" customWidth="1"/>
    <col min="3" max="3" width="12" bestFit="1" customWidth="1"/>
  </cols>
  <sheetData>
    <row r="7" spans="2:13">
      <c r="B7" s="44"/>
      <c r="C7" s="62" t="s">
        <v>78</v>
      </c>
      <c r="D7" s="66"/>
      <c r="E7" s="66"/>
      <c r="F7" s="66"/>
      <c r="G7" s="66"/>
      <c r="H7" s="66"/>
      <c r="I7" s="66"/>
      <c r="J7" s="66"/>
      <c r="K7" s="66"/>
      <c r="L7" s="66"/>
      <c r="M7" s="63"/>
    </row>
    <row r="8" spans="2:13">
      <c r="B8" s="46" t="s">
        <v>79</v>
      </c>
      <c r="C8" s="34">
        <v>0</v>
      </c>
      <c r="D8" s="34">
        <v>1</v>
      </c>
      <c r="E8" s="34">
        <v>2</v>
      </c>
      <c r="F8" s="34">
        <v>3</v>
      </c>
      <c r="G8" s="34">
        <v>4</v>
      </c>
      <c r="H8" s="34">
        <v>5</v>
      </c>
      <c r="I8" s="34">
        <v>6</v>
      </c>
      <c r="J8" s="34">
        <v>7</v>
      </c>
      <c r="K8" s="34">
        <v>8</v>
      </c>
      <c r="L8" s="34">
        <v>9</v>
      </c>
      <c r="M8" s="34">
        <v>10</v>
      </c>
    </row>
    <row r="9" spans="2:13">
      <c r="B9" s="48" t="s">
        <v>80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</row>
    <row r="10" spans="2:13">
      <c r="B10" s="49" t="s">
        <v>81</v>
      </c>
      <c r="C10" s="9">
        <v>-50000</v>
      </c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2:13">
      <c r="B11" s="49" t="s">
        <v>82</v>
      </c>
      <c r="C11" s="9">
        <v>-380000</v>
      </c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2:13">
      <c r="B12" s="49" t="s">
        <v>83</v>
      </c>
      <c r="C12" s="9">
        <v>-25000</v>
      </c>
      <c r="D12" s="9"/>
      <c r="E12" s="9"/>
      <c r="F12" s="9"/>
      <c r="G12" s="9"/>
      <c r="H12" s="9"/>
      <c r="I12" s="9">
        <v>-22000</v>
      </c>
      <c r="J12" s="9"/>
      <c r="K12" s="9"/>
      <c r="L12" s="9"/>
      <c r="M12" s="9"/>
    </row>
    <row r="13" spans="2:13">
      <c r="B13" s="48" t="s">
        <v>84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2:13">
      <c r="B14" s="49" t="s">
        <v>85</v>
      </c>
      <c r="C14" s="9"/>
      <c r="D14" s="9">
        <v>70600</v>
      </c>
      <c r="E14" s="9">
        <f>D14</f>
        <v>70600</v>
      </c>
      <c r="F14" s="9">
        <f>E14</f>
        <v>70600</v>
      </c>
      <c r="G14" s="9">
        <v>74130</v>
      </c>
      <c r="H14" s="9">
        <v>74130</v>
      </c>
      <c r="I14" s="9">
        <v>74130</v>
      </c>
      <c r="J14" s="9">
        <v>77830</v>
      </c>
      <c r="K14" s="9">
        <v>77830</v>
      </c>
      <c r="L14" s="9">
        <v>77830</v>
      </c>
      <c r="M14" s="9">
        <v>81720</v>
      </c>
    </row>
    <row r="15" spans="2:13">
      <c r="B15" s="49" t="s">
        <v>86</v>
      </c>
      <c r="C15" s="9"/>
      <c r="D15" s="9">
        <v>-16000</v>
      </c>
      <c r="E15" s="9">
        <v>-16240</v>
      </c>
      <c r="F15" s="9">
        <v>-16484</v>
      </c>
      <c r="G15" s="9">
        <v>-16731</v>
      </c>
      <c r="H15" s="9">
        <v>-16982</v>
      </c>
      <c r="I15" s="9">
        <v>-17237</v>
      </c>
      <c r="J15" s="9">
        <v>-17495</v>
      </c>
      <c r="K15" s="9">
        <v>-17758</v>
      </c>
      <c r="L15" s="9">
        <v>-18024</v>
      </c>
      <c r="M15" s="9">
        <v>-18294</v>
      </c>
    </row>
    <row r="16" spans="2:13">
      <c r="B16" s="47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  <row r="17" spans="2:13">
      <c r="B17" s="48" t="s">
        <v>87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</row>
    <row r="18" spans="2:13">
      <c r="B18" s="49" t="s">
        <v>81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>
        <v>58000</v>
      </c>
    </row>
    <row r="19" spans="2:13">
      <c r="B19" s="50" t="s">
        <v>82</v>
      </c>
      <c r="C19" s="9"/>
      <c r="D19" s="9"/>
      <c r="E19" s="9"/>
      <c r="F19" s="9"/>
      <c r="G19" s="9"/>
      <c r="H19" s="9"/>
      <c r="I19" s="9"/>
      <c r="J19" s="9"/>
      <c r="K19" s="9"/>
      <c r="L19" s="9"/>
      <c r="M19" s="9">
        <v>330000</v>
      </c>
    </row>
    <row r="20" spans="2:13">
      <c r="B20" s="50" t="s">
        <v>83</v>
      </c>
      <c r="C20" s="9"/>
      <c r="D20" s="9"/>
      <c r="E20" s="9"/>
      <c r="F20" s="9"/>
      <c r="G20" s="9"/>
      <c r="H20" s="9"/>
      <c r="I20" s="9"/>
      <c r="J20" s="9"/>
      <c r="K20" s="9"/>
      <c r="L20" s="9"/>
      <c r="M20" s="9">
        <v>15000</v>
      </c>
    </row>
    <row r="21" spans="2:13">
      <c r="B21" s="45" t="s">
        <v>88</v>
      </c>
      <c r="C21" s="21">
        <f>SUM(C10:C20)</f>
        <v>-455000</v>
      </c>
      <c r="D21" s="21">
        <f t="shared" ref="D21:M21" si="0">SUM(D10:D20)</f>
        <v>54600</v>
      </c>
      <c r="E21" s="21">
        <f t="shared" si="0"/>
        <v>54360</v>
      </c>
      <c r="F21" s="21">
        <f t="shared" si="0"/>
        <v>54116</v>
      </c>
      <c r="G21" s="21">
        <f t="shared" si="0"/>
        <v>57399</v>
      </c>
      <c r="H21" s="21">
        <f t="shared" si="0"/>
        <v>57148</v>
      </c>
      <c r="I21" s="21">
        <f t="shared" si="0"/>
        <v>34893</v>
      </c>
      <c r="J21" s="21">
        <f t="shared" si="0"/>
        <v>60335</v>
      </c>
      <c r="K21" s="21">
        <f t="shared" si="0"/>
        <v>60072</v>
      </c>
      <c r="L21" s="21">
        <f t="shared" si="0"/>
        <v>59806</v>
      </c>
      <c r="M21" s="21">
        <f t="shared" si="0"/>
        <v>466426</v>
      </c>
    </row>
    <row r="22" spans="2:13">
      <c r="B22" s="42" t="s">
        <v>89</v>
      </c>
      <c r="C22" s="51">
        <v>0.12</v>
      </c>
    </row>
    <row r="23" spans="2:13">
      <c r="B23" s="42" t="s">
        <v>90</v>
      </c>
      <c r="C23" s="38">
        <f>NPV(C22,D21:M21)+C21</f>
        <v>-14514.653898821969</v>
      </c>
    </row>
    <row r="24" spans="2:13">
      <c r="B24" s="42" t="s">
        <v>91</v>
      </c>
      <c r="C24" s="43">
        <f>IRR(C21:M21)</f>
        <v>0.11421861518645593</v>
      </c>
    </row>
  </sheetData>
  <mergeCells count="1">
    <mergeCell ref="C7:M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04A23-5A5F-4700-9B73-6F199AC01B03}">
  <dimension ref="B2:C6"/>
  <sheetViews>
    <sheetView workbookViewId="0">
      <selection activeCell="D5" sqref="D5"/>
    </sheetView>
  </sheetViews>
  <sheetFormatPr defaultColWidth="11.42578125" defaultRowHeight="15"/>
  <cols>
    <col min="2" max="2" width="16.5703125" customWidth="1"/>
    <col min="3" max="3" width="18.7109375" customWidth="1"/>
  </cols>
  <sheetData>
    <row r="2" spans="2:3">
      <c r="B2" s="3" t="s">
        <v>2</v>
      </c>
      <c r="C2" s="5">
        <v>6000</v>
      </c>
    </row>
    <row r="3" spans="2:3">
      <c r="B3" s="3" t="s">
        <v>3</v>
      </c>
      <c r="C3" s="4">
        <v>0.12</v>
      </c>
    </row>
    <row r="4" spans="2:3">
      <c r="B4" s="3" t="s">
        <v>4</v>
      </c>
      <c r="C4" s="2">
        <v>180</v>
      </c>
    </row>
    <row r="5" spans="2:3">
      <c r="B5" s="3" t="s">
        <v>5</v>
      </c>
      <c r="C5" s="6">
        <f>C2*C3*(C4/'Données de base'!D3)</f>
        <v>355.0684931506849</v>
      </c>
    </row>
    <row r="6" spans="2:3">
      <c r="B6" s="3" t="s">
        <v>6</v>
      </c>
      <c r="C6" s="7">
        <f>C2+C5</f>
        <v>6355.0684931506848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5D5AD-BADB-411A-A653-E13077AA651F}">
  <dimension ref="B2:F7"/>
  <sheetViews>
    <sheetView workbookViewId="0">
      <selection activeCell="B21" sqref="B21"/>
    </sheetView>
  </sheetViews>
  <sheetFormatPr defaultColWidth="11.42578125" defaultRowHeight="15"/>
  <cols>
    <col min="2" max="2" width="27.28515625" customWidth="1"/>
    <col min="5" max="5" width="20.5703125" customWidth="1"/>
  </cols>
  <sheetData>
    <row r="2" spans="2:6">
      <c r="B2" s="3" t="s">
        <v>7</v>
      </c>
      <c r="C2" s="8">
        <v>42163</v>
      </c>
      <c r="E2" s="3" t="s">
        <v>8</v>
      </c>
      <c r="F2" s="11">
        <v>30</v>
      </c>
    </row>
    <row r="3" spans="2:6">
      <c r="B3" s="3" t="s">
        <v>9</v>
      </c>
      <c r="C3" s="8">
        <v>42221</v>
      </c>
      <c r="E3" s="3" t="s">
        <v>3</v>
      </c>
      <c r="F3" s="10">
        <v>0.14000000000000001</v>
      </c>
    </row>
    <row r="4" spans="2:6">
      <c r="B4" s="3" t="s">
        <v>10</v>
      </c>
      <c r="C4" s="9">
        <v>760</v>
      </c>
    </row>
    <row r="5" spans="2:6">
      <c r="B5" s="3" t="s">
        <v>11</v>
      </c>
      <c r="C5" s="12">
        <f>IF((C3-C2-F2)&gt;0,C3-C2-F2,0)</f>
        <v>28</v>
      </c>
    </row>
    <row r="6" spans="2:6">
      <c r="B6" s="3" t="s">
        <v>5</v>
      </c>
      <c r="C6" s="6">
        <f>C4*F3*C5/'Données de base'!D3</f>
        <v>8.1621917808219191</v>
      </c>
    </row>
    <row r="7" spans="2:6">
      <c r="B7" s="3" t="s">
        <v>12</v>
      </c>
      <c r="C7" s="6">
        <f>C4+C6</f>
        <v>768.1621917808219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AF1FB-9B64-42E5-B8DE-C42AD73D0C1C}">
  <dimension ref="B2:C6"/>
  <sheetViews>
    <sheetView workbookViewId="0">
      <selection activeCell="B4" sqref="B4"/>
    </sheetView>
  </sheetViews>
  <sheetFormatPr defaultColWidth="11.42578125" defaultRowHeight="15"/>
  <cols>
    <col min="2" max="2" width="32.5703125" customWidth="1"/>
    <col min="3" max="3" width="15.85546875" customWidth="1"/>
  </cols>
  <sheetData>
    <row r="2" spans="2:3">
      <c r="B2" s="3" t="s">
        <v>13</v>
      </c>
      <c r="C2" s="9">
        <v>-30000</v>
      </c>
    </row>
    <row r="3" spans="2:3">
      <c r="B3" s="3" t="s">
        <v>3</v>
      </c>
      <c r="C3" s="4">
        <v>0.03</v>
      </c>
    </row>
    <row r="4" spans="2:3" ht="18.600000000000001" customHeight="1">
      <c r="B4" s="3" t="s">
        <v>14</v>
      </c>
      <c r="C4" s="11">
        <v>2</v>
      </c>
    </row>
    <row r="5" spans="2:3">
      <c r="B5" s="3" t="s">
        <v>15</v>
      </c>
      <c r="C5" s="11">
        <v>4</v>
      </c>
    </row>
    <row r="6" spans="2:3" ht="19.899999999999999" customHeight="1">
      <c r="B6" s="3" t="s">
        <v>16</v>
      </c>
      <c r="C6" s="6">
        <f>FV(C3/C4,C5*C4,0,C2)</f>
        <v>33794.777597859174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5535C-24A2-4044-A237-04C17A08C63C}">
  <dimension ref="B2:C7"/>
  <sheetViews>
    <sheetView zoomScale="189" zoomScaleNormal="189" workbookViewId="0">
      <selection activeCell="B4" sqref="B4"/>
    </sheetView>
  </sheetViews>
  <sheetFormatPr defaultColWidth="11.42578125" defaultRowHeight="15"/>
  <cols>
    <col min="2" max="2" width="25.5703125" customWidth="1"/>
  </cols>
  <sheetData>
    <row r="2" spans="2:3">
      <c r="B2" s="3" t="s">
        <v>17</v>
      </c>
      <c r="C2" s="9">
        <v>5500</v>
      </c>
    </row>
    <row r="3" spans="2:3" ht="28.15" customHeight="1">
      <c r="B3" s="15" t="s">
        <v>18</v>
      </c>
      <c r="C3" s="9">
        <v>-6077.18</v>
      </c>
    </row>
    <row r="4" spans="2:3" ht="30" customHeight="1">
      <c r="B4" s="15" t="s">
        <v>14</v>
      </c>
      <c r="C4" s="11">
        <v>12</v>
      </c>
    </row>
    <row r="5" spans="2:3">
      <c r="B5" s="3" t="s">
        <v>15</v>
      </c>
      <c r="C5" s="11">
        <v>2</v>
      </c>
    </row>
    <row r="6" spans="2:3">
      <c r="B6" s="3" t="s">
        <v>19</v>
      </c>
      <c r="C6" s="14">
        <f>RATE(C5*C4,0,C2,C3)</f>
        <v>4.1666849419338412E-3</v>
      </c>
    </row>
    <row r="7" spans="2:3">
      <c r="B7" s="3" t="s">
        <v>20</v>
      </c>
      <c r="C7" s="13">
        <f>C6*C4</f>
        <v>5.0000219303206098E-2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017BC-4498-49AD-812A-B88752103B24}">
  <dimension ref="B3:F15"/>
  <sheetViews>
    <sheetView workbookViewId="0">
      <selection activeCell="F4" sqref="F4"/>
    </sheetView>
  </sheetViews>
  <sheetFormatPr defaultColWidth="11.42578125" defaultRowHeight="15"/>
  <cols>
    <col min="2" max="2" width="16" customWidth="1"/>
    <col min="5" max="5" width="18.5703125" customWidth="1"/>
    <col min="6" max="6" width="16.42578125" customWidth="1"/>
  </cols>
  <sheetData>
    <row r="3" spans="2:6" ht="13.15" customHeight="1">
      <c r="B3" s="15" t="s">
        <v>21</v>
      </c>
      <c r="C3" s="9">
        <v>4700</v>
      </c>
      <c r="E3" s="15" t="s">
        <v>22</v>
      </c>
      <c r="F3" s="16">
        <f>FVSCHEDULE(C3,C6:C15)</f>
        <v>5207.9962614250489</v>
      </c>
    </row>
    <row r="4" spans="2:6" ht="30">
      <c r="B4" s="15" t="s">
        <v>23</v>
      </c>
      <c r="C4" s="11">
        <v>5</v>
      </c>
      <c r="E4" s="15" t="s">
        <v>24</v>
      </c>
      <c r="F4" s="17">
        <f>RATE(C4,0,-C3,F3)</f>
        <v>2.0738653865381297E-2</v>
      </c>
    </row>
    <row r="5" spans="2:6">
      <c r="B5" s="53" t="s">
        <v>25</v>
      </c>
      <c r="C5" s="54"/>
    </row>
    <row r="6" spans="2:6">
      <c r="B6" s="15" t="s">
        <v>26</v>
      </c>
      <c r="C6" s="10">
        <v>0.01</v>
      </c>
    </row>
    <row r="7" spans="2:6">
      <c r="B7" s="15" t="s">
        <v>27</v>
      </c>
      <c r="C7" s="10">
        <v>1.2500000000000001E-2</v>
      </c>
    </row>
    <row r="8" spans="2:6">
      <c r="B8" s="15" t="s">
        <v>28</v>
      </c>
      <c r="C8" s="10">
        <v>1.6E-2</v>
      </c>
    </row>
    <row r="9" spans="2:6">
      <c r="B9" s="15" t="s">
        <v>29</v>
      </c>
      <c r="C9" s="10">
        <v>2.4500000000000001E-2</v>
      </c>
    </row>
    <row r="10" spans="2:6">
      <c r="B10" s="15" t="s">
        <v>30</v>
      </c>
      <c r="C10" s="10">
        <v>4.1000000000000002E-2</v>
      </c>
    </row>
    <row r="11" spans="2:6">
      <c r="B11" s="15"/>
      <c r="C11" s="10"/>
    </row>
    <row r="12" spans="2:6">
      <c r="B12" s="15"/>
      <c r="C12" s="10"/>
    </row>
    <row r="13" spans="2:6">
      <c r="B13" s="15"/>
      <c r="C13" s="10"/>
    </row>
    <row r="14" spans="2:6">
      <c r="B14" s="15"/>
      <c r="C14" s="10"/>
    </row>
    <row r="15" spans="2:6">
      <c r="B15" s="15"/>
      <c r="C15" s="10"/>
    </row>
  </sheetData>
  <mergeCells count="1">
    <mergeCell ref="B5:C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9209E-75EF-424A-BACD-B1AA4E0707C3}">
  <dimension ref="B2:F11"/>
  <sheetViews>
    <sheetView zoomScale="184" zoomScaleNormal="184" workbookViewId="0">
      <selection activeCell="C4" sqref="C4"/>
    </sheetView>
  </sheetViews>
  <sheetFormatPr defaultColWidth="11.42578125" defaultRowHeight="15"/>
  <cols>
    <col min="2" max="2" width="14.28515625" customWidth="1"/>
    <col min="5" max="5" width="12.7109375" customWidth="1"/>
  </cols>
  <sheetData>
    <row r="2" spans="2:6">
      <c r="B2" s="55" t="s">
        <v>31</v>
      </c>
      <c r="C2" s="56"/>
      <c r="D2" s="57"/>
      <c r="E2" s="58">
        <v>80000</v>
      </c>
      <c r="F2" s="59"/>
    </row>
    <row r="3" spans="2:6">
      <c r="B3" s="18" t="s">
        <v>3</v>
      </c>
      <c r="C3" s="62"/>
      <c r="D3" s="63"/>
      <c r="E3" s="60">
        <v>0.05</v>
      </c>
      <c r="F3" s="61"/>
    </row>
    <row r="4" spans="2:6" ht="30" customHeight="1">
      <c r="B4" s="19" t="s">
        <v>32</v>
      </c>
      <c r="C4" s="19" t="s">
        <v>33</v>
      </c>
      <c r="D4" s="19" t="s">
        <v>34</v>
      </c>
      <c r="E4" s="19" t="s">
        <v>35</v>
      </c>
      <c r="F4" s="19" t="s">
        <v>34</v>
      </c>
    </row>
    <row r="5" spans="2:6">
      <c r="B5" s="20">
        <v>41883</v>
      </c>
      <c r="C5" s="21">
        <f>E2</f>
        <v>80000</v>
      </c>
      <c r="D5" s="21"/>
      <c r="E5" s="20">
        <v>42004</v>
      </c>
      <c r="F5" s="21">
        <f>D6*(E5-B5)/(B6-B5)</f>
        <v>1326.027397260274</v>
      </c>
    </row>
    <row r="6" spans="2:6">
      <c r="B6" s="20">
        <v>42248</v>
      </c>
      <c r="C6" s="21">
        <f>C5*(1+$E$3)</f>
        <v>84000</v>
      </c>
      <c r="D6" s="21">
        <f>C6-C5</f>
        <v>4000</v>
      </c>
      <c r="E6" s="20">
        <v>42369</v>
      </c>
      <c r="F6" s="21">
        <f>D6*(B6-E5)/(B6-B5)+D7*(E6-B6)/(B7-B6)</f>
        <v>4062.4971929036601</v>
      </c>
    </row>
    <row r="7" spans="2:6">
      <c r="B7" s="20">
        <v>42614</v>
      </c>
      <c r="C7" s="21">
        <f>C6*(1+$E$3)</f>
        <v>88200</v>
      </c>
      <c r="D7" s="21">
        <f t="shared" ref="D7:D8" si="0">C7-C6</f>
        <v>4200</v>
      </c>
      <c r="E7" s="20">
        <v>42735</v>
      </c>
      <c r="F7" s="21">
        <f t="shared" ref="F7:F8" si="1">D7*(B7-E6)/(B7-B6)+D8*(E7-B7)/(B8-B7)</f>
        <v>4273.4206153155174</v>
      </c>
    </row>
    <row r="8" spans="2:6">
      <c r="B8" s="20">
        <v>42979</v>
      </c>
      <c r="C8" s="21">
        <f t="shared" ref="C8" si="2">C7*(1+$E$3)</f>
        <v>92610</v>
      </c>
      <c r="D8" s="21">
        <f t="shared" si="0"/>
        <v>4410</v>
      </c>
      <c r="E8" s="20">
        <v>43100</v>
      </c>
      <c r="F8" s="21">
        <f t="shared" si="1"/>
        <v>2948.0547945205481</v>
      </c>
    </row>
    <row r="9" spans="2:6">
      <c r="B9" s="20"/>
      <c r="C9" s="21"/>
      <c r="D9" s="21"/>
      <c r="E9" s="20"/>
      <c r="F9" s="21"/>
    </row>
    <row r="10" spans="2:6">
      <c r="B10" s="20"/>
      <c r="C10" s="21"/>
      <c r="D10" s="21"/>
      <c r="E10" s="20"/>
      <c r="F10" s="21"/>
    </row>
    <row r="11" spans="2:6">
      <c r="B11" s="62" t="s">
        <v>36</v>
      </c>
      <c r="C11" s="63"/>
      <c r="D11" s="21">
        <f>SUM(D5:D10)</f>
        <v>12610</v>
      </c>
      <c r="E11" s="2"/>
      <c r="F11" s="21">
        <f>SUM(F5:F10)</f>
        <v>12610</v>
      </c>
    </row>
  </sheetData>
  <mergeCells count="5">
    <mergeCell ref="B2:D2"/>
    <mergeCell ref="E2:F2"/>
    <mergeCell ref="E3:F3"/>
    <mergeCell ref="C3:D3"/>
    <mergeCell ref="B11:C1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AAC7C-58DE-4AB3-B8CD-0D52AE1234AD}">
  <dimension ref="B2:C9"/>
  <sheetViews>
    <sheetView workbookViewId="0">
      <selection activeCell="C13" sqref="C13"/>
    </sheetView>
  </sheetViews>
  <sheetFormatPr defaultColWidth="11.42578125" defaultRowHeight="15"/>
  <cols>
    <col min="2" max="2" width="32.28515625" bestFit="1" customWidth="1"/>
  </cols>
  <sheetData>
    <row r="2" spans="2:3">
      <c r="B2" s="18" t="s">
        <v>37</v>
      </c>
      <c r="C2" s="9">
        <v>20000</v>
      </c>
    </row>
    <row r="3" spans="2:3">
      <c r="B3" s="18" t="s">
        <v>20</v>
      </c>
      <c r="C3" s="26">
        <v>0.06</v>
      </c>
    </row>
    <row r="4" spans="2:3">
      <c r="B4" s="18" t="s">
        <v>38</v>
      </c>
      <c r="C4" s="23">
        <v>12</v>
      </c>
    </row>
    <row r="5" spans="2:3">
      <c r="B5" s="18" t="s">
        <v>39</v>
      </c>
      <c r="C5" s="23">
        <v>12</v>
      </c>
    </row>
    <row r="6" spans="2:3">
      <c r="B6" s="18" t="s">
        <v>40</v>
      </c>
      <c r="C6" s="23">
        <v>36</v>
      </c>
    </row>
    <row r="7" spans="2:3" ht="30">
      <c r="B7" s="22" t="s">
        <v>41</v>
      </c>
      <c r="C7" s="23">
        <v>0</v>
      </c>
    </row>
    <row r="8" spans="2:3">
      <c r="B8" s="18" t="s">
        <v>19</v>
      </c>
      <c r="C8" s="25">
        <f>(1+C3/C4)^(C4/C5)-1</f>
        <v>4.9999999999998934E-3</v>
      </c>
    </row>
    <row r="9" spans="2:3">
      <c r="B9" s="18" t="s">
        <v>42</v>
      </c>
      <c r="C9" s="24">
        <f>-PMT(C8,C6,C2,0,C7)</f>
        <v>608.43874903110111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0F8B88-7B79-4F44-B80F-4B38D5CEDDD2}">
  <dimension ref="B2:C9"/>
  <sheetViews>
    <sheetView workbookViewId="0">
      <selection activeCell="E27" sqref="E27"/>
    </sheetView>
  </sheetViews>
  <sheetFormatPr defaultColWidth="11.42578125" defaultRowHeight="15"/>
  <cols>
    <col min="2" max="2" width="32.28515625" bestFit="1" customWidth="1"/>
  </cols>
  <sheetData>
    <row r="2" spans="2:3">
      <c r="B2" s="18" t="s">
        <v>43</v>
      </c>
      <c r="C2" s="9">
        <v>10000</v>
      </c>
    </row>
    <row r="3" spans="2:3">
      <c r="B3" s="18" t="s">
        <v>20</v>
      </c>
      <c r="C3" s="26">
        <v>0.03</v>
      </c>
    </row>
    <row r="4" spans="2:3">
      <c r="B4" s="18" t="s">
        <v>38</v>
      </c>
      <c r="C4" s="11">
        <v>1</v>
      </c>
    </row>
    <row r="5" spans="2:3">
      <c r="B5" s="18" t="s">
        <v>39</v>
      </c>
      <c r="C5" s="11">
        <v>1</v>
      </c>
    </row>
    <row r="6" spans="2:3">
      <c r="B6" s="18" t="s">
        <v>40</v>
      </c>
      <c r="C6" s="11">
        <v>10</v>
      </c>
    </row>
    <row r="7" spans="2:3" ht="30">
      <c r="B7" s="22" t="s">
        <v>41</v>
      </c>
      <c r="C7" s="11">
        <v>1</v>
      </c>
    </row>
    <row r="8" spans="2:3">
      <c r="B8" s="18" t="s">
        <v>19</v>
      </c>
      <c r="C8" s="25">
        <f>(1+C3/C4)^(C4/C5)-1</f>
        <v>3.0000000000000027E-2</v>
      </c>
    </row>
    <row r="9" spans="2:3">
      <c r="B9" s="18" t="s">
        <v>42</v>
      </c>
      <c r="C9" s="24">
        <f>-PMT(C8,C6,0,C2,C7)</f>
        <v>846.89812238019033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Mika</dc:creator>
  <cp:keywords/>
  <dc:description/>
  <cp:lastModifiedBy>Mika Mercier-Faucher (2042467)</cp:lastModifiedBy>
  <cp:revision/>
  <dcterms:created xsi:type="dcterms:W3CDTF">2022-01-20T21:32:51Z</dcterms:created>
  <dcterms:modified xsi:type="dcterms:W3CDTF">2022-05-18T15:48:38Z</dcterms:modified>
  <cp:category/>
  <cp:contentStatus/>
</cp:coreProperties>
</file>