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<sst xmlns="http://schemas.openxmlformats.org/spreadsheetml/2006/main" count="53" uniqueCount="47">
  <si>
    <t>置信系数</t>
  </si>
  <si>
    <t>方差</t>
  </si>
  <si>
    <t>u_al/cm</t>
  </si>
  <si>
    <t>u_T/N</t>
  </si>
  <si>
    <t>u_f</t>
  </si>
  <si>
    <t>l/cm</t>
  </si>
  <si>
    <t>l_1</t>
  </si>
  <si>
    <t>l_2</t>
  </si>
  <si>
    <t>l平均</t>
  </si>
  <si>
    <t>f</t>
  </si>
  <si>
    <t>f平均</t>
  </si>
  <si>
    <t>t(0.683,3)=1.20</t>
  </si>
  <si>
    <t>t(0.683,4)=1.14</t>
  </si>
  <si>
    <t>标准偏差</t>
  </si>
  <si>
    <t>u_bl/cm</t>
  </si>
  <si>
    <t>平均值标准偏差</t>
  </si>
  <si>
    <t>u_l/cm</t>
  </si>
  <si>
    <t>m/g</t>
  </si>
  <si>
    <t>T/N</t>
  </si>
  <si>
    <t>sqrt T</t>
  </si>
  <si>
    <t>a1</t>
  </si>
  <si>
    <t>u_yi</t>
  </si>
  <si>
    <t>f_1</t>
  </si>
  <si>
    <t>f 拟合</t>
  </si>
  <si>
    <t>sqrt T 平均</t>
  </si>
  <si>
    <t>a0</t>
  </si>
  <si>
    <t>u_a1</t>
  </si>
  <si>
    <t>f_2</t>
  </si>
  <si>
    <t>u_f拟合</t>
  </si>
  <si>
    <t>u_a0</t>
  </si>
  <si>
    <t>T 平均</t>
  </si>
  <si>
    <t>Sxy</t>
  </si>
  <si>
    <t>L/cm</t>
  </si>
  <si>
    <t>M/g</t>
  </si>
  <si>
    <t>rho(kg/m)</t>
  </si>
  <si>
    <t>u_L/cm</t>
  </si>
  <si>
    <t>u_M/g</t>
  </si>
  <si>
    <t>u_rho(kg/m)</t>
  </si>
  <si>
    <t>Sxx</t>
  </si>
  <si>
    <t>l*sqrtT</t>
  </si>
  <si>
    <t>平均</t>
  </si>
  <si>
    <t>y_i-a0-a1x_i</t>
  </si>
  <si>
    <t>xi-x平均</t>
  </si>
  <si>
    <t>yi-y平均</t>
  </si>
  <si>
    <t>(xi-x平均)*(yi-y平均)</t>
  </si>
  <si>
    <t>Syy</t>
  </si>
  <si>
    <t>rxy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</si>
</sst>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tabSelected="1" topLeftCell="C1" workbookViewId="0">
      <selection activeCell="H18" sqref="H18"/>
    </sheetView>
  </sheetViews>
  <sheetFormatPr defaultColWidth="9" defaultRowHeight="14.1"/>
  <cols>
    <col min="1" max="1" width="9" style="1"/>
    <col min="2" max="3" width="12.7837837837838" style="1"/>
    <col min="4" max="6" width="13.9369369369369" style="1"/>
    <col min="7" max="7" width="22.0720720720721" style="1" customWidth="1"/>
    <col min="8" max="8" width="17.0540540540541" style="1" customWidth="1"/>
    <col min="9" max="9" width="16.4414414414414" style="1" customWidth="1"/>
    <col min="10" max="10" width="17.1351351351351" style="1" customWidth="1"/>
    <col min="11" max="11" width="21.2972972972973" style="1" customWidth="1"/>
    <col min="12" max="12" width="12.7837837837838" style="1"/>
    <col min="13" max="13" width="13.9369369369369" style="1"/>
    <col min="14" max="16384" width="9" style="1"/>
  </cols>
  <sheetData>
    <row r="1" spans="9:13"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</row>
    <row r="2" spans="2:13">
      <c r="B2" s="1" t="s">
        <v>5</v>
      </c>
      <c r="C2" s="1" t="s">
        <v>6</v>
      </c>
      <c r="D2" s="1" t="s">
        <v>7</v>
      </c>
      <c r="E2" s="1" t="s">
        <v>8</v>
      </c>
      <c r="G2" s="1" t="s">
        <v>9</v>
      </c>
      <c r="H2" s="1" t="s">
        <v>10</v>
      </c>
      <c r="I2" s="1" t="s">
        <v>11</v>
      </c>
      <c r="J2" s="1">
        <f>SUMSQ(F3:F6)/4</f>
        <v>0.221118750000001</v>
      </c>
      <c r="K2" s="1">
        <f>1.2*J6</f>
        <v>0.325786740061655</v>
      </c>
      <c r="L2" s="1">
        <f>0.001*9.8/SQRT(3)</f>
        <v>0.00565803263805833</v>
      </c>
      <c r="M2" s="1">
        <f>H3*SQRT((K6/E3)^2+(L2/(2*C11))^2+(G17/(2*D17))^2)</f>
        <v>3.11136313746645</v>
      </c>
    </row>
    <row r="3" spans="1:11">
      <c r="A3" s="1">
        <v>1</v>
      </c>
      <c r="B3" s="1">
        <f>C3-D3</f>
        <v>39.38</v>
      </c>
      <c r="C3" s="1">
        <v>59.09</v>
      </c>
      <c r="D3" s="1">
        <v>19.71</v>
      </c>
      <c r="E3" s="1">
        <f>AVERAGE(B3:B6)</f>
        <v>38.5775</v>
      </c>
      <c r="F3" s="1">
        <f>B3-E3</f>
        <v>0.802500000000002</v>
      </c>
      <c r="G3" s="1">
        <f>SQRT(0.98/D17)/(B3*0.01)</f>
        <v>94.3477395726826</v>
      </c>
      <c r="H3" s="1">
        <f>AVERAGE(G3:G6)</f>
        <v>96.324517535122</v>
      </c>
      <c r="I3" s="1" t="s">
        <v>12</v>
      </c>
      <c r="J3" s="1" t="s">
        <v>13</v>
      </c>
      <c r="K3" s="1" t="s">
        <v>14</v>
      </c>
    </row>
    <row r="4" spans="1:11">
      <c r="A4" s="1">
        <v>2</v>
      </c>
      <c r="B4" s="1">
        <f>C4-D4</f>
        <v>38.23</v>
      </c>
      <c r="C4" s="1">
        <v>74.45</v>
      </c>
      <c r="D4" s="1">
        <v>36.22</v>
      </c>
      <c r="F4" s="1">
        <f>B4-E3</f>
        <v>-0.347499999999997</v>
      </c>
      <c r="G4" s="1">
        <f>SQRT(0.98/D17)/(B4*0.01)</f>
        <v>97.1858222435847</v>
      </c>
      <c r="J4" s="1">
        <f>SQRT(SUMSQ(F3:F6)/3)</f>
        <v>0.542977900102758</v>
      </c>
      <c r="K4" s="1">
        <f>0.05/3</f>
        <v>0.0166666666666667</v>
      </c>
    </row>
    <row r="5" spans="1:11">
      <c r="A5" s="1">
        <v>3</v>
      </c>
      <c r="B5" s="1">
        <f>C5-D5</f>
        <v>38.44</v>
      </c>
      <c r="C5" s="1">
        <v>55.45</v>
      </c>
      <c r="D5" s="1">
        <v>17.01</v>
      </c>
      <c r="F5" s="1">
        <f>B5-E3</f>
        <v>-0.137500000000003</v>
      </c>
      <c r="G5" s="1">
        <f>SQRT(0.98/D17)/(B5*0.01)</f>
        <v>96.6548903322644</v>
      </c>
      <c r="J5" s="1" t="s">
        <v>15</v>
      </c>
      <c r="K5" s="1" t="s">
        <v>16</v>
      </c>
    </row>
    <row r="6" spans="1:11">
      <c r="A6" s="1">
        <v>4</v>
      </c>
      <c r="B6" s="1">
        <f>C6-D6</f>
        <v>38.26</v>
      </c>
      <c r="C6" s="1">
        <v>75.44</v>
      </c>
      <c r="D6" s="1">
        <v>37.18</v>
      </c>
      <c r="F6" s="1">
        <f>B6-E3</f>
        <v>-0.317500000000003</v>
      </c>
      <c r="G6" s="1">
        <f>SQRT(0.98/D17)/(B6*0.01)</f>
        <v>97.1096179919561</v>
      </c>
      <c r="J6" s="1">
        <f>J4/2</f>
        <v>0.271488950051379</v>
      </c>
      <c r="K6" s="1">
        <f>SQRT(K2^2+K4^2)</f>
        <v>0.32621277991179</v>
      </c>
    </row>
    <row r="8" spans="2:13">
      <c r="B8" s="1" t="s">
        <v>17</v>
      </c>
      <c r="C8" s="1" t="s">
        <v>18</v>
      </c>
      <c r="D8" s="1" t="s">
        <v>5</v>
      </c>
      <c r="E8" s="1" t="s">
        <v>6</v>
      </c>
      <c r="F8" s="1" t="s">
        <v>7</v>
      </c>
      <c r="G8" s="1" t="s">
        <v>9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</row>
    <row r="9" spans="1:13">
      <c r="A9" s="1">
        <v>1</v>
      </c>
      <c r="B9" s="1">
        <v>50</v>
      </c>
      <c r="C9" s="1">
        <f t="shared" ref="C9:C14" si="0">B9/1000*9.8</f>
        <v>0.49</v>
      </c>
      <c r="D9" s="1">
        <f t="shared" ref="D9:D14" si="1">E9-F9</f>
        <v>27.97</v>
      </c>
      <c r="E9" s="1">
        <v>57.43</v>
      </c>
      <c r="F9" s="1">
        <v>29.46</v>
      </c>
      <c r="G9" s="1">
        <f>SQRT(C9/D17)/(D9*0.01)</f>
        <v>93.9290104849819</v>
      </c>
      <c r="H9" s="1">
        <f>AVERAGE(G9:G14)</f>
        <v>96.0346814429309</v>
      </c>
      <c r="I9" s="1">
        <f t="shared" ref="I9:I14" si="2">SQRT(C9)</f>
        <v>0.7</v>
      </c>
      <c r="J9" s="1">
        <f>(C20-H11*H13)/(H15-H11^2)</f>
        <v>37.3712916616944</v>
      </c>
      <c r="K9" s="1">
        <f>SQRT(SUMSQ(D20:D25))/2</f>
        <v>0.148807748266757</v>
      </c>
      <c r="L9" s="1">
        <f>100/((J9+K11)*SQRT(D17))</f>
        <v>99.7519135242688</v>
      </c>
      <c r="M9" s="1">
        <f>100/(J9*SQRT(D17))</f>
        <v>100.428289296339</v>
      </c>
    </row>
    <row r="10" spans="1:13">
      <c r="A10" s="1">
        <v>2</v>
      </c>
      <c r="B10" s="1">
        <v>70</v>
      </c>
      <c r="C10" s="1">
        <f t="shared" si="0"/>
        <v>0.686</v>
      </c>
      <c r="D10" s="1">
        <f t="shared" si="1"/>
        <v>32.52</v>
      </c>
      <c r="E10" s="1">
        <v>66.84</v>
      </c>
      <c r="F10" s="1">
        <v>34.32</v>
      </c>
      <c r="G10" s="1">
        <f>SQRT(C10/D17)/(D10*0.01)</f>
        <v>95.5885105396665</v>
      </c>
      <c r="H10" s="1" t="s">
        <v>24</v>
      </c>
      <c r="I10" s="1">
        <f t="shared" si="2"/>
        <v>0.828251169633946</v>
      </c>
      <c r="J10" s="1" t="s">
        <v>25</v>
      </c>
      <c r="K10" s="1" t="s">
        <v>26</v>
      </c>
      <c r="L10" s="1" t="s">
        <v>27</v>
      </c>
      <c r="M10" s="1" t="s">
        <v>28</v>
      </c>
    </row>
    <row r="11" spans="1:13">
      <c r="A11" s="1">
        <v>3</v>
      </c>
      <c r="B11" s="1">
        <v>100</v>
      </c>
      <c r="C11" s="1">
        <f t="shared" si="0"/>
        <v>0.98</v>
      </c>
      <c r="D11" s="1">
        <f t="shared" si="1"/>
        <v>38.66</v>
      </c>
      <c r="E11" s="1">
        <v>75.43</v>
      </c>
      <c r="F11" s="1">
        <v>36.77</v>
      </c>
      <c r="G11" s="1">
        <f>SQRT(C11/D17)/(D11*0.01)</f>
        <v>96.104862503162</v>
      </c>
      <c r="H11" s="1">
        <f>AVERAGE(I9:I14)</f>
        <v>1.0498524692428</v>
      </c>
      <c r="I11" s="1">
        <f t="shared" si="2"/>
        <v>0.989949493661167</v>
      </c>
      <c r="J11" s="1">
        <f>H13-J9*H11</f>
        <v>1.70065717017727</v>
      </c>
      <c r="K11" s="1">
        <f>K9/SQRT(K18)</f>
        <v>0.253399011185622</v>
      </c>
      <c r="L11" s="1">
        <f>100/((J9-K11)*SQRT(D17))</f>
        <v>101.113900126737</v>
      </c>
      <c r="M11" s="1">
        <f>M9-100/((J9+K11)*SQRT(D17))</f>
        <v>0.676375772069775</v>
      </c>
    </row>
    <row r="12" spans="1:13">
      <c r="A12" s="1">
        <v>4</v>
      </c>
      <c r="B12" s="1">
        <v>130</v>
      </c>
      <c r="C12" s="1">
        <f t="shared" si="0"/>
        <v>1.274</v>
      </c>
      <c r="D12" s="1">
        <f t="shared" si="1"/>
        <v>43.82</v>
      </c>
      <c r="E12" s="1">
        <v>67.52</v>
      </c>
      <c r="F12" s="1">
        <v>23.7</v>
      </c>
      <c r="G12" s="1">
        <f>SQRT(C12/D17)/(D12*0.01)</f>
        <v>96.6732934516409</v>
      </c>
      <c r="H12" s="1" t="s">
        <v>8</v>
      </c>
      <c r="I12" s="1">
        <f t="shared" si="2"/>
        <v>1.1287160847618</v>
      </c>
      <c r="K12" s="1" t="s">
        <v>29</v>
      </c>
      <c r="M12" s="1">
        <f>M9-100/((J9-K11)*SQRT(D17))</f>
        <v>-0.685610830398446</v>
      </c>
    </row>
    <row r="13" spans="1:11">
      <c r="A13" s="1">
        <v>5</v>
      </c>
      <c r="B13" s="1">
        <v>160</v>
      </c>
      <c r="C13" s="1">
        <f t="shared" si="0"/>
        <v>1.568</v>
      </c>
      <c r="D13" s="1">
        <f t="shared" si="1"/>
        <v>48.71</v>
      </c>
      <c r="E13" s="1">
        <v>73.08</v>
      </c>
      <c r="F13" s="1">
        <v>24.37</v>
      </c>
      <c r="G13" s="1">
        <f>SQRT(C13/D17)/(D13*0.01)</f>
        <v>96.4826166377133</v>
      </c>
      <c r="H13" s="1">
        <f>AVERAGE(D9:D14)</f>
        <v>40.935</v>
      </c>
      <c r="I13" s="1">
        <f t="shared" si="2"/>
        <v>1.25219806739988</v>
      </c>
      <c r="K13" s="1">
        <f>K11*SQRT(H15)</f>
        <v>0.27287987210994</v>
      </c>
    </row>
    <row r="14" spans="1:9">
      <c r="A14" s="1">
        <v>6</v>
      </c>
      <c r="B14" s="1">
        <v>200</v>
      </c>
      <c r="C14" s="1">
        <f t="shared" si="0"/>
        <v>1.96</v>
      </c>
      <c r="D14" s="1">
        <f t="shared" si="1"/>
        <v>53.93</v>
      </c>
      <c r="E14" s="2">
        <v>76.61</v>
      </c>
      <c r="F14" s="1">
        <v>22.68</v>
      </c>
      <c r="G14" s="1">
        <f>SQRT(C14/D17)/(D14*0.01)</f>
        <v>97.4297950404206</v>
      </c>
      <c r="H14" s="1" t="s">
        <v>30</v>
      </c>
      <c r="I14" s="1">
        <f t="shared" si="2"/>
        <v>1.4</v>
      </c>
    </row>
    <row r="15" spans="8:11">
      <c r="H15" s="1">
        <f>AVERAGE(C9:C14)</f>
        <v>1.15966666666667</v>
      </c>
      <c r="K15" s="1" t="s">
        <v>31</v>
      </c>
    </row>
    <row r="16" spans="2:11">
      <c r="B16" s="1" t="s">
        <v>32</v>
      </c>
      <c r="C16" s="1" t="s">
        <v>33</v>
      </c>
      <c r="D16" s="1" t="s">
        <v>34</v>
      </c>
      <c r="E16" s="1" t="s">
        <v>35</v>
      </c>
      <c r="F16" s="1" t="s">
        <v>36</v>
      </c>
      <c r="G16" s="1" t="s">
        <v>37</v>
      </c>
      <c r="K16" s="1">
        <f>SUM(G20:G25)</f>
        <v>12.8878171880231</v>
      </c>
    </row>
    <row r="17" spans="2:11">
      <c r="B17" s="1">
        <f>2*(79.5-16+2)</f>
        <v>131</v>
      </c>
      <c r="C17" s="1">
        <v>0.93</v>
      </c>
      <c r="D17" s="1">
        <f>C17/B17*0.1</f>
        <v>0.000709923664122137</v>
      </c>
      <c r="E17" s="1">
        <f>0.05/3</f>
        <v>0.0166666666666667</v>
      </c>
      <c r="F17" s="1">
        <f>0.1/SQRT(3)</f>
        <v>0.0577350269189626</v>
      </c>
      <c r="G17" s="2">
        <f>D17*SQRT((E17/B17)^2+(F17/C17)^2)</f>
        <v>4.4072632183491e-5</v>
      </c>
      <c r="K17" s="1" t="s">
        <v>38</v>
      </c>
    </row>
    <row r="18" spans="11:11">
      <c r="K18" s="1">
        <f>SUMSQ(E20:E25)</f>
        <v>0.344858756948791</v>
      </c>
    </row>
    <row r="19" spans="2:11">
      <c r="B19" s="1" t="s">
        <v>39</v>
      </c>
      <c r="C19" s="1" t="s">
        <v>40</v>
      </c>
      <c r="D19" s="1" t="s">
        <v>41</v>
      </c>
      <c r="E19" s="1" t="s">
        <v>42</v>
      </c>
      <c r="F19" s="1" t="s">
        <v>43</v>
      </c>
      <c r="G19" s="1" t="s">
        <v>44</v>
      </c>
      <c r="K19" s="1" t="s">
        <v>45</v>
      </c>
    </row>
    <row r="20" spans="2:11">
      <c r="B20" s="1">
        <f>I9*D9</f>
        <v>19.579</v>
      </c>
      <c r="C20" s="1">
        <f>AVERAGE(B20:B25)</f>
        <v>45.1236803597911</v>
      </c>
      <c r="D20" s="1">
        <f>D9-J11-J9*I9</f>
        <v>0.109438666636649</v>
      </c>
      <c r="E20" s="1">
        <f>I9-H11</f>
        <v>-0.349852469242799</v>
      </c>
      <c r="F20" s="1">
        <f>D9-H13</f>
        <v>-12.965</v>
      </c>
      <c r="G20" s="1">
        <f t="shared" ref="G20:G25" si="3">E20*F20</f>
        <v>4.53583726373289</v>
      </c>
      <c r="K20" s="1">
        <f>SUMSQ(F20:F25)</f>
        <v>481.72295</v>
      </c>
    </row>
    <row r="21" spans="2:11">
      <c r="B21" s="1">
        <f t="shared" ref="B21:B26" si="4">I10*D10</f>
        <v>26.9347280364959</v>
      </c>
      <c r="D21" s="1">
        <f>D10-J11-J9*I10</f>
        <v>-0.133473199706987</v>
      </c>
      <c r="E21" s="1">
        <f>I10-H11</f>
        <v>-0.221601299608853</v>
      </c>
      <c r="F21" s="1">
        <f>D10-H13</f>
        <v>-8.415</v>
      </c>
      <c r="G21" s="1">
        <f t="shared" si="3"/>
        <v>1.8647749362085</v>
      </c>
      <c r="K21" s="1" t="s">
        <v>46</v>
      </c>
    </row>
    <row r="22" spans="2:11">
      <c r="B22" s="1">
        <f t="shared" si="4"/>
        <v>38.2714474249407</v>
      </c>
      <c r="D22" s="1">
        <f>D11-J11-J9*I11</f>
        <v>-0.0363484281354332</v>
      </c>
      <c r="E22" s="1">
        <f>I11-H11</f>
        <v>-0.0599029755816323</v>
      </c>
      <c r="F22" s="1">
        <f>D11-H13</f>
        <v>-2.275</v>
      </c>
      <c r="G22" s="1">
        <f t="shared" si="3"/>
        <v>0.136279269448213</v>
      </c>
      <c r="K22" s="1">
        <f>K16/SQRT(K18*K20)</f>
        <v>0.999908060166379</v>
      </c>
    </row>
    <row r="23" spans="2:7">
      <c r="B23" s="1">
        <f t="shared" si="4"/>
        <v>49.4603388342621</v>
      </c>
      <c r="D23" s="1">
        <f>D12-J11-J9*I12</f>
        <v>-0.0622351770562872</v>
      </c>
      <c r="E23" s="1">
        <f>I12-H11</f>
        <v>0.0788636155189981</v>
      </c>
      <c r="F23" s="1">
        <f>D12-H13</f>
        <v>2.88499999999999</v>
      </c>
      <c r="G23" s="1">
        <f t="shared" si="3"/>
        <v>0.227521530772309</v>
      </c>
    </row>
    <row r="24" spans="2:7">
      <c r="B24" s="1">
        <f t="shared" si="4"/>
        <v>60.9945678630481</v>
      </c>
      <c r="D24" s="1">
        <f>D13-J11-J9*I13</f>
        <v>0.213083634811738</v>
      </c>
      <c r="E24" s="1">
        <f>I13-H11</f>
        <v>0.202345598157083</v>
      </c>
      <c r="F24" s="1">
        <f>D13-H13</f>
        <v>7.77499999999999</v>
      </c>
      <c r="G24" s="1">
        <f t="shared" si="3"/>
        <v>1.57323702567132</v>
      </c>
    </row>
    <row r="25" spans="2:7">
      <c r="B25" s="1">
        <f t="shared" si="4"/>
        <v>75.502</v>
      </c>
      <c r="D25" s="1">
        <f>D14-J11-J9*I14</f>
        <v>-0.0904654965494274</v>
      </c>
      <c r="E25" s="1">
        <f>I14-H11</f>
        <v>0.350147530757201</v>
      </c>
      <c r="F25" s="1">
        <f>D14-H13</f>
        <v>12.995</v>
      </c>
      <c r="G25" s="1">
        <f t="shared" si="3"/>
        <v>4.55016716218983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Mikasa</dc:creator>
  <cp:lastModifiedBy> Carry</cp:lastModifiedBy>
  <dcterms:created xsi:type="dcterms:W3CDTF">2023-05-12T11:15:00Z</dcterms:created>
  <dcterms:modified xsi:type="dcterms:W3CDTF">2025-05-13T12:08:46Z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82E35911F3B44BDD95A575ED62C42024_12</vt:lpwstr>
  </property>
</Properties>
</file>