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drawings/drawing1.xml" ContentType="application/vnd.openxmlformats-officedocument.drawing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biente\Documents\"/>
    </mc:Choice>
  </mc:AlternateContent>
  <xr:revisionPtr revIDLastSave="0" documentId="8_{83D1D90C-B1B7-43C8-8521-591677303539}" xr6:coauthVersionLast="47" xr6:coauthVersionMax="47" xr10:uidLastSave="{00000000-0000-0000-0000-000000000000}"/>
  <bookViews>
    <workbookView xWindow="-120" yWindow="-120" windowWidth="29040" windowHeight="15840" activeTab="1" xr2:uid="{43B5ABB8-DE96-4822-9AC6-32BBAC03F817}"/>
  </bookViews>
  <sheets>
    <sheet name="Tiempos" sheetId="1" r:id="rId1"/>
    <sheet name="Costos Proyecto" sheetId="2" r:id="rId2"/>
    <sheet name="Software" sheetId="4" r:id="rId3"/>
    <sheet name="Hardware" sheetId="3" r:id="rId4"/>
    <sheet name="COSTO_HORA_HOMBRE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9" i="2" l="1"/>
  <c r="F39" i="2"/>
  <c r="F40" i="2"/>
  <c r="F41" i="2"/>
  <c r="C39" i="2"/>
  <c r="C40" i="2"/>
  <c r="C41" i="2"/>
  <c r="C42" i="2"/>
  <c r="F42" i="2" s="1"/>
  <c r="C43" i="2"/>
  <c r="F43" i="2" s="1"/>
  <c r="D15" i="3"/>
  <c r="D14" i="3"/>
  <c r="D13" i="3"/>
  <c r="D12" i="3"/>
  <c r="L8" i="3"/>
  <c r="D6" i="4"/>
  <c r="D8" i="7"/>
  <c r="D10" i="7" s="1"/>
  <c r="D9" i="7"/>
  <c r="I21" i="7" s="1"/>
  <c r="D11" i="7"/>
  <c r="D12" i="7"/>
  <c r="I14" i="7"/>
  <c r="J16" i="7"/>
  <c r="I23" i="7" s="1"/>
  <c r="K16" i="7"/>
  <c r="I22" i="7"/>
  <c r="D13" i="7" l="1"/>
  <c r="I24" i="7" s="1"/>
  <c r="D14" i="7"/>
  <c r="I25" i="7" s="1"/>
  <c r="I20" i="7"/>
  <c r="C32" i="2"/>
  <c r="D32" i="2" s="1"/>
  <c r="C38" i="2" s="1"/>
  <c r="F38" i="2" s="1"/>
  <c r="C23" i="2"/>
  <c r="D23" i="2" s="1"/>
  <c r="C37" i="2" s="1"/>
  <c r="I6" i="2"/>
  <c r="H6" i="2"/>
  <c r="G6" i="2"/>
  <c r="F6" i="2"/>
  <c r="E6" i="2"/>
  <c r="D6" i="2"/>
  <c r="I5" i="2"/>
  <c r="H5" i="2"/>
  <c r="G5" i="2"/>
  <c r="F5" i="2"/>
  <c r="E5" i="2"/>
  <c r="D5" i="2"/>
  <c r="C5" i="2"/>
  <c r="C6" i="2"/>
  <c r="C4" i="2"/>
  <c r="E4" i="2" s="1"/>
  <c r="E7" i="2" s="1"/>
  <c r="E12" i="2" s="1"/>
  <c r="C44" i="2" l="1"/>
  <c r="F37" i="2"/>
  <c r="F44" i="2" s="1"/>
  <c r="I26" i="7"/>
  <c r="E11" i="2"/>
  <c r="E13" i="2"/>
  <c r="E14" i="2"/>
  <c r="C7" i="2"/>
  <c r="G4" i="2"/>
  <c r="G7" i="2" s="1"/>
  <c r="H4" i="2"/>
  <c r="H7" i="2" s="1"/>
  <c r="I4" i="2"/>
  <c r="I7" i="2" s="1"/>
  <c r="F4" i="2"/>
  <c r="F7" i="2" s="1"/>
  <c r="D4" i="2"/>
  <c r="D7" i="2" s="1"/>
  <c r="E15" i="2" l="1"/>
  <c r="I12" i="2"/>
  <c r="I11" i="2"/>
  <c r="I14" i="2"/>
  <c r="I13" i="2"/>
  <c r="H12" i="2"/>
  <c r="H11" i="2"/>
  <c r="H14" i="2"/>
  <c r="H13" i="2"/>
  <c r="D12" i="2"/>
  <c r="D11" i="2"/>
  <c r="D14" i="2"/>
  <c r="D13" i="2"/>
  <c r="G12" i="2"/>
  <c r="G11" i="2"/>
  <c r="G14" i="2"/>
  <c r="G13" i="2"/>
  <c r="F12" i="2"/>
  <c r="F11" i="2"/>
  <c r="F14" i="2"/>
  <c r="F13" i="2"/>
  <c r="C12" i="2"/>
  <c r="C11" i="2"/>
  <c r="C14" i="2"/>
  <c r="C13" i="2"/>
  <c r="C15" i="2" l="1"/>
  <c r="F15" i="2"/>
  <c r="G15" i="2"/>
  <c r="D15" i="2"/>
  <c r="H15" i="2"/>
  <c r="I15" i="2"/>
  <c r="O14" i="1" l="1"/>
  <c r="O13" i="1"/>
  <c r="O12" i="1"/>
  <c r="N14" i="1"/>
  <c r="N13" i="1"/>
  <c r="N12" i="1"/>
  <c r="M14" i="1"/>
  <c r="M13" i="1"/>
  <c r="M12" i="1"/>
  <c r="L14" i="1"/>
  <c r="L13" i="1"/>
  <c r="L12" i="1"/>
  <c r="K13" i="1"/>
  <c r="K14" i="1"/>
  <c r="K12" i="1"/>
  <c r="J14" i="1"/>
  <c r="J13" i="1"/>
  <c r="J12" i="1"/>
  <c r="F36" i="1"/>
  <c r="F27" i="1"/>
  <c r="F16" i="1"/>
  <c r="H5" i="1" l="1"/>
  <c r="I5" i="1" s="1"/>
  <c r="I12" i="1" l="1"/>
  <c r="J5" i="1"/>
  <c r="I13" i="1" s="1"/>
  <c r="K5" i="1"/>
  <c r="I14" i="1" s="1"/>
</calcChain>
</file>

<file path=xl/sharedStrings.xml><?xml version="1.0" encoding="utf-8"?>
<sst xmlns="http://schemas.openxmlformats.org/spreadsheetml/2006/main" count="250" uniqueCount="166">
  <si>
    <t>TRIMESTRE 1</t>
  </si>
  <si>
    <t>Nombre proyecto</t>
  </si>
  <si>
    <t>Objetivo general</t>
  </si>
  <si>
    <t xml:space="preserve">Planteamiento de problema </t>
  </si>
  <si>
    <t>Alcance del proyecto</t>
  </si>
  <si>
    <t xml:space="preserve">Justificación </t>
  </si>
  <si>
    <t>Técnicas de levantamiento de información</t>
  </si>
  <si>
    <t>Mapa de procesos (BPMN)</t>
  </si>
  <si>
    <t>Control de versiones (Inventario Software)</t>
  </si>
  <si>
    <t>Requisitos funcionales y no funcionales</t>
  </si>
  <si>
    <t>Diagrama de caso de usos</t>
  </si>
  <si>
    <t>Formato de casos de uso extendido</t>
  </si>
  <si>
    <t>Objetivos especificos</t>
  </si>
  <si>
    <t>Trimestre 2</t>
  </si>
  <si>
    <t>Facil</t>
  </si>
  <si>
    <t>Normal</t>
  </si>
  <si>
    <t>Dificil</t>
  </si>
  <si>
    <t xml:space="preserve">Modelo entidad relación </t>
  </si>
  <si>
    <t>Diccionario de datos</t>
  </si>
  <si>
    <t>Conograma (Diagrama de gannt)</t>
  </si>
  <si>
    <t>Diagrama de distribución (estándar UML)</t>
  </si>
  <si>
    <t xml:space="preserve">Diagrama de clases </t>
  </si>
  <si>
    <t>Prototipo Mockups o html</t>
  </si>
  <si>
    <t>Normalización del modelo entidad relación</t>
  </si>
  <si>
    <t>Trimestre 3</t>
  </si>
  <si>
    <t xml:space="preserve">Dificil  </t>
  </si>
  <si>
    <t>Construcción de base de datos (DDL)</t>
  </si>
  <si>
    <t>Base de datos, datos insertados, consultas y Joins (DML)</t>
  </si>
  <si>
    <t>Prototipo no funcional (CSS) Mockup</t>
  </si>
  <si>
    <t>Control de versiones</t>
  </si>
  <si>
    <t>Informe de costos hardware y software (gantt)</t>
  </si>
  <si>
    <t>Trimestre 4</t>
  </si>
  <si>
    <t>Manual Técnico</t>
  </si>
  <si>
    <t xml:space="preserve">Pruebas unitarias, caja negras y blanca </t>
  </si>
  <si>
    <t>Manual de instalación del aplicativo</t>
  </si>
  <si>
    <t>Diagrama de distribución en software</t>
  </si>
  <si>
    <t>Informe de migración de datos</t>
  </si>
  <si>
    <t xml:space="preserve">Plan de instalación, plan de respaldo y de migración </t>
  </si>
  <si>
    <t>Trimestre 5</t>
  </si>
  <si>
    <t>Cuadro comparativo - Proveedores</t>
  </si>
  <si>
    <t>Contrato de desarrollo de software</t>
  </si>
  <si>
    <t>Documentación de las pruebas</t>
  </si>
  <si>
    <t>Trimestre 6</t>
  </si>
  <si>
    <t>Modelo de calidad</t>
  </si>
  <si>
    <t>Construcción de manuales de usuario y de operación</t>
  </si>
  <si>
    <t>Revisión de proyecto terminado 100%</t>
  </si>
  <si>
    <t>Total de horas trabajadas</t>
  </si>
  <si>
    <t>HORAS</t>
  </si>
  <si>
    <t>Total de horas</t>
  </si>
  <si>
    <t>Dias</t>
  </si>
  <si>
    <t>Semanas</t>
  </si>
  <si>
    <t>Meses</t>
  </si>
  <si>
    <t>Tiempo trabajado en el proyecto</t>
  </si>
  <si>
    <t>1 Integrante</t>
  </si>
  <si>
    <t>2 Integrante</t>
  </si>
  <si>
    <t>3 Integrante</t>
  </si>
  <si>
    <t>4 Integrante</t>
  </si>
  <si>
    <t>5 Integrante</t>
  </si>
  <si>
    <t>6 Integrante</t>
  </si>
  <si>
    <t>7 Integrante</t>
  </si>
  <si>
    <t>Tiempos</t>
  </si>
  <si>
    <t>Costo del Proyecto</t>
  </si>
  <si>
    <t>Tiempo</t>
  </si>
  <si>
    <t>1</t>
  </si>
  <si>
    <t>2</t>
  </si>
  <si>
    <t>3</t>
  </si>
  <si>
    <t>4</t>
  </si>
  <si>
    <t>Horas</t>
  </si>
  <si>
    <t>Total</t>
  </si>
  <si>
    <t>5</t>
  </si>
  <si>
    <t>6</t>
  </si>
  <si>
    <t>7</t>
  </si>
  <si>
    <t>Costo x Hora</t>
  </si>
  <si>
    <t>Horas trabajadas por los integrantes</t>
  </si>
  <si>
    <t>Conceptos/recursos</t>
  </si>
  <si>
    <t>Developer(50%)</t>
  </si>
  <si>
    <t>Costos Fijos (30%)</t>
  </si>
  <si>
    <t>Gastos Extras (10%)</t>
  </si>
  <si>
    <t>Ganancias (10%)</t>
  </si>
  <si>
    <t>Desgloce del proyecto</t>
  </si>
  <si>
    <t>FECHA</t>
  </si>
  <si>
    <t>PRECIO UNITARIO</t>
  </si>
  <si>
    <t>RAM</t>
  </si>
  <si>
    <t>DISCO DURO</t>
  </si>
  <si>
    <t>PANTALLA</t>
  </si>
  <si>
    <t>TECLADO</t>
  </si>
  <si>
    <t>MOUSE</t>
  </si>
  <si>
    <t>EQUIPO</t>
  </si>
  <si>
    <t>Desk mini</t>
  </si>
  <si>
    <t>PROCESADOR</t>
  </si>
  <si>
    <t>INTEL CORE I5</t>
  </si>
  <si>
    <t>16 GB</t>
  </si>
  <si>
    <t>256 GB</t>
  </si>
  <si>
    <t>SI</t>
  </si>
  <si>
    <t>1 TB</t>
  </si>
  <si>
    <t>SAMSUNG 22"</t>
  </si>
  <si>
    <t>Lenovo corporativo</t>
  </si>
  <si>
    <t>14" FULL HD</t>
  </si>
  <si>
    <t>Lugar</t>
  </si>
  <si>
    <t>PC STORE S.A.S</t>
  </si>
  <si>
    <t>WOLF CENTER TECNOLOGY</t>
  </si>
  <si>
    <t>Cargo</t>
  </si>
  <si>
    <t>Pago Mensual</t>
  </si>
  <si>
    <t>Secreatria</t>
  </si>
  <si>
    <t>Aseadora</t>
  </si>
  <si>
    <t>Tecnicos</t>
  </si>
  <si>
    <t>Gastos de recursos humanos</t>
  </si>
  <si>
    <t>Integrante por pagar</t>
  </si>
  <si>
    <t>Servicios publicos</t>
  </si>
  <si>
    <t>Agua</t>
  </si>
  <si>
    <t>Luz</t>
  </si>
  <si>
    <t>Internet</t>
  </si>
  <si>
    <t>Telefono</t>
  </si>
  <si>
    <t>Gastos de servicios publicos</t>
  </si>
  <si>
    <t>SBC</t>
  </si>
  <si>
    <t>AGUINAÑLDPO</t>
  </si>
  <si>
    <t>PRIMA VACACIONAL</t>
  </si>
  <si>
    <t>AUXILIO DE ALIMENTACIÓN</t>
  </si>
  <si>
    <t>AYUDA PARA TRANSPORTE</t>
  </si>
  <si>
    <t>VIDA CARA</t>
  </si>
  <si>
    <t>SUELDO</t>
  </si>
  <si>
    <t>SMGDF</t>
  </si>
  <si>
    <t>3 SMGDF</t>
  </si>
  <si>
    <t>40% del SMGDF</t>
  </si>
  <si>
    <t>20% DE SMGDF</t>
  </si>
  <si>
    <t>AGUINALDO</t>
  </si>
  <si>
    <t>AUXILIO DE TRANSPORTE</t>
  </si>
  <si>
    <t>AUXILIO DE ALIMENTACION</t>
  </si>
  <si>
    <r>
      <t xml:space="preserve">                                                                                                 </t>
    </r>
    <r>
      <rPr>
        <b/>
        <sz val="11"/>
        <color theme="1"/>
        <rFont val="Calibri"/>
        <family val="2"/>
        <scheme val="minor"/>
      </rPr>
      <t xml:space="preserve">  (COSTO-HORA-HOMBRE)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         </t>
    </r>
  </si>
  <si>
    <t>Salario Mensual</t>
  </si>
  <si>
    <t>SUBTOTAL</t>
  </si>
  <si>
    <t>PRIMA</t>
  </si>
  <si>
    <t>Salario Minimo</t>
  </si>
  <si>
    <t>DIAS TRABAJADOS</t>
  </si>
  <si>
    <t xml:space="preserve">                                         COSTO HORA HOMBRE</t>
  </si>
  <si>
    <t>Office</t>
  </si>
  <si>
    <t>Host</t>
  </si>
  <si>
    <t>Licencias</t>
  </si>
  <si>
    <t>Precio</t>
  </si>
  <si>
    <t>Tiempo vigente</t>
  </si>
  <si>
    <t>Kaspersky Security Cloud </t>
  </si>
  <si>
    <t>2 años</t>
  </si>
  <si>
    <t>14 Meses</t>
  </si>
  <si>
    <t>1 año</t>
  </si>
  <si>
    <t>Portatil</t>
  </si>
  <si>
    <t>MARCA</t>
  </si>
  <si>
    <t>Computadora de escritorio</t>
  </si>
  <si>
    <t>31/6/2022</t>
  </si>
  <si>
    <t>Equipos requeridos</t>
  </si>
  <si>
    <t>Muebles requeridos</t>
  </si>
  <si>
    <t>Tipo</t>
  </si>
  <si>
    <t>Silla ergonomica</t>
  </si>
  <si>
    <t>Escritorio</t>
  </si>
  <si>
    <t>Mouse Pad</t>
  </si>
  <si>
    <t>Precio Unitario</t>
  </si>
  <si>
    <t>Precio por cantidad requerida</t>
  </si>
  <si>
    <t>Presupuestos mesual por cada integrante</t>
  </si>
  <si>
    <t>Tipos de gasto</t>
  </si>
  <si>
    <t>Licencia office</t>
  </si>
  <si>
    <t>Licencia Antivirus</t>
  </si>
  <si>
    <t>Licencia de host</t>
  </si>
  <si>
    <t>Muebles</t>
  </si>
  <si>
    <t xml:space="preserve"> Equipos computo</t>
  </si>
  <si>
    <t>Presupuestos Anual por cada integrante</t>
  </si>
  <si>
    <t>Tipo de gasto</t>
  </si>
  <si>
    <t>Presupuesto total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</si>
</sst>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[$$-240A]\ * #,##0.00_-;\-[$$-240A]\ * #,##0.00_-;_-[$$-240A]\ * &quot;-&quot;??_-;_-@_-"/>
    <numFmt numFmtId="165" formatCode="&quot;$&quot;\ #,##0.00;[Red]\-&quot;$&quot;\ #,##0.00"/>
    <numFmt numFmtId="166" formatCode="&quot;$&quot;\ #,##0;[Red]\-&quot;$&quot;\ 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21252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 style="thin">
        <color rgb="FF92D050"/>
      </right>
      <top/>
      <bottom/>
      <diagonal/>
    </border>
    <border>
      <left style="thin">
        <color rgb="FF92D050"/>
      </left>
      <right/>
      <top/>
      <bottom/>
      <diagonal/>
    </border>
    <border>
      <left style="thin">
        <color rgb="FF92D050"/>
      </left>
      <right style="thin">
        <color indexed="64"/>
      </right>
      <top style="thin">
        <color rgb="FF92D050"/>
      </top>
      <bottom style="thin">
        <color rgb="FF92D050"/>
      </bottom>
      <diagonal/>
    </border>
    <border>
      <left style="thin">
        <color indexed="64"/>
      </left>
      <right style="thin">
        <color indexed="64"/>
      </right>
      <top style="thin">
        <color rgb="FF92D050"/>
      </top>
      <bottom style="thin">
        <color rgb="FF92D050"/>
      </bottom>
      <diagonal/>
    </border>
    <border>
      <left style="thin">
        <color indexed="64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ill="1" applyBorder="1"/>
    <xf numFmtId="0" fontId="0" fillId="0" borderId="0" xfId="0" applyNumberFormat="1"/>
    <xf numFmtId="0" fontId="0" fillId="0" borderId="1" xfId="0" applyBorder="1"/>
    <xf numFmtId="0" fontId="0" fillId="0" borderId="2" xfId="0" applyBorder="1"/>
    <xf numFmtId="4" fontId="0" fillId="0" borderId="0" xfId="0" applyNumberFormat="1"/>
    <xf numFmtId="43" fontId="0" fillId="0" borderId="0" xfId="1" applyFont="1"/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165" fontId="0" fillId="0" borderId="6" xfId="0" applyNumberFormat="1" applyBorder="1"/>
    <xf numFmtId="0" fontId="0" fillId="0" borderId="7" xfId="0" applyBorder="1"/>
    <xf numFmtId="165" fontId="0" fillId="0" borderId="8" xfId="0" applyNumberFormat="1" applyBorder="1"/>
    <xf numFmtId="0" fontId="0" fillId="0" borderId="9" xfId="0" applyBorder="1"/>
    <xf numFmtId="165" fontId="0" fillId="0" borderId="10" xfId="0" applyNumberFormat="1" applyBorder="1"/>
    <xf numFmtId="9" fontId="0" fillId="0" borderId="0" xfId="0" applyNumberFormat="1"/>
    <xf numFmtId="166" fontId="0" fillId="0" borderId="10" xfId="0" applyNumberFormat="1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 applyAlignment="1">
      <alignment horizontal="center"/>
    </xf>
    <xf numFmtId="165" fontId="1" fillId="2" borderId="0" xfId="0" applyNumberFormat="1" applyFont="1" applyFill="1"/>
    <xf numFmtId="165" fontId="1" fillId="3" borderId="0" xfId="0" applyNumberFormat="1" applyFont="1" applyFill="1"/>
    <xf numFmtId="0" fontId="1" fillId="4" borderId="0" xfId="0" applyFont="1" applyFill="1"/>
    <xf numFmtId="0" fontId="1" fillId="2" borderId="0" xfId="0" applyFont="1" applyFill="1"/>
    <xf numFmtId="9" fontId="1" fillId="3" borderId="0" xfId="0" applyNumberFormat="1" applyFont="1" applyFill="1"/>
    <xf numFmtId="0" fontId="0" fillId="3" borderId="0" xfId="0" applyFill="1"/>
    <xf numFmtId="0" fontId="1" fillId="5" borderId="0" xfId="0" applyFont="1" applyFill="1"/>
    <xf numFmtId="166" fontId="0" fillId="0" borderId="0" xfId="0" applyNumberFormat="1"/>
    <xf numFmtId="0" fontId="1" fillId="3" borderId="0" xfId="0" applyFont="1" applyFill="1"/>
    <xf numFmtId="165" fontId="0" fillId="0" borderId="13" xfId="0" applyNumberFormat="1" applyBorder="1"/>
    <xf numFmtId="0" fontId="1" fillId="6" borderId="0" xfId="0" applyFont="1" applyFill="1"/>
    <xf numFmtId="164" fontId="1" fillId="2" borderId="0" xfId="0" applyNumberFormat="1" applyFont="1" applyFill="1"/>
    <xf numFmtId="164" fontId="1" fillId="4" borderId="0" xfId="0" applyNumberFormat="1" applyFont="1" applyFill="1"/>
    <xf numFmtId="164" fontId="1" fillId="3" borderId="0" xfId="0" applyNumberFormat="1" applyFont="1" applyFill="1"/>
    <xf numFmtId="164" fontId="1" fillId="5" borderId="0" xfId="0" applyNumberFormat="1" applyFont="1" applyFill="1"/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14" fontId="0" fillId="0" borderId="0" xfId="1" applyNumberFormat="1" applyFont="1"/>
    <xf numFmtId="0" fontId="1" fillId="0" borderId="0" xfId="0" applyFont="1" applyAlignment="1"/>
    <xf numFmtId="43" fontId="0" fillId="0" borderId="0" xfId="1" applyFont="1" applyAlignment="1"/>
    <xf numFmtId="14" fontId="0" fillId="0" borderId="0" xfId="1" applyNumberFormat="1" applyFont="1" applyAlignment="1">
      <alignment horizontal="right"/>
    </xf>
    <xf numFmtId="164" fontId="0" fillId="0" borderId="0" xfId="1" applyNumberFormat="1" applyFont="1"/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164" fontId="0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44">
    <dxf>
      <numFmt numFmtId="164" formatCode="_-[$$-240A]\ * #,##0.00_-;\-[$$-240A]\ * #,##0.00_-;_-[$$-240A]\ * &quot;-&quot;??_-;_-@_-"/>
    </dxf>
    <dxf>
      <numFmt numFmtId="164" formatCode="_-[$$-240A]\ * #,##0.00_-;\-[$$-240A]\ * #,##0.00_-;_-[$$-240A]\ * &quot;-&quot;??_-;_-@_-"/>
    </dxf>
    <dxf>
      <numFmt numFmtId="164" formatCode="_-[$$-240A]\ * #,##0.00_-;\-[$$-240A]\ * #,##0.00_-;_-[$$-240A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240A]\ * #,##0.00_-;\-[$$-240A]\ * #,##0.00_-;_-[$$-240A]\ * &quot;-&quot;??_-;_-@_-"/>
    </dxf>
    <dxf>
      <numFmt numFmtId="164" formatCode="_-[$$-240A]\ * #,##0.00_-;\-[$$-240A]\ * #,##0.00_-;_-[$$-240A]\ * &quot;-&quot;??_-;_-@_-"/>
    </dxf>
    <dxf>
      <numFmt numFmtId="164" formatCode="_-[$$-240A]\ * #,##0.00_-;\-[$$-240A]\ * #,##0.00_-;_-[$$-240A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-[$$-240A]\ * #,##0.00_-;\-[$$-240A]\ * #,##0.00_-;_-[$$-240A]\ * &quot;-&quot;??_-;_-@_-"/>
    </dxf>
    <dxf>
      <numFmt numFmtId="164" formatCode="_-[$$-240A]\ * #,##0.00_-;\-[$$-240A]\ * #,##0.00_-;_-[$$-240A]\ * &quot;-&quot;??_-;_-@_-"/>
    </dxf>
    <dxf>
      <numFmt numFmtId="164" formatCode="_-[$$-240A]\ * #,##0.00_-;\-[$$-240A]\ * #,##0.00_-;_-[$$-240A]\ * &quot;-&quot;??_-;_-@_-"/>
    </dxf>
    <dxf>
      <numFmt numFmtId="164" formatCode="_-[$$-240A]\ * #,##0.00_-;\-[$$-240A]\ * #,##0.00_-;_-[$$-240A]\ * &quot;-&quot;??_-;_-@_-"/>
    </dxf>
    <dxf>
      <numFmt numFmtId="164" formatCode="_-[$$-240A]\ * #,##0.00_-;\-[$$-240A]\ * #,##0.00_-;_-[$$-240A]\ * &quot;-&quot;??_-;_-@_-"/>
    </dxf>
    <dxf>
      <numFmt numFmtId="164" formatCode="_-[$$-240A]\ * #,##0.00_-;\-[$$-240A]\ * #,##0.00_-;_-[$$-240A]\ * &quot;-&quot;??_-;_-@_-"/>
    </dxf>
    <dxf>
      <numFmt numFmtId="164" formatCode="_-[$$-240A]\ * #,##0.00_-;\-[$$-240A]\ * #,##0.00_-;_-[$$-240A]\ * &quot;-&quot;??_-;_-@_-"/>
    </dxf>
    <dxf>
      <numFmt numFmtId="164" formatCode="_-[$$-240A]\ * #,##0.00_-;\-[$$-240A]\ * #,##0.00_-;_-[$$-240A]\ * &quot;-&quot;??_-;_-@_-"/>
    </dxf>
    <dxf>
      <numFmt numFmtId="164" formatCode="_-[$$-240A]\ * #,##0.00_-;\-[$$-240A]\ * #,##0.00_-;_-[$$-240A]\ * &quot;-&quot;??_-;_-@_-"/>
    </dxf>
    <dxf>
      <numFmt numFmtId="164" formatCode="_-[$$-240A]\ * #,##0.00_-;\-[$$-240A]\ * #,##0.00_-;_-[$$-240A]\ * &quot;-&quot;??_-;_-@_-"/>
    </dxf>
    <dxf>
      <numFmt numFmtId="164" formatCode="_-[$$-240A]\ * #,##0.00_-;\-[$$-240A]\ * #,##0.00_-;_-[$$-240A]\ * &quot;-&quot;??_-;_-@_-"/>
    </dxf>
    <dxf>
      <numFmt numFmtId="164" formatCode="_-[$$-240A]\ * #,##0.00_-;\-[$$-240A]\ * #,##0.00_-;_-[$$-240A]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4" formatCode="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4" formatCode="#,##0.00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725-4692-B429-B9108855BC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725-4692-B429-B9108855BC36}"/>
              </c:ext>
            </c:extLst>
          </c:dPt>
          <c:dPt>
            <c:idx val="2"/>
            <c:bubble3D val="0"/>
            <c:spPr>
              <a:solidFill>
                <a:srgbClr val="CC00CC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725-4692-B429-B9108855BC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725-4692-B429-B9108855BC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725-4692-B429-B9108855BC3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725-4692-B429-B9108855BC3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725-4692-B429-B9108855BC36}"/>
              </c:ext>
            </c:extLst>
          </c:dPt>
          <c:dLbls>
            <c:dLbl>
              <c:idx val="0"/>
              <c:layout>
                <c:manualLayout>
                  <c:x val="-7.3613298337707786E-2"/>
                  <c:y val="0.1330427967337415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725-4692-B429-B9108855BC36}"/>
                </c:ext>
              </c:extLst>
            </c:dLbl>
            <c:dLbl>
              <c:idx val="1"/>
              <c:layout>
                <c:manualLayout>
                  <c:x val="-8.3627296587926461E-2"/>
                  <c:y val="7.286162146398363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725-4692-B429-B9108855BC36}"/>
                </c:ext>
              </c:extLst>
            </c:dLbl>
            <c:dLbl>
              <c:idx val="2"/>
              <c:layout>
                <c:manualLayout>
                  <c:x val="-0.10193088363954506"/>
                  <c:y val="-5.974555263925342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725-4692-B429-B9108855BC36}"/>
                </c:ext>
              </c:extLst>
            </c:dLbl>
            <c:dLbl>
              <c:idx val="3"/>
              <c:layout>
                <c:manualLayout>
                  <c:x val="-3.1656605424322012E-2"/>
                  <c:y val="-0.1310287255759696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725-4692-B429-B9108855BC3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725-4692-B429-B9108855BC36}"/>
                </c:ext>
              </c:extLst>
            </c:dLbl>
            <c:dLbl>
              <c:idx val="5"/>
              <c:layout>
                <c:manualLayout>
                  <c:x val="-4.3587051618547683E-3"/>
                  <c:y val="-5.16816127150774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725-4692-B429-B9108855BC36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COSTO_HORA_HOMBRE!$H$20:$H$26</c:f>
              <c:strCache>
                <c:ptCount val="7"/>
                <c:pt idx="0">
                  <c:v>SUELDO</c:v>
                </c:pt>
                <c:pt idx="1">
                  <c:v>VIDA CARA</c:v>
                </c:pt>
                <c:pt idx="2">
                  <c:v>AYUDA PARA TRANSPORTE</c:v>
                </c:pt>
                <c:pt idx="3">
                  <c:v>AUXILIO DE ALIMENTACIÓN</c:v>
                </c:pt>
                <c:pt idx="4">
                  <c:v>PRIMA VACACIONAL</c:v>
                </c:pt>
                <c:pt idx="5">
                  <c:v>AGUINAÑLDPO</c:v>
                </c:pt>
                <c:pt idx="6">
                  <c:v>SBC</c:v>
                </c:pt>
              </c:strCache>
            </c:strRef>
          </c:cat>
          <c:val>
            <c:numRef>
              <c:f>COSTO_HORA_HOMBRE!$I$20:$I$26</c:f>
              <c:numCache>
                <c:formatCode>"$"\ #,##0.00;[Red]\-"$"\ #,##0.00</c:formatCode>
                <c:ptCount val="7"/>
                <c:pt idx="0">
                  <c:v>66666.666666666672</c:v>
                </c:pt>
                <c:pt idx="1">
                  <c:v>6666.6666666666679</c:v>
                </c:pt>
                <c:pt idx="2" formatCode="&quot;$&quot;\ #,##0;[Red]\-&quot;$&quot;\ #,##0">
                  <c:v>117172</c:v>
                </c:pt>
                <c:pt idx="3">
                  <c:v>26132.054794520547</c:v>
                </c:pt>
                <c:pt idx="4">
                  <c:v>602.7397260273973</c:v>
                </c:pt>
                <c:pt idx="5">
                  <c:v>3013.698630136987</c:v>
                </c:pt>
                <c:pt idx="6">
                  <c:v>220253.82648401827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725-4692-B429-B9108855BC3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9524</xdr:colOff>
      <xdr:row>12</xdr:row>
      <xdr:rowOff>152400</xdr:rowOff>
    </xdr:from>
    <xdr:to>
      <xdr:col>10</xdr:col>
      <xdr:colOff>209550</xdr:colOff>
      <xdr:row>27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13DEB44-4B4E-070D-E8E0-7FC4538AEC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4640"/>
        <a:stretch/>
      </xdr:blipFill>
      <xdr:spPr>
        <a:xfrm>
          <a:off x="6781799" y="2438400"/>
          <a:ext cx="4743451" cy="2705100"/>
        </a:xfrm>
        <a:prstGeom prst="rect">
          <a:avLst/>
        </a:prstGeom>
      </xdr:spPr>
    </xdr:pic>
    <xdr:clientData/>
  </xdr:twoCellAnchor>
  <xdr:twoCellAnchor editAs="oneCell">
    <xdr:from>
      <xdr:col>10</xdr:col>
      <xdr:colOff>790575</xdr:colOff>
      <xdr:row>10</xdr:row>
      <xdr:rowOff>104775</xdr:rowOff>
    </xdr:from>
    <xdr:to>
      <xdr:col>13</xdr:col>
      <xdr:colOff>66675</xdr:colOff>
      <xdr:row>31</xdr:row>
      <xdr:rowOff>114301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231839A-CC54-4374-6F8A-8FCB53392A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82" t="5806" r="1694" b="1720"/>
        <a:stretch/>
      </xdr:blipFill>
      <xdr:spPr>
        <a:xfrm>
          <a:off x="12106275" y="2009775"/>
          <a:ext cx="3724275" cy="4010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120098</xdr:colOff>
      <xdr:row>15</xdr:row>
      <xdr:rowOff>144118</xdr:rowOff>
    </xdr:from>
    <xdr:to>
      <xdr:col>5</xdr:col>
      <xdr:colOff>492815</xdr:colOff>
      <xdr:row>29</xdr:row>
      <xdr:rowOff>187188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85B1FE-E297-4E5C-84F6-1C5AC8674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51E55B-533D-47EE-882B-2541E93ABD5B}" name="Tabla1" displayName="Tabla1" ref="B2:F16" totalsRowShown="0">
  <autoFilter ref="B2:F16" xr:uid="{0E51E55B-533D-47EE-882B-2541E93ABD5B}"/>
  <tableColumns count="5">
    <tableColumn id="1" xr3:uid="{B772641D-7080-4637-98F7-33A458A74AD9}" name="TRIMESTRE 1"/>
    <tableColumn id="2" xr3:uid="{C73D65D6-38B5-46AA-8714-96E3A39193F8}" name="Facil"/>
    <tableColumn id="3" xr3:uid="{C61D89B3-C7D5-41CF-89D9-587B18D8D904}" name="Normal"/>
    <tableColumn id="4" xr3:uid="{639A723B-DE61-43BC-BB65-01A21D09FB9A}" name="Dificil"/>
    <tableColumn id="5" xr3:uid="{361D3C7A-CA18-4297-87CD-347AE02FCA25}" name="HORAS"/>
  </tableColumns>
  <tableStyleInfo name="TableStyleLight1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D14CABB-36CA-44EF-A52C-5D6704A722AF}" name="Tabla11" displayName="Tabla11" ref="K5:K6" totalsRowShown="0" dataDxfId="13">
  <autoFilter ref="K5:K6" xr:uid="{2D14CABB-36CA-44EF-A52C-5D6704A722AF}"/>
  <tableColumns count="1">
    <tableColumn id="1" xr3:uid="{C9E8826B-5D83-4200-826C-61199096480D}" name="Costo x Hora" dataDxfId="14"/>
  </tableColumns>
  <tableStyleInfo name="TableStyleLight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A5F37EE-77AC-44B0-A4B9-FBD686ED544C}" name="Tabla12" displayName="Tabla12" ref="B10:I15" totalsRowShown="0">
  <autoFilter ref="B10:I15" xr:uid="{BA5F37EE-77AC-44B0-A4B9-FBD686ED544C}"/>
  <tableColumns count="8">
    <tableColumn id="1" xr3:uid="{B3082806-CDC8-4144-B9C4-C09DECFA2316}" name="Conceptos/recursos"/>
    <tableColumn id="2" xr3:uid="{1F8B1C82-7ACA-48F4-B51D-2E68C60E2A5E}" name="1" dataDxfId="24">
      <calculatedColumnFormula>(C7*50)/100</calculatedColumnFormula>
    </tableColumn>
    <tableColumn id="3" xr3:uid="{B9064B8A-3903-4B32-9EF4-FE4EA3041F0E}" name="2" dataDxfId="23">
      <calculatedColumnFormula>(D7*50)/100</calculatedColumnFormula>
    </tableColumn>
    <tableColumn id="4" xr3:uid="{6EF8FFEB-F824-4002-8E92-F3E2BB3C5F49}" name="3" dataDxfId="22">
      <calculatedColumnFormula>(E7*50)/100</calculatedColumnFormula>
    </tableColumn>
    <tableColumn id="5" xr3:uid="{37DFAA23-C0E4-45DD-A537-AD5899FB711E}" name="4" dataDxfId="21">
      <calculatedColumnFormula>(F7*50)/100</calculatedColumnFormula>
    </tableColumn>
    <tableColumn id="6" xr3:uid="{76932FCF-9AFA-4A21-B193-D23D0C4DB205}" name="5" dataDxfId="20">
      <calculatedColumnFormula>(G7*50)/100</calculatedColumnFormula>
    </tableColumn>
    <tableColumn id="7" xr3:uid="{6454B4CE-75A9-49B1-8F72-9CE19C1D87EC}" name="6" dataDxfId="19">
      <calculatedColumnFormula>(H7*50)/100</calculatedColumnFormula>
    </tableColumn>
    <tableColumn id="8" xr3:uid="{BE9B6E2A-B080-41A6-9F0E-DE42AC5AD28A}" name="7" dataDxfId="18">
      <calculatedColumnFormula>(I7*50)/100</calculatedColumnFormula>
    </tableColumn>
  </tableColumns>
  <tableStyleInfo name="TableStyleLight1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CBCAFDF-C258-4159-94CE-709AFB84B139}" name="Tabla1014" displayName="Tabla1014" ref="B19:D23" totalsRowShown="0">
  <autoFilter ref="B19:D23" xr:uid="{8CBCAFDF-C258-4159-94CE-709AFB84B139}"/>
  <tableColumns count="3">
    <tableColumn id="1" xr3:uid="{4E58BD27-3E43-4106-99FE-60CA2E81FFD3}" name="Cargo"/>
    <tableColumn id="2" xr3:uid="{F0FAC238-3D50-4337-B164-B7D0BC3D9A16}" name="Pago Mensual" dataDxfId="17"/>
    <tableColumn id="3" xr3:uid="{97241A04-0CA6-420C-9D08-980F0DA7C920}" name="Integrante por pagar" dataDxfId="16">
      <calculatedColumnFormula>Tabla1014[[#This Row],[Pago Mensual]]/7</calculatedColumnFormula>
    </tableColumn>
  </tableColumns>
  <tableStyleInfo name="TableStyleLight1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B3DCB8-9332-4351-8B41-6CB9637E867D}" name="Tabla14" displayName="Tabla14" ref="B27:D32" totalsRowShown="0">
  <autoFilter ref="B27:D32" xr:uid="{43B3DCB8-9332-4351-8B41-6CB9637E867D}"/>
  <tableColumns count="3">
    <tableColumn id="1" xr3:uid="{481D468F-BB0A-43A7-BFF0-B31B43E141D9}" name="Servicios publicos"/>
    <tableColumn id="2" xr3:uid="{DFB4E333-5635-407A-95FC-EC31307B264A}" name="Pago Mensual"/>
    <tableColumn id="3" xr3:uid="{610E2A66-F06F-47FE-B8AA-C8E2E518AFC2}" name="Integrante por pagar" dataDxfId="15"/>
  </tableColumns>
  <tableStyleInfo name="TableStyleLight1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D463DF0-C854-44A7-9589-67DF66559B24}" name="Tabla21" displayName="Tabla21" ref="B36:C44" totalsRowShown="0">
  <autoFilter ref="B36:C44" xr:uid="{5D463DF0-C854-44A7-9589-67DF66559B24}"/>
  <tableColumns count="2">
    <tableColumn id="1" xr3:uid="{D846FC8A-2530-4E81-B3C7-8F6163F6D026}" name="Tipos de gasto"/>
    <tableColumn id="2" xr3:uid="{C24D3177-7393-46FB-9214-899E9E27A3F2}" name="Precio" dataDxfId="2">
      <calculatedColumnFormula>D23</calculatedColumnFormula>
    </tableColumn>
  </tableColumns>
  <tableStyleInfo name="TableStyleLight1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E8C41E8-8864-4632-8062-BE5EE8E7D335}" name="Tabla22" displayName="Tabla22" ref="E36:F44" totalsRowShown="0">
  <autoFilter ref="E36:F44" xr:uid="{4E8C41E8-8864-4632-8062-BE5EE8E7D335}"/>
  <tableColumns count="2">
    <tableColumn id="1" xr3:uid="{36213D13-C9B8-40BB-9538-A127A6A91EE9}" name="Tipo de gasto"/>
    <tableColumn id="2" xr3:uid="{58E5CAA8-0E87-458F-8B53-F0BA09501B67}" name="Precio" dataDxfId="1">
      <calculatedColumnFormula>Tabla21[[#This Row],[Precio]]*12</calculatedColumnFormula>
    </tableColumn>
  </tableColumns>
  <tableStyleInfo name="TableStyleMedium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394DAE6-6A75-4FD5-AE13-8646A04C50E0}" name="Tabla23" displayName="Tabla23" ref="H38:H39" totalsRowShown="0">
  <autoFilter ref="H38:H39" xr:uid="{0394DAE6-6A75-4FD5-AE13-8646A04C50E0}"/>
  <tableColumns count="1">
    <tableColumn id="1" xr3:uid="{5B2B8E5E-C9E6-4DEF-A8BB-E3AD767F99F3}" name="Presupuesto total del proyecto" dataDxfId="0">
      <calculatedColumnFormula>C44*14*7</calculatedColumnFormula>
    </tableColumn>
  </tableColumns>
  <tableStyleInfo name="TableStyleLight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F22AE06-A758-4B0D-ACEE-90CF27A4F79C}" name="Tabla18" displayName="Tabla18" ref="B2:D6" totalsRowShown="0">
  <autoFilter ref="B2:D6" xr:uid="{AF22AE06-A758-4B0D-ACEE-90CF27A4F79C}"/>
  <tableColumns count="3">
    <tableColumn id="1" xr3:uid="{E3A1AD63-B6FC-41B8-A90F-AE833BBF9E3A}" name="Licencias"/>
    <tableColumn id="6" xr3:uid="{6E61CC10-5171-43B7-AAD5-E3562C5AA305}" name="Tiempo vigente"/>
    <tableColumn id="2" xr3:uid="{4607FDBB-E6D3-493A-8BE9-E2D02F7726C9}" name="Precio"/>
  </tableColumns>
  <tableStyleInfo name="TableStyleLight14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1DEA4B4-0C8C-4AD0-AAD5-22698C95A989}" name="Tabla15" displayName="Tabla15" ref="B3:L8" totalsRowShown="0">
  <autoFilter ref="B3:L8" xr:uid="{51DEA4B4-0C8C-4AD0-AAD5-22698C95A989}"/>
  <tableColumns count="11">
    <tableColumn id="2" xr3:uid="{E9B020EE-ECB0-496E-A524-EE84F46659D7}" name="FECHA"/>
    <tableColumn id="5" xr3:uid="{DAE5ED3F-9459-410B-9656-C20F9BFA9F54}" name="EQUIPO"/>
    <tableColumn id="3" xr3:uid="{79EFF1A3-A2BD-4EA1-A296-4375BD19519F}" name="MARCA" dataDxfId="12" dataCellStyle="Millares"/>
    <tableColumn id="4" xr3:uid="{50A2E311-4F9F-4906-B35B-38F6BE6CEED7}" name="PROCESADOR" dataDxfId="11" dataCellStyle="Millares"/>
    <tableColumn id="6" xr3:uid="{37F7855F-46BF-4869-81D4-71C646441BDC}" name="RAM" dataDxfId="10" dataCellStyle="Millares"/>
    <tableColumn id="7" xr3:uid="{94F93A74-89C1-4F0C-A1CE-794849E34BA1}" name="DISCO DURO" dataDxfId="9" dataCellStyle="Millares"/>
    <tableColumn id="8" xr3:uid="{DB6C2BF6-CC6E-496B-A4EC-83E2422EB170}" name="PANTALLA" dataDxfId="8" dataCellStyle="Millares"/>
    <tableColumn id="9" xr3:uid="{3844F1BD-F3AB-4D86-BB08-AD491F627C10}" name="TECLADO" dataDxfId="7" dataCellStyle="Millares"/>
    <tableColumn id="10" xr3:uid="{37EB7007-763C-4C52-B24A-A4093BF310D9}" name="MOUSE" dataDxfId="6" dataCellStyle="Millares"/>
    <tableColumn id="1" xr3:uid="{36FA15B6-B18D-4026-9631-D234241D8BF0}" name="Lugar"/>
    <tableColumn id="11" xr3:uid="{CE8028FD-4A39-4F77-A42A-B3260526CB98}" name="PRECIO UNITARIO" dataDxfId="3" dataCellStyle="Millares"/>
  </tableColumns>
  <tableStyleInfo name="TableStyleLight14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1F22F0F-0924-42D1-B2D2-E88AD589367E}" name="Tabla20" displayName="Tabla20" ref="B11:D15" totalsRowShown="0">
  <autoFilter ref="B11:D15" xr:uid="{31F22F0F-0924-42D1-B2D2-E88AD589367E}"/>
  <tableColumns count="3">
    <tableColumn id="1" xr3:uid="{65D166B3-1D4D-4FDE-8091-7429AA746E9B}" name="Tipo"/>
    <tableColumn id="2" xr3:uid="{6D66B526-A6E3-4721-B466-94E187DB861E}" name="Precio Unitario" dataDxfId="5"/>
    <tableColumn id="3" xr3:uid="{0B6A684C-E188-400F-BD2F-9E79FC74BD9E}" name="Precio por cantidad requerida" dataDxfId="4">
      <calculatedColumnFormula>Tabla20[[#This Row],[Precio Unitario]]*7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4BD7F9-C894-4811-B2AB-19BE19DA7851}" name="Tabla2" displayName="Tabla2" ref="B18:F27" totalsRowShown="0" headerRowDxfId="43">
  <autoFilter ref="B18:F27" xr:uid="{EB05A36E-0193-41EE-9D32-9BCDAB9ACE88}"/>
  <tableColumns count="5">
    <tableColumn id="1" xr3:uid="{A3756B9D-9D5D-4121-A349-AF7DE02F6EB9}" name="Trimestre 2"/>
    <tableColumn id="2" xr3:uid="{E7CCDAD0-E48F-4F6C-8819-804D9B73DD4B}" name="Facil"/>
    <tableColumn id="3" xr3:uid="{FFFE9407-3FD6-4391-BD89-88D555192C23}" name="Normal"/>
    <tableColumn id="4" xr3:uid="{6C650F45-DE41-415D-A52A-6701BDF8F53C}" name="Dificil"/>
    <tableColumn id="5" xr3:uid="{DCC9C08D-3CF6-437B-B044-135EC2C1FB66}" name="HORAS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B2D42C-FD29-45F3-A8A3-8045661B2A1B}" name="Tabla3" displayName="Tabla3" ref="B29:F36" totalsRowShown="0">
  <autoFilter ref="B29:F36" xr:uid="{CBB2D42C-FD29-45F3-A8A3-8045661B2A1B}"/>
  <tableColumns count="5">
    <tableColumn id="1" xr3:uid="{6FAE5091-932D-4CA0-BC2A-B2C74B751E45}" name="Trimestre 3"/>
    <tableColumn id="2" xr3:uid="{6EF9EBE9-284D-4A4C-AEAB-15CACA639D3B}" name="Facil"/>
    <tableColumn id="3" xr3:uid="{9AA3B240-D366-49BE-AAAC-663975E9B71F}" name="Normal"/>
    <tableColumn id="4" xr3:uid="{DBC1E1AE-EC34-4D26-97BC-6D905EEE4C2F}" name="Dificil  "/>
    <tableColumn id="5" xr3:uid="{EFF97290-E8C3-4475-ACB9-711B8AFAEB9B}" name="HORAS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0618BCB-2138-4ED2-A9FE-FE1F1B8643DF}" name="Tabla4" displayName="Tabla4" ref="B38:F46" totalsRowShown="0">
  <autoFilter ref="B38:F46" xr:uid="{C0618BCB-2138-4ED2-A9FE-FE1F1B8643DF}"/>
  <tableColumns count="5">
    <tableColumn id="1" xr3:uid="{479F9547-708C-4DFD-B4DF-1B5B923387A4}" name="Trimestre 4"/>
    <tableColumn id="2" xr3:uid="{A5F6477F-147A-4F0C-B255-E7147882B8CF}" name="Facil"/>
    <tableColumn id="3" xr3:uid="{C00099CC-5380-423A-95CC-1783F07FA223}" name="Normal"/>
    <tableColumn id="4" xr3:uid="{B54902AD-9691-4A29-B860-EBE1A4A470EF}" name="Dificil"/>
    <tableColumn id="5" xr3:uid="{06483098-01AA-4C8F-B13E-6CF87C891737}" name="HORAS" dataDxfId="42">
      <calculatedColumnFormula>SUM(F32:F37)</calculatedColumnFormula>
    </tableColumn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EF91CED-68A6-474F-A027-E9F1E7D2F25E}" name="Tabla5" displayName="Tabla5" ref="B48:F53" totalsRowShown="0">
  <autoFilter ref="B48:F53" xr:uid="{8EF91CED-68A6-474F-A027-E9F1E7D2F25E}"/>
  <tableColumns count="5">
    <tableColumn id="1" xr3:uid="{794C2E63-ECEA-4200-B599-0362AA428CB4}" name="Trimestre 5"/>
    <tableColumn id="2" xr3:uid="{1B18B11C-28B9-466D-854E-5702063FE683}" name="Facil"/>
    <tableColumn id="3" xr3:uid="{2810047C-6F3F-494B-817B-EFB2898E81F1}" name="Normal"/>
    <tableColumn id="4" xr3:uid="{7F488F8A-2FF3-48C5-B883-B17F8A5F6223}" name="Dificil"/>
    <tableColumn id="5" xr3:uid="{831D70CD-8C34-4F92-95BA-A7C315062D1C}" name="HORAS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37312E-56E9-4A8B-BE0C-88BED885A955}" name="Tabla6" displayName="Tabla6" ref="B55:F60" totalsRowShown="0">
  <autoFilter ref="B55:F60" xr:uid="{D137312E-56E9-4A8B-BE0C-88BED885A955}"/>
  <tableColumns count="5">
    <tableColumn id="1" xr3:uid="{289BADF8-2C71-4D8F-80D1-827F952A1538}" name="Trimestre 6"/>
    <tableColumn id="2" xr3:uid="{DD5E51EF-29FD-4D77-9D91-45591772A29A}" name="Facil"/>
    <tableColumn id="3" xr3:uid="{4384DF00-C40A-4B67-A6BE-DC43FD67A948}" name="Normal"/>
    <tableColumn id="4" xr3:uid="{2359DE42-500F-48E9-9ED6-C32DDB78E092}" name="Dificil"/>
    <tableColumn id="5" xr3:uid="{6DA2E725-0C6A-4539-9BBC-BAB9A88216CD}" name="HORAS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24EE7AF-3CFD-44FD-87FE-2C04BAF5AEE1}" name="Tabla8" displayName="Tabla8" ref="H4:K5" totalsRowShown="0">
  <autoFilter ref="H4:K5" xr:uid="{624EE7AF-3CFD-44FD-87FE-2C04BAF5AEE1}"/>
  <tableColumns count="4">
    <tableColumn id="1" xr3:uid="{1139DC88-02D4-455B-918C-AD5EE6B2685F}" name="Total de horas" dataDxfId="41">
      <calculatedColumnFormula>SUM(F16+F27+F36+F46+F53+F60)</calculatedColumnFormula>
    </tableColumn>
    <tableColumn id="2" xr3:uid="{D6807ADC-0B44-4934-AD7E-24C00D012311}" name="Dias" dataDxfId="40">
      <calculatedColumnFormula>Tabla8[[#This Row],[Total de horas]]/8</calculatedColumnFormula>
    </tableColumn>
    <tableColumn id="3" xr3:uid="{AA5E3BA2-9F95-43BC-9A81-60155AAB569B}" name="Semanas" dataDxfId="39">
      <calculatedColumnFormula>Tabla8[[#This Row],[Dias]]/4</calculatedColumnFormula>
    </tableColumn>
    <tableColumn id="4" xr3:uid="{9A434CDE-D78D-4269-AAE9-FEC3EB353D28}" name="Meses">
      <calculatedColumnFormula>Tabla8[[#This Row],[Dias]]/Tabla8[[#This Row],[Semanas]]</calculatedColumnFormula>
    </tableColumn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DF8783-9607-47CB-97D5-DBA6049B0C02}" name="Tabla9" displayName="Tabla9" ref="H11:O14" totalsRowShown="0">
  <autoFilter ref="H11:O14" xr:uid="{FBDF8783-9607-47CB-97D5-DBA6049B0C02}"/>
  <tableColumns count="8">
    <tableColumn id="1" xr3:uid="{B972731D-B15E-4A03-8DC6-033BEE27A17D}" name="Tiempos"/>
    <tableColumn id="2" xr3:uid="{1018D244-FD4C-4D04-827B-5054C79A8F03}" name="1 Integrante" dataDxfId="38">
      <calculatedColumnFormula>Tabla8[Dias]/1</calculatedColumnFormula>
    </tableColumn>
    <tableColumn id="3" xr3:uid="{0D9A9CA6-2C0F-4999-BC45-B29C3B813E11}" name="2 Integrante" dataDxfId="37">
      <calculatedColumnFormula>Tabla8[Dias]/2</calculatedColumnFormula>
    </tableColumn>
    <tableColumn id="4" xr3:uid="{E6D1CE7A-0A9D-4A41-9C78-027BF7E09652}" name="3 Integrante" dataDxfId="36">
      <calculatedColumnFormula>Tabla8[Dias]/3</calculatedColumnFormula>
    </tableColumn>
    <tableColumn id="5" xr3:uid="{C22D6E8B-584C-44F3-AE76-B55A052F9A17}" name="4 Integrante" dataDxfId="35">
      <calculatedColumnFormula>Tabla8[Dias]/4</calculatedColumnFormula>
    </tableColumn>
    <tableColumn id="6" xr3:uid="{4F9B7125-AB66-4A6F-8938-876FE9BC98EE}" name="5 Integrante" dataDxfId="34">
      <calculatedColumnFormula>Tabla8[Dias]/5</calculatedColumnFormula>
    </tableColumn>
    <tableColumn id="7" xr3:uid="{E060EFAA-C9C2-42BC-90FC-76A86EADC138}" name="6 Integrante" dataDxfId="33">
      <calculatedColumnFormula>Tabla8[Dias]/6</calculatedColumnFormula>
    </tableColumn>
    <tableColumn id="8" xr3:uid="{DEE5487D-555D-4D6B-875F-B7506B370D93}" name="7 Integrante" dataDxfId="32">
      <calculatedColumnFormula>Tabla8[Dias]/7</calculatedColumnFormula>
    </tableColumn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C6FA8E5-06F0-4FDA-914F-6BA987A46FDE}" name="Tabla7" displayName="Tabla7" ref="B3:I7" totalsRowShown="0">
  <autoFilter ref="B3:I7" xr:uid="{0C6FA8E5-06F0-4FDA-914F-6BA987A46FDE}"/>
  <tableColumns count="8">
    <tableColumn id="1" xr3:uid="{7DD10D4D-7CBB-401E-A6E0-BC177A66E9B8}" name="Tiempo"/>
    <tableColumn id="2" xr3:uid="{B95A4D35-80E5-49A4-A836-5473C7CC729B}" name="1" dataDxfId="31">
      <calculatedColumnFormula>Tiempos!H5</calculatedColumnFormula>
    </tableColumn>
    <tableColumn id="3" xr3:uid="{D2F3F57A-EA1B-4CE7-B291-4158F9EF9316}" name="2" dataDxfId="30">
      <calculatedColumnFormula>C4/2</calculatedColumnFormula>
    </tableColumn>
    <tableColumn id="4" xr3:uid="{8424E8E6-83B4-4DF7-B3DE-055CEC78BCC0}" name="3" dataDxfId="29">
      <calculatedColumnFormula>C4/3</calculatedColumnFormula>
    </tableColumn>
    <tableColumn id="5" xr3:uid="{867DADC1-C309-415F-8F91-CED36F7A6AA4}" name="4" dataDxfId="28">
      <calculatedColumnFormula>C5/4</calculatedColumnFormula>
    </tableColumn>
    <tableColumn id="6" xr3:uid="{39E86166-A8AA-441C-A99F-04385E2810E1}" name="5" dataDxfId="27">
      <calculatedColumnFormula>C4/5</calculatedColumnFormula>
    </tableColumn>
    <tableColumn id="7" xr3:uid="{035EDA34-F454-418B-8E58-700D50CE1F40}" name="6" dataDxfId="26">
      <calculatedColumnFormula>C4/6</calculatedColumnFormula>
    </tableColumn>
    <tableColumn id="8" xr3:uid="{0A6A9341-B012-4C0C-9D7C-ADDE1118C4CC}" name="7" dataDxfId="25">
      <calculatedColumnFormula>C4/7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Relationship Id="rId9" Type="http://schemas.openxmlformats.org/officeDocument/2006/relationships/table" Target="../tables/table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8BEC-E89B-4FA7-A679-FC42E83AE27B}">
  <sheetPr>
    <tabColor theme="4" tint="0.59999389629810485"/>
  </sheetPr>
  <dimension ref="B2:O60"/>
  <sheetViews>
    <sheetView zoomScale="98" zoomScaleNormal="98" workbookViewId="0">
      <selection activeCell="J24" sqref="J24"/>
    </sheetView>
  </sheetViews>
  <sheetFormatPr baseColWidth="10" defaultRowHeight="15" x14ac:dyDescent="0.25"/>
  <cols>
    <col min="2" max="2" width="51.85546875" customWidth="1"/>
    <col min="3" max="5" width="12" customWidth="1"/>
    <col min="8" max="8" width="16.140625" customWidth="1"/>
    <col min="9" max="9" width="20.5703125" customWidth="1"/>
    <col min="10" max="10" width="17.7109375" customWidth="1"/>
    <col min="11" max="11" width="16.5703125" customWidth="1"/>
    <col min="12" max="12" width="16.85546875" customWidth="1"/>
    <col min="13" max="13" width="15.7109375" customWidth="1"/>
    <col min="14" max="14" width="16.5703125" customWidth="1"/>
    <col min="15" max="15" width="15.85546875" customWidth="1"/>
  </cols>
  <sheetData>
    <row r="2" spans="2:15" x14ac:dyDescent="0.25">
      <c r="B2" t="s">
        <v>0</v>
      </c>
      <c r="C2" t="s">
        <v>14</v>
      </c>
      <c r="D2" s="2" t="s">
        <v>15</v>
      </c>
      <c r="E2" s="2" t="s">
        <v>16</v>
      </c>
      <c r="F2" t="s">
        <v>47</v>
      </c>
    </row>
    <row r="3" spans="2:15" x14ac:dyDescent="0.25">
      <c r="B3" t="s">
        <v>1</v>
      </c>
      <c r="C3">
        <v>1</v>
      </c>
      <c r="F3">
        <v>1</v>
      </c>
      <c r="G3" s="5"/>
      <c r="H3" s="9" t="s">
        <v>52</v>
      </c>
      <c r="I3" s="10"/>
      <c r="J3" s="10"/>
      <c r="K3" s="11"/>
      <c r="L3" s="6"/>
    </row>
    <row r="4" spans="2:15" x14ac:dyDescent="0.25">
      <c r="B4" t="s">
        <v>2</v>
      </c>
      <c r="C4">
        <v>1</v>
      </c>
      <c r="F4">
        <v>2</v>
      </c>
      <c r="H4" t="s">
        <v>48</v>
      </c>
      <c r="I4" t="s">
        <v>49</v>
      </c>
      <c r="J4" t="s">
        <v>50</v>
      </c>
      <c r="K4" t="s">
        <v>51</v>
      </c>
    </row>
    <row r="5" spans="2:15" x14ac:dyDescent="0.25">
      <c r="B5" t="s">
        <v>12</v>
      </c>
      <c r="C5">
        <v>1</v>
      </c>
      <c r="F5">
        <v>2</v>
      </c>
      <c r="H5">
        <f>SUM(F16+F27+F36+F46+F53+F60)</f>
        <v>89</v>
      </c>
      <c r="I5" s="4">
        <f>Tabla8[[#This Row],[Total de horas]]/8</f>
        <v>11.125</v>
      </c>
      <c r="J5" s="7">
        <f>Tabla8[[#This Row],[Dias]]/4</f>
        <v>2.78125</v>
      </c>
      <c r="K5">
        <f>Tabla8[[#This Row],[Dias]]/Tabla8[[#This Row],[Semanas]]</f>
        <v>4</v>
      </c>
    </row>
    <row r="6" spans="2:15" x14ac:dyDescent="0.25">
      <c r="B6" t="s">
        <v>3</v>
      </c>
      <c r="E6">
        <v>1</v>
      </c>
      <c r="F6">
        <v>4</v>
      </c>
    </row>
    <row r="7" spans="2:15" x14ac:dyDescent="0.25">
      <c r="B7" t="s">
        <v>4</v>
      </c>
      <c r="D7">
        <v>1</v>
      </c>
      <c r="F7">
        <v>3</v>
      </c>
    </row>
    <row r="8" spans="2:15" x14ac:dyDescent="0.25">
      <c r="B8" t="s">
        <v>5</v>
      </c>
      <c r="D8">
        <v>1</v>
      </c>
      <c r="F8">
        <v>2</v>
      </c>
    </row>
    <row r="9" spans="2:15" x14ac:dyDescent="0.25">
      <c r="B9" t="s">
        <v>6</v>
      </c>
      <c r="E9">
        <v>1</v>
      </c>
      <c r="F9">
        <v>12</v>
      </c>
    </row>
    <row r="10" spans="2:15" x14ac:dyDescent="0.25">
      <c r="B10" t="s">
        <v>7</v>
      </c>
      <c r="C10">
        <v>1</v>
      </c>
      <c r="F10">
        <v>5</v>
      </c>
      <c r="H10" s="12" t="s">
        <v>73</v>
      </c>
      <c r="I10" s="12"/>
      <c r="J10" s="12"/>
      <c r="K10" s="12"/>
      <c r="L10" s="12"/>
      <c r="M10" s="12"/>
      <c r="N10" s="12"/>
      <c r="O10" s="12"/>
    </row>
    <row r="11" spans="2:15" x14ac:dyDescent="0.25">
      <c r="B11" t="s">
        <v>8</v>
      </c>
      <c r="D11">
        <v>1</v>
      </c>
      <c r="F11">
        <v>2</v>
      </c>
      <c r="H11" t="s">
        <v>60</v>
      </c>
      <c r="I11" t="s">
        <v>53</v>
      </c>
      <c r="J11" t="s">
        <v>54</v>
      </c>
      <c r="K11" t="s">
        <v>55</v>
      </c>
      <c r="L11" t="s">
        <v>56</v>
      </c>
      <c r="M11" t="s">
        <v>57</v>
      </c>
      <c r="N11" t="s">
        <v>58</v>
      </c>
      <c r="O11" t="s">
        <v>59</v>
      </c>
    </row>
    <row r="12" spans="2:15" x14ac:dyDescent="0.25">
      <c r="B12" t="s">
        <v>9</v>
      </c>
      <c r="D12">
        <v>1</v>
      </c>
      <c r="F12">
        <v>16</v>
      </c>
      <c r="H12" t="s">
        <v>49</v>
      </c>
      <c r="I12">
        <f>Tabla8[Dias]/1</f>
        <v>11.125</v>
      </c>
      <c r="J12">
        <f>Tabla8[Dias]/2</f>
        <v>5.5625</v>
      </c>
      <c r="K12">
        <f>Tabla8[Dias]/3</f>
        <v>3.7083333333333335</v>
      </c>
      <c r="L12">
        <f>Tabla8[Dias]/4</f>
        <v>2.78125</v>
      </c>
      <c r="M12">
        <f>Tabla8[Dias]/5</f>
        <v>2.2250000000000001</v>
      </c>
      <c r="N12">
        <f>Tabla8[Dias]/6</f>
        <v>1.8541666666666667</v>
      </c>
      <c r="O12">
        <f>Tabla8[Dias]/7</f>
        <v>1.5892857142857142</v>
      </c>
    </row>
    <row r="13" spans="2:15" x14ac:dyDescent="0.25">
      <c r="B13" t="s">
        <v>10</v>
      </c>
      <c r="C13">
        <v>1</v>
      </c>
      <c r="F13">
        <v>2</v>
      </c>
      <c r="H13" t="s">
        <v>50</v>
      </c>
      <c r="I13" s="7">
        <f>Tabla8[Semanas]/1</f>
        <v>2.78125</v>
      </c>
      <c r="J13">
        <f>Tabla8[Semanas]/2</f>
        <v>1.390625</v>
      </c>
      <c r="K13">
        <f>Tabla8[Semanas]/3</f>
        <v>0.92708333333333337</v>
      </c>
      <c r="L13">
        <f>Tabla8[Semanas]/4</f>
        <v>0.6953125</v>
      </c>
      <c r="M13">
        <f>Tabla8[Semanas]/5</f>
        <v>0.55625000000000002</v>
      </c>
      <c r="N13">
        <f>Tabla8[Semanas]/6</f>
        <v>0.46354166666666669</v>
      </c>
      <c r="O13">
        <f>Tabla8[Semanas]/7</f>
        <v>0.39732142857142855</v>
      </c>
    </row>
    <row r="14" spans="2:15" x14ac:dyDescent="0.25">
      <c r="B14" t="s">
        <v>11</v>
      </c>
      <c r="C14">
        <v>1</v>
      </c>
      <c r="F14">
        <v>3</v>
      </c>
      <c r="H14" t="s">
        <v>51</v>
      </c>
      <c r="I14">
        <f>Tabla8[Meses]/1</f>
        <v>4</v>
      </c>
      <c r="J14">
        <f>Tabla8[Meses]/2</f>
        <v>2</v>
      </c>
      <c r="K14">
        <f>Tabla8[Meses]/3</f>
        <v>1.3333333333333333</v>
      </c>
      <c r="L14">
        <f>Tabla8[Meses]/4</f>
        <v>1</v>
      </c>
      <c r="M14">
        <f>Tabla8[Meses]/5</f>
        <v>0.8</v>
      </c>
      <c r="N14">
        <f>Tabla8[Meses]/6</f>
        <v>0.66666666666666663</v>
      </c>
      <c r="O14">
        <f>Tabla8[Meses]/7</f>
        <v>0.5714285714285714</v>
      </c>
    </row>
    <row r="15" spans="2:15" x14ac:dyDescent="0.25">
      <c r="B15" s="3"/>
      <c r="C15" s="3"/>
      <c r="D15" s="3"/>
      <c r="E15" s="3"/>
      <c r="F15" s="3"/>
      <c r="I15" s="5"/>
    </row>
    <row r="16" spans="2:15" x14ac:dyDescent="0.25">
      <c r="B16" s="1" t="s">
        <v>46</v>
      </c>
      <c r="F16">
        <f>SUM(F3:F14)</f>
        <v>54</v>
      </c>
    </row>
    <row r="18" spans="2:6" x14ac:dyDescent="0.25">
      <c r="B18" s="2" t="s">
        <v>13</v>
      </c>
      <c r="C18" t="s">
        <v>14</v>
      </c>
      <c r="D18" s="2" t="s">
        <v>15</v>
      </c>
      <c r="E18" s="2" t="s">
        <v>16</v>
      </c>
      <c r="F18" s="2" t="s">
        <v>47</v>
      </c>
    </row>
    <row r="19" spans="2:6" x14ac:dyDescent="0.25">
      <c r="B19" t="s">
        <v>17</v>
      </c>
      <c r="D19">
        <v>1</v>
      </c>
      <c r="F19">
        <v>2</v>
      </c>
    </row>
    <row r="20" spans="2:6" x14ac:dyDescent="0.25">
      <c r="B20" t="s">
        <v>18</v>
      </c>
      <c r="C20">
        <v>1</v>
      </c>
      <c r="F20">
        <v>1</v>
      </c>
    </row>
    <row r="21" spans="2:6" x14ac:dyDescent="0.25">
      <c r="B21" t="s">
        <v>19</v>
      </c>
      <c r="D21">
        <v>1</v>
      </c>
      <c r="F21">
        <v>3</v>
      </c>
    </row>
    <row r="22" spans="2:6" x14ac:dyDescent="0.25">
      <c r="B22" t="s">
        <v>20</v>
      </c>
      <c r="E22">
        <v>1</v>
      </c>
      <c r="F22">
        <v>4</v>
      </c>
    </row>
    <row r="23" spans="2:6" x14ac:dyDescent="0.25">
      <c r="B23" t="s">
        <v>21</v>
      </c>
      <c r="D23">
        <v>1</v>
      </c>
      <c r="F23">
        <v>2</v>
      </c>
    </row>
    <row r="24" spans="2:6" x14ac:dyDescent="0.25">
      <c r="B24" t="s">
        <v>22</v>
      </c>
      <c r="E24">
        <v>1</v>
      </c>
      <c r="F24">
        <v>3</v>
      </c>
    </row>
    <row r="25" spans="2:6" x14ac:dyDescent="0.25">
      <c r="B25" t="s">
        <v>23</v>
      </c>
      <c r="C25">
        <v>1</v>
      </c>
      <c r="F25">
        <v>1</v>
      </c>
    </row>
    <row r="27" spans="2:6" x14ac:dyDescent="0.25">
      <c r="B27" s="1" t="s">
        <v>46</v>
      </c>
      <c r="F27">
        <f>SUM(F19:F25)</f>
        <v>16</v>
      </c>
    </row>
    <row r="29" spans="2:6" x14ac:dyDescent="0.25">
      <c r="B29" t="s">
        <v>24</v>
      </c>
      <c r="C29" t="s">
        <v>14</v>
      </c>
      <c r="D29" t="s">
        <v>15</v>
      </c>
      <c r="E29" t="s">
        <v>25</v>
      </c>
      <c r="F29" t="s">
        <v>47</v>
      </c>
    </row>
    <row r="30" spans="2:6" x14ac:dyDescent="0.25">
      <c r="B30" t="s">
        <v>26</v>
      </c>
      <c r="D30">
        <v>1</v>
      </c>
      <c r="F30">
        <v>5</v>
      </c>
    </row>
    <row r="31" spans="2:6" x14ac:dyDescent="0.25">
      <c r="B31" t="s">
        <v>27</v>
      </c>
      <c r="E31">
        <v>1</v>
      </c>
      <c r="F31">
        <v>3</v>
      </c>
    </row>
    <row r="32" spans="2:6" x14ac:dyDescent="0.25">
      <c r="B32" t="s">
        <v>28</v>
      </c>
      <c r="D32">
        <v>1</v>
      </c>
      <c r="F32">
        <v>3</v>
      </c>
    </row>
    <row r="33" spans="2:6" x14ac:dyDescent="0.25">
      <c r="B33" t="s">
        <v>29</v>
      </c>
      <c r="C33">
        <v>1</v>
      </c>
      <c r="F33">
        <v>1</v>
      </c>
    </row>
    <row r="34" spans="2:6" x14ac:dyDescent="0.25">
      <c r="B34" t="s">
        <v>30</v>
      </c>
      <c r="E34">
        <v>1</v>
      </c>
      <c r="F34">
        <v>7</v>
      </c>
    </row>
    <row r="36" spans="2:6" x14ac:dyDescent="0.25">
      <c r="B36" s="1" t="s">
        <v>46</v>
      </c>
      <c r="F36">
        <f>SUM(F30:F34)</f>
        <v>19</v>
      </c>
    </row>
    <row r="38" spans="2:6" x14ac:dyDescent="0.25">
      <c r="B38" t="s">
        <v>31</v>
      </c>
      <c r="C38" t="s">
        <v>14</v>
      </c>
      <c r="D38" t="s">
        <v>15</v>
      </c>
      <c r="E38" t="s">
        <v>16</v>
      </c>
      <c r="F38" t="s">
        <v>47</v>
      </c>
    </row>
    <row r="39" spans="2:6" x14ac:dyDescent="0.25">
      <c r="B39" t="s">
        <v>32</v>
      </c>
    </row>
    <row r="40" spans="2:6" x14ac:dyDescent="0.25">
      <c r="B40" t="s">
        <v>33</v>
      </c>
    </row>
    <row r="41" spans="2:6" x14ac:dyDescent="0.25">
      <c r="B41" t="s">
        <v>34</v>
      </c>
    </row>
    <row r="42" spans="2:6" x14ac:dyDescent="0.25">
      <c r="B42" t="s">
        <v>35</v>
      </c>
    </row>
    <row r="43" spans="2:6" x14ac:dyDescent="0.25">
      <c r="B43" t="s">
        <v>36</v>
      </c>
    </row>
    <row r="44" spans="2:6" x14ac:dyDescent="0.25">
      <c r="B44" t="s">
        <v>37</v>
      </c>
    </row>
    <row r="46" spans="2:6" x14ac:dyDescent="0.25">
      <c r="B46" s="1" t="s">
        <v>46</v>
      </c>
    </row>
    <row r="48" spans="2:6" x14ac:dyDescent="0.25">
      <c r="B48" t="s">
        <v>38</v>
      </c>
      <c r="C48" t="s">
        <v>14</v>
      </c>
      <c r="D48" t="s">
        <v>15</v>
      </c>
      <c r="E48" t="s">
        <v>16</v>
      </c>
      <c r="F48" t="s">
        <v>47</v>
      </c>
    </row>
    <row r="49" spans="2:6" x14ac:dyDescent="0.25">
      <c r="B49" t="s">
        <v>39</v>
      </c>
    </row>
    <row r="50" spans="2:6" x14ac:dyDescent="0.25">
      <c r="B50" t="s">
        <v>40</v>
      </c>
    </row>
    <row r="51" spans="2:6" x14ac:dyDescent="0.25">
      <c r="B51" t="s">
        <v>41</v>
      </c>
    </row>
    <row r="53" spans="2:6" x14ac:dyDescent="0.25">
      <c r="B53" s="1" t="s">
        <v>46</v>
      </c>
    </row>
    <row r="55" spans="2:6" x14ac:dyDescent="0.25">
      <c r="B55" t="s">
        <v>42</v>
      </c>
      <c r="C55" t="s">
        <v>14</v>
      </c>
      <c r="D55" t="s">
        <v>15</v>
      </c>
      <c r="E55" t="s">
        <v>16</v>
      </c>
      <c r="F55" t="s">
        <v>47</v>
      </c>
    </row>
    <row r="56" spans="2:6" x14ac:dyDescent="0.25">
      <c r="B56" t="s">
        <v>43</v>
      </c>
    </row>
    <row r="57" spans="2:6" x14ac:dyDescent="0.25">
      <c r="B57" t="s">
        <v>44</v>
      </c>
    </row>
    <row r="58" spans="2:6" x14ac:dyDescent="0.25">
      <c r="B58" t="s">
        <v>45</v>
      </c>
    </row>
    <row r="60" spans="2:6" x14ac:dyDescent="0.25">
      <c r="B60" s="1" t="s">
        <v>46</v>
      </c>
    </row>
  </sheetData>
  <mergeCells count="2">
    <mergeCell ref="H3:K3"/>
    <mergeCell ref="H10:O10"/>
  </mergeCells>
  <pageMargins left="0.7" right="0.7" top="0.75" bottom="0.75" header="0.3" footer="0.3"/>
  <pageSetup paperSize="9" orientation="portrait" horizontalDpi="1200" verticalDpi="1200" r:id="rId1"/>
  <ignoredErrors>
    <ignoredError sqref="I13:I14 J13:J14 K13:K14 L13:L14 M13:M14 N13:N15 O13:O14" calculatedColumn="1"/>
  </ignoredErrors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67D89-3652-4FC1-83B3-31BAFA76B0D9}">
  <sheetPr>
    <tabColor theme="6" tint="0.39997558519241921"/>
  </sheetPr>
  <dimension ref="B2:K44"/>
  <sheetViews>
    <sheetView tabSelected="1" topLeftCell="A4" workbookViewId="0">
      <selection activeCell="I48" sqref="I48"/>
    </sheetView>
  </sheetViews>
  <sheetFormatPr baseColWidth="10" defaultRowHeight="15" x14ac:dyDescent="0.25"/>
  <cols>
    <col min="2" max="2" width="20.5703125" customWidth="1"/>
    <col min="3" max="3" width="16.5703125" customWidth="1"/>
    <col min="4" max="4" width="21.42578125" bestFit="1" customWidth="1"/>
    <col min="5" max="5" width="20.28515625" customWidth="1"/>
    <col min="6" max="6" width="15.7109375" customWidth="1"/>
    <col min="7" max="7" width="13.28515625" bestFit="1" customWidth="1"/>
    <col min="8" max="8" width="31" bestFit="1" customWidth="1"/>
    <col min="9" max="9" width="13" bestFit="1" customWidth="1"/>
    <col min="11" max="11" width="18.28515625" customWidth="1"/>
    <col min="12" max="12" width="12" customWidth="1"/>
  </cols>
  <sheetData>
    <row r="2" spans="2:11" x14ac:dyDescent="0.25">
      <c r="B2" s="12" t="s">
        <v>61</v>
      </c>
      <c r="C2" s="12"/>
      <c r="D2" s="12"/>
      <c r="E2" s="12"/>
      <c r="F2" s="12"/>
      <c r="G2" s="12"/>
      <c r="H2" s="12"/>
      <c r="I2" s="12"/>
    </row>
    <row r="3" spans="2:11" x14ac:dyDescent="0.25">
      <c r="B3" t="s">
        <v>62</v>
      </c>
      <c r="C3" t="s">
        <v>63</v>
      </c>
      <c r="D3" t="s">
        <v>64</v>
      </c>
      <c r="E3" t="s">
        <v>65</v>
      </c>
      <c r="F3" t="s">
        <v>66</v>
      </c>
      <c r="G3" t="s">
        <v>69</v>
      </c>
      <c r="H3" t="s">
        <v>70</v>
      </c>
      <c r="I3" t="s">
        <v>71</v>
      </c>
    </row>
    <row r="4" spans="2:11" x14ac:dyDescent="0.25">
      <c r="B4" t="s">
        <v>67</v>
      </c>
      <c r="C4" s="7">
        <f>Tiempos!H5</f>
        <v>89</v>
      </c>
      <c r="D4">
        <f t="shared" ref="D4" si="0">C4/2</f>
        <v>44.5</v>
      </c>
      <c r="E4">
        <f t="shared" ref="E4" si="1">C4/3</f>
        <v>29.666666666666668</v>
      </c>
      <c r="F4">
        <f>C4/4</f>
        <v>22.25</v>
      </c>
      <c r="G4" s="4">
        <f t="shared" ref="G4" si="2">C4/5</f>
        <v>17.8</v>
      </c>
      <c r="H4" s="4">
        <f t="shared" ref="H4" si="3">C4/6</f>
        <v>14.833333333333334</v>
      </c>
      <c r="I4" s="4">
        <f t="shared" ref="I4" si="4">C4/7</f>
        <v>12.714285714285714</v>
      </c>
    </row>
    <row r="5" spans="2:11" x14ac:dyDescent="0.25">
      <c r="B5" t="s">
        <v>50</v>
      </c>
      <c r="C5" s="7">
        <f>Tiempos!I13</f>
        <v>2.78125</v>
      </c>
      <c r="D5">
        <f>Tiempos!J13</f>
        <v>1.390625</v>
      </c>
      <c r="E5">
        <f>Tiempos!K13</f>
        <v>0.92708333333333337</v>
      </c>
      <c r="F5">
        <f>Tiempos!L13</f>
        <v>0.6953125</v>
      </c>
      <c r="G5" s="4">
        <f>Tiempos!M13</f>
        <v>0.55625000000000002</v>
      </c>
      <c r="H5" s="4">
        <f>Tiempos!N13</f>
        <v>0.46354166666666669</v>
      </c>
      <c r="I5" s="4">
        <f>Tiempos!O13</f>
        <v>0.39732142857142855</v>
      </c>
      <c r="K5" t="s">
        <v>72</v>
      </c>
    </row>
    <row r="6" spans="2:11" x14ac:dyDescent="0.25">
      <c r="B6" t="s">
        <v>51</v>
      </c>
      <c r="C6" s="7">
        <f>Tiempos!I14</f>
        <v>4</v>
      </c>
      <c r="D6">
        <f>Tiempos!J14</f>
        <v>2</v>
      </c>
      <c r="E6">
        <f>Tiempos!K14</f>
        <v>1.3333333333333333</v>
      </c>
      <c r="F6">
        <f>Tiempos!L14</f>
        <v>1</v>
      </c>
      <c r="G6" s="4">
        <f>Tiempos!M14</f>
        <v>0.8</v>
      </c>
      <c r="H6" s="4">
        <f>Tiempos!N14</f>
        <v>0.66666666666666663</v>
      </c>
      <c r="I6" s="4">
        <f>Tiempos!O14</f>
        <v>0.5714285714285714</v>
      </c>
      <c r="K6" s="14">
        <v>8333</v>
      </c>
    </row>
    <row r="7" spans="2:11" x14ac:dyDescent="0.25">
      <c r="B7" t="s">
        <v>68</v>
      </c>
      <c r="C7" s="7">
        <f>C4*K6*1</f>
        <v>741637</v>
      </c>
      <c r="D7" s="7">
        <f>D4*K6*2</f>
        <v>741637</v>
      </c>
      <c r="E7" s="7">
        <f>E4*K6*3</f>
        <v>741637</v>
      </c>
      <c r="F7" s="7">
        <f>F4*K6*4</f>
        <v>741637</v>
      </c>
      <c r="G7" s="7">
        <f>G4*K6*5</f>
        <v>741637</v>
      </c>
      <c r="H7" s="7">
        <f>H4*K6*6</f>
        <v>741637</v>
      </c>
      <c r="I7" s="7">
        <f>I4*K6*7</f>
        <v>741637</v>
      </c>
    </row>
    <row r="9" spans="2:11" x14ac:dyDescent="0.25">
      <c r="B9" s="12" t="s">
        <v>79</v>
      </c>
      <c r="C9" s="12"/>
      <c r="D9" s="12"/>
      <c r="E9" s="12"/>
      <c r="F9" s="12"/>
      <c r="G9" s="12"/>
      <c r="H9" s="12"/>
      <c r="I9" s="12"/>
      <c r="K9" s="7"/>
    </row>
    <row r="10" spans="2:11" x14ac:dyDescent="0.25">
      <c r="B10" t="s">
        <v>74</v>
      </c>
      <c r="C10" t="s">
        <v>63</v>
      </c>
      <c r="D10" t="s">
        <v>64</v>
      </c>
      <c r="E10" t="s">
        <v>65</v>
      </c>
      <c r="F10" t="s">
        <v>66</v>
      </c>
      <c r="G10" t="s">
        <v>69</v>
      </c>
      <c r="H10" t="s">
        <v>70</v>
      </c>
      <c r="I10" t="s">
        <v>71</v>
      </c>
    </row>
    <row r="11" spans="2:11" x14ac:dyDescent="0.25">
      <c r="B11" t="s">
        <v>75</v>
      </c>
      <c r="C11" s="14">
        <f t="shared" ref="C11" si="5">(C7*50)/100</f>
        <v>370818.5</v>
      </c>
      <c r="D11" s="14">
        <f t="shared" ref="D11" si="6">(D7*50)/100</f>
        <v>370818.5</v>
      </c>
      <c r="E11" s="14">
        <f t="shared" ref="E11" si="7">(E7*50)/100</f>
        <v>370818.5</v>
      </c>
      <c r="F11" s="14">
        <f t="shared" ref="F11" si="8">(F7*50)/100</f>
        <v>370818.5</v>
      </c>
      <c r="G11" s="14">
        <f t="shared" ref="G11" si="9">(G7*50)/100</f>
        <v>370818.5</v>
      </c>
      <c r="H11" s="14">
        <f t="shared" ref="H11" si="10">(H7*50)/100</f>
        <v>370818.5</v>
      </c>
      <c r="I11" s="14">
        <f t="shared" ref="I11" si="11">(I7*50)/100</f>
        <v>370818.5</v>
      </c>
    </row>
    <row r="12" spans="2:11" x14ac:dyDescent="0.25">
      <c r="B12" t="s">
        <v>76</v>
      </c>
      <c r="C12" s="14">
        <f t="shared" ref="C12:I12" si="12">(C7*30)/100</f>
        <v>222491.1</v>
      </c>
      <c r="D12" s="14">
        <f t="shared" si="12"/>
        <v>222491.1</v>
      </c>
      <c r="E12" s="14">
        <f t="shared" si="12"/>
        <v>222491.1</v>
      </c>
      <c r="F12" s="14">
        <f t="shared" si="12"/>
        <v>222491.1</v>
      </c>
      <c r="G12" s="14">
        <f t="shared" si="12"/>
        <v>222491.1</v>
      </c>
      <c r="H12" s="14">
        <f t="shared" si="12"/>
        <v>222491.1</v>
      </c>
      <c r="I12" s="14">
        <f t="shared" si="12"/>
        <v>222491.1</v>
      </c>
    </row>
    <row r="13" spans="2:11" x14ac:dyDescent="0.25">
      <c r="B13" t="s">
        <v>77</v>
      </c>
      <c r="C13" s="14">
        <f t="shared" ref="C13:I13" si="13">(C7*10)/100</f>
        <v>74163.7</v>
      </c>
      <c r="D13" s="14">
        <f t="shared" si="13"/>
        <v>74163.7</v>
      </c>
      <c r="E13" s="14">
        <f t="shared" si="13"/>
        <v>74163.7</v>
      </c>
      <c r="F13" s="14">
        <f t="shared" si="13"/>
        <v>74163.7</v>
      </c>
      <c r="G13" s="14">
        <f t="shared" si="13"/>
        <v>74163.7</v>
      </c>
      <c r="H13" s="14">
        <f t="shared" si="13"/>
        <v>74163.7</v>
      </c>
      <c r="I13" s="14">
        <f t="shared" si="13"/>
        <v>74163.7</v>
      </c>
    </row>
    <row r="14" spans="2:11" x14ac:dyDescent="0.25">
      <c r="B14" t="s">
        <v>78</v>
      </c>
      <c r="C14" s="14">
        <f t="shared" ref="C14:I14" si="14">(C7*10)/100</f>
        <v>74163.7</v>
      </c>
      <c r="D14" s="14">
        <f t="shared" si="14"/>
        <v>74163.7</v>
      </c>
      <c r="E14" s="14">
        <f t="shared" si="14"/>
        <v>74163.7</v>
      </c>
      <c r="F14" s="14">
        <f t="shared" si="14"/>
        <v>74163.7</v>
      </c>
      <c r="G14" s="14">
        <f t="shared" si="14"/>
        <v>74163.7</v>
      </c>
      <c r="H14" s="14">
        <f t="shared" si="14"/>
        <v>74163.7</v>
      </c>
      <c r="I14" s="14">
        <f t="shared" si="14"/>
        <v>74163.7</v>
      </c>
    </row>
    <row r="15" spans="2:11" x14ac:dyDescent="0.25">
      <c r="B15" t="s">
        <v>68</v>
      </c>
      <c r="C15" s="14">
        <f t="shared" ref="C15:I15" si="15">SUM(C11:C14)</f>
        <v>741636.99999999988</v>
      </c>
      <c r="D15" s="14">
        <f t="shared" si="15"/>
        <v>741636.99999999988</v>
      </c>
      <c r="E15" s="14">
        <f t="shared" si="15"/>
        <v>741636.99999999988</v>
      </c>
      <c r="F15" s="14">
        <f t="shared" si="15"/>
        <v>741636.99999999988</v>
      </c>
      <c r="G15" s="14">
        <f t="shared" si="15"/>
        <v>741636.99999999988</v>
      </c>
      <c r="H15" s="14">
        <f t="shared" si="15"/>
        <v>741636.99999999988</v>
      </c>
      <c r="I15" s="14">
        <f t="shared" si="15"/>
        <v>741636.99999999988</v>
      </c>
    </row>
    <row r="18" spans="2:4" x14ac:dyDescent="0.25">
      <c r="B18" s="13" t="s">
        <v>106</v>
      </c>
      <c r="C18" s="13"/>
      <c r="D18" s="13"/>
    </row>
    <row r="19" spans="2:4" x14ac:dyDescent="0.25">
      <c r="B19" t="s">
        <v>101</v>
      </c>
      <c r="C19" t="s">
        <v>102</v>
      </c>
      <c r="D19" t="s">
        <v>107</v>
      </c>
    </row>
    <row r="20" spans="2:4" x14ac:dyDescent="0.25">
      <c r="B20" t="s">
        <v>103</v>
      </c>
      <c r="C20" s="14">
        <v>1100000</v>
      </c>
      <c r="D20" s="14"/>
    </row>
    <row r="21" spans="2:4" x14ac:dyDescent="0.25">
      <c r="B21" t="s">
        <v>104</v>
      </c>
      <c r="C21" s="14">
        <v>1000000</v>
      </c>
      <c r="D21" s="14"/>
    </row>
    <row r="22" spans="2:4" x14ac:dyDescent="0.25">
      <c r="B22" t="s">
        <v>105</v>
      </c>
      <c r="C22" s="14">
        <v>1500000</v>
      </c>
      <c r="D22" s="14"/>
    </row>
    <row r="23" spans="2:4" x14ac:dyDescent="0.25">
      <c r="B23" s="1" t="s">
        <v>68</v>
      </c>
      <c r="C23" s="14">
        <f>SUM(C20:C22)</f>
        <v>3600000</v>
      </c>
      <c r="D23" s="14">
        <f>Tabla1014[[#This Row],[Pago Mensual]]/7</f>
        <v>514285.71428571426</v>
      </c>
    </row>
    <row r="26" spans="2:4" x14ac:dyDescent="0.25">
      <c r="B26" s="13" t="s">
        <v>113</v>
      </c>
      <c r="C26" s="13"/>
      <c r="D26" s="13"/>
    </row>
    <row r="27" spans="2:4" x14ac:dyDescent="0.25">
      <c r="B27" t="s">
        <v>108</v>
      </c>
      <c r="C27" t="s">
        <v>102</v>
      </c>
      <c r="D27" t="s">
        <v>107</v>
      </c>
    </row>
    <row r="28" spans="2:4" x14ac:dyDescent="0.25">
      <c r="B28" t="s">
        <v>109</v>
      </c>
      <c r="C28" s="14">
        <v>80000</v>
      </c>
      <c r="D28" s="14"/>
    </row>
    <row r="29" spans="2:4" x14ac:dyDescent="0.25">
      <c r="B29" t="s">
        <v>110</v>
      </c>
      <c r="C29" s="14">
        <v>150000</v>
      </c>
      <c r="D29" s="14"/>
    </row>
    <row r="30" spans="2:4" x14ac:dyDescent="0.25">
      <c r="B30" t="s">
        <v>111</v>
      </c>
      <c r="C30" s="14">
        <v>80000</v>
      </c>
      <c r="D30" s="14"/>
    </row>
    <row r="31" spans="2:4" x14ac:dyDescent="0.25">
      <c r="B31" t="s">
        <v>112</v>
      </c>
      <c r="C31" s="14">
        <v>50000</v>
      </c>
      <c r="D31" s="14"/>
    </row>
    <row r="32" spans="2:4" x14ac:dyDescent="0.25">
      <c r="B32" s="1" t="s">
        <v>68</v>
      </c>
      <c r="C32" s="14">
        <f>SUM(C28:C31)</f>
        <v>360000</v>
      </c>
      <c r="D32" s="14">
        <f>Tabla14[[#This Row],[Pago Mensual]]/7</f>
        <v>51428.571428571428</v>
      </c>
    </row>
    <row r="35" spans="2:8" ht="28.5" customHeight="1" x14ac:dyDescent="0.25">
      <c r="B35" s="55" t="s">
        <v>156</v>
      </c>
      <c r="C35" s="55"/>
      <c r="D35" s="48"/>
      <c r="E35" s="55" t="s">
        <v>163</v>
      </c>
      <c r="F35" s="55"/>
      <c r="G35" s="48"/>
    </row>
    <row r="36" spans="2:8" x14ac:dyDescent="0.25">
      <c r="B36" t="s">
        <v>157</v>
      </c>
      <c r="C36" t="s">
        <v>138</v>
      </c>
      <c r="E36" t="s">
        <v>164</v>
      </c>
      <c r="F36" t="s">
        <v>138</v>
      </c>
    </row>
    <row r="37" spans="2:8" ht="30" x14ac:dyDescent="0.25">
      <c r="B37" s="53" t="s">
        <v>106</v>
      </c>
      <c r="C37" s="54">
        <f>D23/7</f>
        <v>73469.387755102041</v>
      </c>
      <c r="D37" s="52"/>
      <c r="E37" s="53" t="s">
        <v>106</v>
      </c>
      <c r="F37" s="14">
        <f>Tabla21[[#This Row],[Precio]]*12</f>
        <v>881632.6530612245</v>
      </c>
    </row>
    <row r="38" spans="2:8" ht="30" x14ac:dyDescent="0.25">
      <c r="B38" s="53" t="s">
        <v>113</v>
      </c>
      <c r="C38" s="54">
        <f>D32/7</f>
        <v>7346.9387755102043</v>
      </c>
      <c r="D38" s="52"/>
      <c r="E38" s="53" t="s">
        <v>113</v>
      </c>
      <c r="F38" s="14">
        <f>Tabla21[[#This Row],[Precio]]*12</f>
        <v>88163.265306122456</v>
      </c>
      <c r="H38" t="s">
        <v>165</v>
      </c>
    </row>
    <row r="39" spans="2:8" x14ac:dyDescent="0.25">
      <c r="B39" t="s">
        <v>158</v>
      </c>
      <c r="C39" s="14">
        <f>Software!D3/12/7</f>
        <v>20900</v>
      </c>
      <c r="E39" t="s">
        <v>158</v>
      </c>
      <c r="F39" s="14">
        <f>Tabla21[[#This Row],[Precio]]*12</f>
        <v>250800</v>
      </c>
      <c r="H39" s="14">
        <f>C44*14*7</f>
        <v>24164201.166666672</v>
      </c>
    </row>
    <row r="40" spans="2:8" x14ac:dyDescent="0.25">
      <c r="B40" t="s">
        <v>159</v>
      </c>
      <c r="C40" s="14">
        <f>Software!D4/12/7</f>
        <v>1904.7619047619048</v>
      </c>
      <c r="E40" t="s">
        <v>159</v>
      </c>
      <c r="F40" s="14">
        <f>Tabla21[[#This Row],[Precio]]*12</f>
        <v>22857.142857142859</v>
      </c>
    </row>
    <row r="41" spans="2:8" x14ac:dyDescent="0.25">
      <c r="B41" t="s">
        <v>160</v>
      </c>
      <c r="C41" s="14">
        <f>Software!D5/12/7</f>
        <v>2166.6666666666665</v>
      </c>
      <c r="E41" t="s">
        <v>160</v>
      </c>
      <c r="F41" s="14">
        <f>Tabla21[[#This Row],[Precio]]*12</f>
        <v>26000</v>
      </c>
    </row>
    <row r="42" spans="2:8" x14ac:dyDescent="0.25">
      <c r="B42" t="s">
        <v>162</v>
      </c>
      <c r="C42" s="14">
        <f>Hardware!L8/12/7</f>
        <v>106190.48809523809</v>
      </c>
      <c r="E42" t="s">
        <v>162</v>
      </c>
      <c r="F42" s="14">
        <f>Tabla21[[#This Row],[Precio]]*12</f>
        <v>1274285.857142857</v>
      </c>
    </row>
    <row r="43" spans="2:8" x14ac:dyDescent="0.25">
      <c r="B43" t="s">
        <v>161</v>
      </c>
      <c r="C43" s="14">
        <f>Hardware!D15/12/7</f>
        <v>34595.238095238092</v>
      </c>
      <c r="E43" t="s">
        <v>161</v>
      </c>
      <c r="F43" s="14">
        <f>Tabla21[[#This Row],[Precio]]*12</f>
        <v>415142.8571428571</v>
      </c>
    </row>
    <row r="44" spans="2:8" x14ac:dyDescent="0.25">
      <c r="B44" s="1" t="s">
        <v>68</v>
      </c>
      <c r="C44" s="14">
        <f>SUM(C37:C43)</f>
        <v>246573.48129251704</v>
      </c>
      <c r="E44" s="1" t="s">
        <v>68</v>
      </c>
      <c r="F44" s="14">
        <f>SUM(F37:F43)</f>
        <v>2958881.775510204</v>
      </c>
    </row>
  </sheetData>
  <mergeCells count="6">
    <mergeCell ref="E35:F35"/>
    <mergeCell ref="B18:D18"/>
    <mergeCell ref="B26:D26"/>
    <mergeCell ref="B35:C35"/>
    <mergeCell ref="B2:I2"/>
    <mergeCell ref="B9:I9"/>
  </mergeCells>
  <phoneticPr fontId="3" type="noConversion"/>
  <pageMargins left="0.7" right="0.7" top="0.75" bottom="0.75" header="0.3" footer="0.3"/>
  <pageSetup orientation="portrait" r:id="rId1"/>
  <ignoredErrors>
    <ignoredError sqref="C12 C13:C15 D12:D15 E5:E7 C5:C7 D5:D7 F4:F7 G5:G7 H5:H7 I5:I7 F44 E12:E15 F12:F15 G12:G15 H12:H15 I12:I15 C37:C44" calculatedColumn="1"/>
  </ignoredErrors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C5EB-684B-470E-9007-BA421AF8D1EB}">
  <sheetPr>
    <tabColor theme="9" tint="0.39997558519241921"/>
  </sheetPr>
  <dimension ref="B2:D6"/>
  <sheetViews>
    <sheetView workbookViewId="0">
      <selection activeCell="G16" sqref="G16"/>
    </sheetView>
  </sheetViews>
  <sheetFormatPr baseColWidth="10" defaultRowHeight="15" x14ac:dyDescent="0.25"/>
  <cols>
    <col min="2" max="2" width="18.42578125" customWidth="1"/>
    <col min="3" max="3" width="17.140625" bestFit="1" customWidth="1"/>
    <col min="4" max="4" width="14.5703125" bestFit="1" customWidth="1"/>
    <col min="5" max="6" width="12" customWidth="1"/>
  </cols>
  <sheetData>
    <row r="2" spans="2:4" x14ac:dyDescent="0.25">
      <c r="B2" t="s">
        <v>137</v>
      </c>
      <c r="C2" t="s">
        <v>139</v>
      </c>
      <c r="D2" t="s">
        <v>138</v>
      </c>
    </row>
    <row r="3" spans="2:4" x14ac:dyDescent="0.25">
      <c r="B3" t="s">
        <v>135</v>
      </c>
      <c r="C3" t="s">
        <v>142</v>
      </c>
      <c r="D3" s="14">
        <v>1755600</v>
      </c>
    </row>
    <row r="4" spans="2:4" ht="30" x14ac:dyDescent="0.25">
      <c r="B4" s="42" t="s">
        <v>140</v>
      </c>
      <c r="C4" s="43" t="s">
        <v>141</v>
      </c>
      <c r="D4" s="44">
        <v>160000</v>
      </c>
    </row>
    <row r="5" spans="2:4" x14ac:dyDescent="0.25">
      <c r="B5" t="s">
        <v>136</v>
      </c>
      <c r="C5" t="s">
        <v>143</v>
      </c>
      <c r="D5" s="45">
        <v>182000</v>
      </c>
    </row>
    <row r="6" spans="2:4" x14ac:dyDescent="0.25">
      <c r="B6" s="46" t="s">
        <v>68</v>
      </c>
      <c r="D6" s="14">
        <f>SUM(D3:D5)</f>
        <v>2097600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CF4C7-006D-4B2B-A6EB-03489D7E8C1F}">
  <sheetPr>
    <tabColor theme="5" tint="0.39997558519241921"/>
  </sheetPr>
  <dimension ref="B2:L15"/>
  <sheetViews>
    <sheetView workbookViewId="0">
      <selection activeCell="D21" sqref="D21"/>
    </sheetView>
  </sheetViews>
  <sheetFormatPr baseColWidth="10" defaultRowHeight="15" x14ac:dyDescent="0.25"/>
  <cols>
    <col min="2" max="2" width="19" customWidth="1"/>
    <col min="3" max="3" width="24.5703125" bestFit="1" customWidth="1"/>
    <col min="4" max="4" width="29.85546875" bestFit="1" customWidth="1"/>
    <col min="5" max="5" width="16.7109375" bestFit="1" customWidth="1"/>
    <col min="7" max="7" width="15.85546875" bestFit="1" customWidth="1"/>
    <col min="8" max="8" width="14.7109375" bestFit="1" customWidth="1"/>
    <col min="9" max="9" width="12.7109375" bestFit="1" customWidth="1"/>
    <col min="10" max="10" width="13.42578125" customWidth="1"/>
    <col min="11" max="11" width="24.5703125" bestFit="1" customWidth="1"/>
    <col min="12" max="12" width="20.5703125" bestFit="1" customWidth="1"/>
    <col min="13" max="13" width="21.5703125" bestFit="1" customWidth="1"/>
  </cols>
  <sheetData>
    <row r="2" spans="2:12" x14ac:dyDescent="0.25">
      <c r="B2" s="13" t="s">
        <v>148</v>
      </c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2:12" x14ac:dyDescent="0.25">
      <c r="B3" s="8" t="s">
        <v>80</v>
      </c>
      <c r="C3" s="8" t="s">
        <v>87</v>
      </c>
      <c r="D3" s="8" t="s">
        <v>145</v>
      </c>
      <c r="E3" s="8" t="s">
        <v>89</v>
      </c>
      <c r="F3" s="8" t="s">
        <v>82</v>
      </c>
      <c r="G3" s="8" t="s">
        <v>83</v>
      </c>
      <c r="H3" s="8" t="s">
        <v>84</v>
      </c>
      <c r="I3" s="8" t="s">
        <v>85</v>
      </c>
      <c r="J3" s="8" t="s">
        <v>86</v>
      </c>
      <c r="K3" s="8" t="s">
        <v>98</v>
      </c>
      <c r="L3" s="8" t="s">
        <v>81</v>
      </c>
    </row>
    <row r="4" spans="2:12" x14ac:dyDescent="0.25">
      <c r="B4" s="47">
        <v>44708</v>
      </c>
      <c r="C4" t="s">
        <v>146</v>
      </c>
      <c r="D4" s="8" t="s">
        <v>88</v>
      </c>
      <c r="E4" s="8" t="s">
        <v>90</v>
      </c>
      <c r="F4" s="8" t="s">
        <v>91</v>
      </c>
      <c r="G4" s="8" t="s">
        <v>92</v>
      </c>
      <c r="H4" s="8" t="s">
        <v>95</v>
      </c>
      <c r="I4" s="8" t="s">
        <v>93</v>
      </c>
      <c r="J4" s="8" t="s">
        <v>93</v>
      </c>
      <c r="K4" t="s">
        <v>99</v>
      </c>
      <c r="L4" s="51">
        <v>2240000</v>
      </c>
    </row>
    <row r="5" spans="2:12" x14ac:dyDescent="0.25">
      <c r="B5" s="47">
        <v>44708</v>
      </c>
      <c r="C5" t="s">
        <v>146</v>
      </c>
      <c r="D5" s="8" t="s">
        <v>88</v>
      </c>
      <c r="E5" s="8" t="s">
        <v>90</v>
      </c>
      <c r="F5" s="8" t="s">
        <v>91</v>
      </c>
      <c r="G5" s="8" t="s">
        <v>94</v>
      </c>
      <c r="H5" s="8" t="s">
        <v>95</v>
      </c>
      <c r="I5" s="8" t="s">
        <v>93</v>
      </c>
      <c r="J5" s="8" t="s">
        <v>93</v>
      </c>
      <c r="K5" t="s">
        <v>99</v>
      </c>
      <c r="L5" s="51">
        <v>2480000</v>
      </c>
    </row>
    <row r="6" spans="2:12" x14ac:dyDescent="0.25">
      <c r="B6" s="47">
        <v>44712</v>
      </c>
      <c r="C6" t="s">
        <v>144</v>
      </c>
      <c r="D6" s="8" t="s">
        <v>96</v>
      </c>
      <c r="E6" s="8" t="s">
        <v>90</v>
      </c>
      <c r="F6" s="8" t="s">
        <v>91</v>
      </c>
      <c r="G6" s="8" t="s">
        <v>94</v>
      </c>
      <c r="H6" s="8" t="s">
        <v>97</v>
      </c>
      <c r="I6" s="8" t="s">
        <v>93</v>
      </c>
      <c r="J6" s="8" t="s">
        <v>93</v>
      </c>
      <c r="K6" t="s">
        <v>100</v>
      </c>
      <c r="L6" s="51">
        <v>2100000</v>
      </c>
    </row>
    <row r="7" spans="2:12" x14ac:dyDescent="0.25">
      <c r="B7" s="50" t="s">
        <v>147</v>
      </c>
      <c r="C7" t="s">
        <v>144</v>
      </c>
      <c r="D7" s="8" t="s">
        <v>96</v>
      </c>
      <c r="E7" s="8" t="s">
        <v>90</v>
      </c>
      <c r="F7" s="8" t="s">
        <v>91</v>
      </c>
      <c r="G7" s="8" t="s">
        <v>94</v>
      </c>
      <c r="H7" s="8" t="s">
        <v>97</v>
      </c>
      <c r="I7" s="8" t="s">
        <v>93</v>
      </c>
      <c r="J7" s="8" t="s">
        <v>93</v>
      </c>
      <c r="K7" t="s">
        <v>100</v>
      </c>
      <c r="L7" s="51">
        <v>2100001</v>
      </c>
    </row>
    <row r="8" spans="2:12" x14ac:dyDescent="0.25">
      <c r="B8" s="48" t="s">
        <v>68</v>
      </c>
      <c r="C8" s="48"/>
      <c r="D8" s="49"/>
      <c r="E8" s="8"/>
      <c r="F8" s="8"/>
      <c r="G8" s="8"/>
      <c r="H8" s="8"/>
      <c r="I8" s="8"/>
      <c r="J8" s="8"/>
      <c r="L8" s="51">
        <f>SUM(L4:L7)</f>
        <v>8920001</v>
      </c>
    </row>
    <row r="10" spans="2:12" x14ac:dyDescent="0.25">
      <c r="B10" s="13" t="s">
        <v>149</v>
      </c>
      <c r="C10" s="13"/>
      <c r="D10" s="13"/>
    </row>
    <row r="11" spans="2:12" x14ac:dyDescent="0.25">
      <c r="B11" t="s">
        <v>150</v>
      </c>
      <c r="C11" t="s">
        <v>154</v>
      </c>
      <c r="D11" t="s">
        <v>155</v>
      </c>
    </row>
    <row r="12" spans="2:12" x14ac:dyDescent="0.25">
      <c r="B12" t="s">
        <v>151</v>
      </c>
      <c r="C12" s="14">
        <v>250000</v>
      </c>
      <c r="D12" s="14">
        <f>Tabla20[[#This Row],[Precio Unitario]]*7</f>
        <v>1750000</v>
      </c>
    </row>
    <row r="13" spans="2:12" x14ac:dyDescent="0.25">
      <c r="B13" t="s">
        <v>152</v>
      </c>
      <c r="C13" s="14">
        <v>280000</v>
      </c>
      <c r="D13" s="14">
        <f>Tabla20[[#This Row],[Precio Unitario]]*4</f>
        <v>1120000</v>
      </c>
    </row>
    <row r="14" spans="2:12" x14ac:dyDescent="0.25">
      <c r="B14" t="s">
        <v>153</v>
      </c>
      <c r="C14" s="14">
        <v>9000</v>
      </c>
      <c r="D14" s="14">
        <f>Tabla20[[#This Row],[Precio Unitario]]*4</f>
        <v>36000</v>
      </c>
    </row>
    <row r="15" spans="2:12" x14ac:dyDescent="0.25">
      <c r="B15" s="1" t="s">
        <v>68</v>
      </c>
      <c r="C15" s="14"/>
      <c r="D15" s="14">
        <f>SUM(D12:D14)</f>
        <v>2906000</v>
      </c>
    </row>
  </sheetData>
  <mergeCells count="2">
    <mergeCell ref="B2:L2"/>
    <mergeCell ref="B10:D10"/>
  </mergeCells>
  <phoneticPr fontId="3" type="noConversion"/>
  <pageMargins left="0.7" right="0.7" top="0.75" bottom="0.75" header="0.3" footer="0.3"/>
  <ignoredErrors>
    <ignoredError sqref="D13:D15" calculatedColumn="1"/>
  </ignoredErrors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1369-8C1E-4E07-ABDA-0E7692A6D44E}">
  <sheetPr>
    <tabColor rgb="FFFFFF00"/>
  </sheetPr>
  <dimension ref="A6:P31"/>
  <sheetViews>
    <sheetView zoomScale="115" zoomScaleNormal="115" workbookViewId="0">
      <selection activeCell="N27" sqref="N27"/>
    </sheetView>
  </sheetViews>
  <sheetFormatPr baseColWidth="10" defaultRowHeight="15" x14ac:dyDescent="0.25"/>
  <cols>
    <col min="2" max="2" width="25.5703125" customWidth="1"/>
    <col min="4" max="4" width="14.5703125" customWidth="1"/>
    <col min="8" max="8" width="25.28515625" bestFit="1" customWidth="1"/>
    <col min="9" max="9" width="16" customWidth="1"/>
    <col min="10" max="10" width="18.28515625" customWidth="1"/>
    <col min="15" max="15" width="13.5703125" customWidth="1"/>
    <col min="16" max="16" width="14.85546875" bestFit="1" customWidth="1"/>
  </cols>
  <sheetData>
    <row r="6" spans="1:16" x14ac:dyDescent="0.25">
      <c r="B6" s="1" t="s">
        <v>134</v>
      </c>
      <c r="H6" s="37" t="s">
        <v>133</v>
      </c>
      <c r="I6" s="37">
        <v>30</v>
      </c>
    </row>
    <row r="8" spans="1:16" x14ac:dyDescent="0.25">
      <c r="B8" t="s">
        <v>120</v>
      </c>
      <c r="D8" s="15">
        <f>(I10/30)</f>
        <v>66666.666666666672</v>
      </c>
      <c r="H8" s="30" t="s">
        <v>132</v>
      </c>
      <c r="I8" s="38">
        <v>1000000</v>
      </c>
    </row>
    <row r="9" spans="1:16" x14ac:dyDescent="0.25">
      <c r="B9" t="s">
        <v>131</v>
      </c>
      <c r="D9" s="36">
        <f>D8*10%</f>
        <v>6666.6666666666679</v>
      </c>
      <c r="I9" s="14"/>
    </row>
    <row r="10" spans="1:16" x14ac:dyDescent="0.25">
      <c r="B10" t="s">
        <v>130</v>
      </c>
      <c r="D10" s="15">
        <f>D8+D9</f>
        <v>73333.333333333343</v>
      </c>
      <c r="H10" s="29" t="s">
        <v>129</v>
      </c>
      <c r="I10" s="39">
        <v>2000000</v>
      </c>
      <c r="P10" s="15"/>
    </row>
    <row r="11" spans="1:16" x14ac:dyDescent="0.25">
      <c r="B11" t="s">
        <v>126</v>
      </c>
      <c r="D11" s="34">
        <f>IF(I10&lt;=$I$8*2,($I$12/30)*$I$6,0)</f>
        <v>117172</v>
      </c>
      <c r="I11" s="14"/>
      <c r="P11" s="15"/>
    </row>
    <row r="12" spans="1:16" x14ac:dyDescent="0.25">
      <c r="A12" t="s">
        <v>128</v>
      </c>
      <c r="B12" t="s">
        <v>127</v>
      </c>
      <c r="D12" s="15">
        <f>1200000*12/365</f>
        <v>39452.054794520547</v>
      </c>
      <c r="H12" s="35" t="s">
        <v>126</v>
      </c>
      <c r="I12" s="40">
        <v>117172</v>
      </c>
      <c r="P12" s="34"/>
    </row>
    <row r="13" spans="1:16" x14ac:dyDescent="0.25">
      <c r="B13" t="s">
        <v>116</v>
      </c>
      <c r="D13" s="15">
        <f>D10*12*25%/365</f>
        <v>602.7397260273973</v>
      </c>
      <c r="I13" s="14"/>
      <c r="P13" s="15"/>
    </row>
    <row r="14" spans="1:16" x14ac:dyDescent="0.25">
      <c r="B14" t="s">
        <v>125</v>
      </c>
      <c r="D14" s="15">
        <f>D10*15/365</f>
        <v>3013.698630136987</v>
      </c>
      <c r="H14" s="33" t="s">
        <v>124</v>
      </c>
      <c r="I14" s="41">
        <f>I16*20%</f>
        <v>6660</v>
      </c>
      <c r="J14" s="32" t="s">
        <v>123</v>
      </c>
      <c r="P14" s="15"/>
    </row>
    <row r="15" spans="1:16" x14ac:dyDescent="0.25">
      <c r="I15" s="14"/>
      <c r="J15" s="31">
        <v>0.4</v>
      </c>
      <c r="K15" s="30" t="s">
        <v>122</v>
      </c>
      <c r="P15" s="15"/>
    </row>
    <row r="16" spans="1:16" x14ac:dyDescent="0.25">
      <c r="H16" s="29" t="s">
        <v>121</v>
      </c>
      <c r="I16" s="39">
        <v>33300</v>
      </c>
      <c r="J16" s="28">
        <f>I16*J15</f>
        <v>13320</v>
      </c>
      <c r="K16" s="27">
        <f>I16*3</f>
        <v>99900</v>
      </c>
      <c r="P16" s="15"/>
    </row>
    <row r="17" spans="1:9" ht="15.75" thickBot="1" x14ac:dyDescent="0.3"/>
    <row r="18" spans="1:9" ht="15.75" thickTop="1" x14ac:dyDescent="0.25">
      <c r="G18" s="24"/>
      <c r="H18" s="26" t="s">
        <v>114</v>
      </c>
      <c r="I18" s="25"/>
    </row>
    <row r="19" spans="1:9" x14ac:dyDescent="0.25">
      <c r="H19" s="20"/>
      <c r="I19" s="24"/>
    </row>
    <row r="20" spans="1:9" x14ac:dyDescent="0.25">
      <c r="H20" s="20" t="s">
        <v>120</v>
      </c>
      <c r="I20" s="21">
        <f>D8</f>
        <v>66666.666666666672</v>
      </c>
    </row>
    <row r="21" spans="1:9" x14ac:dyDescent="0.25">
      <c r="A21" s="22"/>
      <c r="H21" s="20" t="s">
        <v>119</v>
      </c>
      <c r="I21" s="21">
        <f>D9</f>
        <v>6666.6666666666679</v>
      </c>
    </row>
    <row r="22" spans="1:9" x14ac:dyDescent="0.25">
      <c r="H22" s="20" t="s">
        <v>118</v>
      </c>
      <c r="I22" s="23">
        <f>D11</f>
        <v>117172</v>
      </c>
    </row>
    <row r="23" spans="1:9" x14ac:dyDescent="0.25">
      <c r="A23" s="22"/>
      <c r="H23" s="20" t="s">
        <v>117</v>
      </c>
      <c r="I23" s="21">
        <f>D12-J16</f>
        <v>26132.054794520547</v>
      </c>
    </row>
    <row r="24" spans="1:9" x14ac:dyDescent="0.25">
      <c r="H24" s="20" t="s">
        <v>116</v>
      </c>
      <c r="I24" s="21">
        <f>D13</f>
        <v>602.7397260273973</v>
      </c>
    </row>
    <row r="25" spans="1:9" x14ac:dyDescent="0.25">
      <c r="H25" s="20" t="s">
        <v>115</v>
      </c>
      <c r="I25" s="19">
        <f>D14</f>
        <v>3013.698630136987</v>
      </c>
    </row>
    <row r="26" spans="1:9" ht="15.75" thickBot="1" x14ac:dyDescent="0.3">
      <c r="H26" s="18" t="s">
        <v>114</v>
      </c>
      <c r="I26" s="17">
        <f>SUM(I20:I25)</f>
        <v>220253.82648401827</v>
      </c>
    </row>
    <row r="27" spans="1:9" ht="15.75" thickTop="1" x14ac:dyDescent="0.25"/>
    <row r="29" spans="1:9" x14ac:dyDescent="0.25">
      <c r="C29" s="16"/>
      <c r="D29" s="15"/>
    </row>
    <row r="30" spans="1:9" x14ac:dyDescent="0.25">
      <c r="C30" s="16"/>
      <c r="D30" s="15"/>
    </row>
    <row r="31" spans="1:9" x14ac:dyDescent="0.25">
      <c r="C31" s="16"/>
      <c r="D31" s="1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Tiempos</vt:lpstr>
      <vt:lpstr>Costos Proyecto</vt:lpstr>
      <vt:lpstr>Software</vt:lpstr>
      <vt:lpstr>Hardware</vt:lpstr>
      <vt:lpstr>COSTO_HORA_HOMBRE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Ambiente</dc:creator>
  <cp:lastModifiedBy>Ambiente</cp:lastModifiedBy>
  <dcterms:created xsi:type="dcterms:W3CDTF">2022-06-01T14:13:19Z</dcterms:created>
  <dcterms:modified xsi:type="dcterms:W3CDTF">2022-06-02T15:56:08Z</dcterms:modified>
</cp:coreProperties>
</file>