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6x4xzz\Desktop\Product_Analysis\AF 30\"/>
    </mc:Choice>
  </mc:AlternateContent>
  <bookViews>
    <workbookView xWindow="0" yWindow="0" windowWidth="28800" windowHeight="12435" firstSheet="7" activeTab="11"/>
  </bookViews>
  <sheets>
    <sheet name="Data From Lance" sheetId="1" r:id="rId1"/>
    <sheet name="Charge Data Zeon" sheetId="4" r:id="rId2"/>
    <sheet name="Data For Regression Raw" sheetId="2" r:id="rId3"/>
    <sheet name="Histogram Data" sheetId="3" r:id="rId4"/>
    <sheet name="Regression Data AF-30" sheetId="5" r:id="rId5"/>
    <sheet name="AF-30 by Rubber Lot Batch Count" sheetId="8" r:id="rId6"/>
    <sheet name="AF-30 by Rubber Lot Percent" sheetId="10" r:id="rId7"/>
    <sheet name="AF-30 by Rubber Lot Percent w D" sheetId="11" r:id="rId8"/>
    <sheet name="AF-30ByRubLot_Pvt" sheetId="9" r:id="rId9"/>
    <sheet name="Regression Data AF-32" sheetId="6" r:id="rId10"/>
    <sheet name="AF-32 by Rubber Lot Batch Count" sheetId="12" r:id="rId11"/>
    <sheet name="AF-32 by Rubber Lot Percent" sheetId="13" r:id="rId12"/>
    <sheet name="AF-32ByRubLot Pvt" sheetId="14" r:id="rId13"/>
    <sheet name="MindMap_Systems" sheetId="7" r:id="rId14"/>
  </sheets>
  <definedNames>
    <definedName name="_xlnm._FilterDatabase" localSheetId="2" hidden="1">'Data For Regression Raw'!$A$1:$V$1</definedName>
    <definedName name="_xlnm._FilterDatabase" localSheetId="4" hidden="1">'Regression Data AF-30'!$A$1:$W$1</definedName>
    <definedName name="_xlnm._FilterDatabase" localSheetId="9" hidden="1">'Regression Data AF-32'!$A$1:$W$1</definedName>
    <definedName name="_xlnm.Print_Area" localSheetId="0">'Data From Lance'!$A$1:$N$46</definedName>
    <definedName name="SAPBEXdnldView" hidden="1">"XLS_9HGL1LQ8XXU57EWZC5MPO12W5"</definedName>
    <definedName name="SAPBEXsysID" hidden="1">"BWP"</definedName>
  </definedNames>
  <calcPr calcId="152511"/>
  <pivotCaches>
    <pivotCache cacheId="2" r:id="rId15"/>
    <pivotCache cacheId="27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3" l="1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C2" i="13"/>
  <c r="W83" i="13"/>
  <c r="W82" i="13"/>
  <c r="W81" i="13"/>
  <c r="W80" i="13"/>
  <c r="W79" i="13"/>
  <c r="W78" i="13"/>
  <c r="W77" i="13"/>
  <c r="W76" i="13"/>
  <c r="W75" i="13"/>
  <c r="W74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W52" i="13"/>
  <c r="W51" i="13"/>
  <c r="W50" i="13"/>
  <c r="W49" i="13"/>
  <c r="W48" i="13"/>
  <c r="W47" i="13"/>
  <c r="W46" i="13"/>
  <c r="W45" i="13"/>
  <c r="W44" i="13"/>
  <c r="W43" i="13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W2" i="13"/>
  <c r="W83" i="12"/>
  <c r="W82" i="12"/>
  <c r="W81" i="12"/>
  <c r="W79" i="12"/>
  <c r="W80" i="12"/>
  <c r="W78" i="12"/>
  <c r="W77" i="12"/>
  <c r="W76" i="12"/>
  <c r="W73" i="12"/>
  <c r="W74" i="12"/>
  <c r="W75" i="12"/>
  <c r="W72" i="12"/>
  <c r="W70" i="12"/>
  <c r="W71" i="12"/>
  <c r="W63" i="12"/>
  <c r="W64" i="12"/>
  <c r="W65" i="12"/>
  <c r="W66" i="12"/>
  <c r="W67" i="12"/>
  <c r="W68" i="12"/>
  <c r="W69" i="12"/>
  <c r="W61" i="12"/>
  <c r="W62" i="12"/>
  <c r="W60" i="12"/>
  <c r="W59" i="12"/>
  <c r="W58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40" i="12"/>
  <c r="W41" i="12"/>
  <c r="W42" i="12"/>
  <c r="W43" i="12"/>
  <c r="W37" i="12"/>
  <c r="W38" i="12"/>
  <c r="W39" i="12"/>
  <c r="W30" i="12"/>
  <c r="W35" i="12"/>
  <c r="W36" i="12"/>
  <c r="W31" i="12"/>
  <c r="W32" i="12"/>
  <c r="W33" i="12"/>
  <c r="W34" i="12"/>
  <c r="W26" i="12"/>
  <c r="W25" i="12"/>
  <c r="W27" i="12"/>
  <c r="W28" i="12"/>
  <c r="W29" i="12"/>
  <c r="W12" i="12" l="1"/>
  <c r="W13" i="12"/>
  <c r="W14" i="12"/>
  <c r="W15" i="12"/>
  <c r="W16" i="12"/>
  <c r="W17" i="12"/>
  <c r="W18" i="12"/>
  <c r="W19" i="12"/>
  <c r="W20" i="12"/>
  <c r="W21" i="12"/>
  <c r="W22" i="12"/>
  <c r="W23" i="12"/>
  <c r="W24" i="12"/>
  <c r="W9" i="12"/>
  <c r="W10" i="12"/>
  <c r="W11" i="12"/>
  <c r="W3" i="12"/>
  <c r="W4" i="12"/>
  <c r="W5" i="12"/>
  <c r="W6" i="12"/>
  <c r="W7" i="12"/>
  <c r="W8" i="12"/>
  <c r="W2" i="12"/>
  <c r="D46" i="11" l="1"/>
  <c r="D45" i="11"/>
  <c r="D44" i="11"/>
  <c r="E44" i="11" s="1"/>
  <c r="D43" i="11"/>
  <c r="E43" i="11" s="1"/>
  <c r="D42" i="11"/>
  <c r="D41" i="11"/>
  <c r="D40" i="11"/>
  <c r="E40" i="11" s="1"/>
  <c r="D39" i="11"/>
  <c r="E39" i="11" s="1"/>
  <c r="D38" i="11"/>
  <c r="D37" i="11"/>
  <c r="D156" i="11"/>
  <c r="E156" i="11" s="1"/>
  <c r="D36" i="11"/>
  <c r="E36" i="11" s="1"/>
  <c r="D155" i="11"/>
  <c r="D35" i="11"/>
  <c r="D154" i="11"/>
  <c r="E154" i="11" s="1"/>
  <c r="D34" i="11"/>
  <c r="E34" i="11" s="1"/>
  <c r="D33" i="11"/>
  <c r="D153" i="11"/>
  <c r="D152" i="11"/>
  <c r="E152" i="11" s="1"/>
  <c r="D151" i="11"/>
  <c r="E151" i="11" s="1"/>
  <c r="D32" i="11"/>
  <c r="D31" i="11"/>
  <c r="D150" i="11"/>
  <c r="E150" i="11" s="1"/>
  <c r="D149" i="11"/>
  <c r="E149" i="11" s="1"/>
  <c r="D30" i="11"/>
  <c r="D148" i="11"/>
  <c r="D29" i="11"/>
  <c r="D28" i="11"/>
  <c r="D147" i="11"/>
  <c r="D146" i="11"/>
  <c r="D145" i="11"/>
  <c r="E145" i="11" s="1"/>
  <c r="D144" i="11"/>
  <c r="E144" i="11" s="1"/>
  <c r="D143" i="11"/>
  <c r="D142" i="11"/>
  <c r="D141" i="11"/>
  <c r="E141" i="11" s="1"/>
  <c r="D140" i="11"/>
  <c r="E140" i="11" s="1"/>
  <c r="D139" i="11"/>
  <c r="D138" i="11"/>
  <c r="D137" i="11"/>
  <c r="E137" i="11" s="1"/>
  <c r="D136" i="11"/>
  <c r="E136" i="11" s="1"/>
  <c r="D135" i="11"/>
  <c r="D134" i="11"/>
  <c r="D133" i="11"/>
  <c r="E133" i="11" s="1"/>
  <c r="D132" i="11"/>
  <c r="E132" i="11" s="1"/>
  <c r="D131" i="11"/>
  <c r="D130" i="11"/>
  <c r="D129" i="11"/>
  <c r="E129" i="11" s="1"/>
  <c r="D128" i="11"/>
  <c r="E128" i="11" s="1"/>
  <c r="D127" i="11"/>
  <c r="D126" i="11"/>
  <c r="D125" i="11"/>
  <c r="E125" i="11" s="1"/>
  <c r="D124" i="11"/>
  <c r="E124" i="11" s="1"/>
  <c r="D123" i="11"/>
  <c r="D122" i="11"/>
  <c r="D121" i="11"/>
  <c r="E121" i="11" s="1"/>
  <c r="D120" i="11"/>
  <c r="E120" i="11" s="1"/>
  <c r="D119" i="11"/>
  <c r="D118" i="11"/>
  <c r="D117" i="11"/>
  <c r="D116" i="11"/>
  <c r="E116" i="11" s="1"/>
  <c r="D115" i="11"/>
  <c r="D114" i="11"/>
  <c r="D113" i="11"/>
  <c r="E113" i="11" s="1"/>
  <c r="D112" i="11"/>
  <c r="E112" i="11" s="1"/>
  <c r="D111" i="11"/>
  <c r="D110" i="11"/>
  <c r="D109" i="11"/>
  <c r="E109" i="11" s="1"/>
  <c r="D108" i="11"/>
  <c r="E108" i="11" s="1"/>
  <c r="D107" i="11"/>
  <c r="D106" i="11"/>
  <c r="D105" i="11"/>
  <c r="E105" i="11" s="1"/>
  <c r="D104" i="11"/>
  <c r="E104" i="11" s="1"/>
  <c r="D103" i="11"/>
  <c r="D102" i="11"/>
  <c r="D101" i="11"/>
  <c r="E101" i="11" s="1"/>
  <c r="D100" i="11"/>
  <c r="E100" i="11" s="1"/>
  <c r="D99" i="11"/>
  <c r="D98" i="11"/>
  <c r="D97" i="11"/>
  <c r="E97" i="11" s="1"/>
  <c r="D96" i="11"/>
  <c r="E96" i="11" s="1"/>
  <c r="D95" i="11"/>
  <c r="D94" i="11"/>
  <c r="D93" i="11"/>
  <c r="E93" i="11" s="1"/>
  <c r="D92" i="11"/>
  <c r="E92" i="11" s="1"/>
  <c r="D91" i="11"/>
  <c r="D90" i="11"/>
  <c r="D89" i="11"/>
  <c r="E89" i="11" s="1"/>
  <c r="D88" i="11"/>
  <c r="E88" i="11" s="1"/>
  <c r="D87" i="11"/>
  <c r="D86" i="11"/>
  <c r="D85" i="11"/>
  <c r="D84" i="11"/>
  <c r="D83" i="11"/>
  <c r="D82" i="11"/>
  <c r="D81" i="11"/>
  <c r="E81" i="11" s="1"/>
  <c r="D80" i="11"/>
  <c r="E80" i="11" s="1"/>
  <c r="D79" i="11"/>
  <c r="D78" i="11"/>
  <c r="D77" i="11"/>
  <c r="E77" i="11" s="1"/>
  <c r="D76" i="11"/>
  <c r="E76" i="11" s="1"/>
  <c r="D75" i="11"/>
  <c r="D74" i="11"/>
  <c r="D73" i="11"/>
  <c r="E73" i="11" s="1"/>
  <c r="D72" i="11"/>
  <c r="E72" i="11" s="1"/>
  <c r="D71" i="11"/>
  <c r="D70" i="11"/>
  <c r="D69" i="11"/>
  <c r="E69" i="11" s="1"/>
  <c r="D68" i="11"/>
  <c r="E68" i="11" s="1"/>
  <c r="D67" i="11"/>
  <c r="D66" i="11"/>
  <c r="D65" i="11"/>
  <c r="E65" i="11" s="1"/>
  <c r="D64" i="11"/>
  <c r="E64" i="11" s="1"/>
  <c r="D27" i="11"/>
  <c r="D26" i="11"/>
  <c r="D25" i="11"/>
  <c r="E25" i="11" s="1"/>
  <c r="D24" i="11"/>
  <c r="E24" i="11" s="1"/>
  <c r="D23" i="11"/>
  <c r="D22" i="11"/>
  <c r="D21" i="11"/>
  <c r="E21" i="11" s="1"/>
  <c r="D20" i="11"/>
  <c r="E20" i="11" s="1"/>
  <c r="D19" i="11"/>
  <c r="D18" i="11"/>
  <c r="D17" i="11"/>
  <c r="D16" i="11"/>
  <c r="E16" i="11" s="1"/>
  <c r="D15" i="11"/>
  <c r="D14" i="11"/>
  <c r="D13" i="11"/>
  <c r="E13" i="11" s="1"/>
  <c r="D12" i="11"/>
  <c r="E12" i="11" s="1"/>
  <c r="D11" i="11"/>
  <c r="D10" i="11"/>
  <c r="D9" i="11"/>
  <c r="E9" i="11" s="1"/>
  <c r="D8" i="11"/>
  <c r="E8" i="11" s="1"/>
  <c r="D7" i="11"/>
  <c r="D6" i="11"/>
  <c r="D5" i="11"/>
  <c r="E5" i="11" s="1"/>
  <c r="D4" i="11"/>
  <c r="E4" i="11" s="1"/>
  <c r="D3" i="11"/>
  <c r="D2" i="11"/>
  <c r="D63" i="11"/>
  <c r="E63" i="11" s="1"/>
  <c r="D62" i="11"/>
  <c r="E62" i="11" s="1"/>
  <c r="D60" i="11"/>
  <c r="D61" i="11"/>
  <c r="D59" i="11"/>
  <c r="E59" i="11" s="1"/>
  <c r="D58" i="11"/>
  <c r="E58" i="11" s="1"/>
  <c r="D57" i="11"/>
  <c r="D56" i="11"/>
  <c r="D55" i="11"/>
  <c r="E55" i="11" s="1"/>
  <c r="D54" i="11"/>
  <c r="E54" i="11" s="1"/>
  <c r="D53" i="11"/>
  <c r="D52" i="11"/>
  <c r="D51" i="11"/>
  <c r="E51" i="11" s="1"/>
  <c r="D50" i="11"/>
  <c r="E50" i="11" s="1"/>
  <c r="D49" i="11"/>
  <c r="D48" i="11"/>
  <c r="D47" i="11"/>
  <c r="E47" i="11" s="1"/>
  <c r="E45" i="11"/>
  <c r="E41" i="11"/>
  <c r="E35" i="11"/>
  <c r="E153" i="11"/>
  <c r="E31" i="11"/>
  <c r="E146" i="11"/>
  <c r="E142" i="11"/>
  <c r="E138" i="11"/>
  <c r="E130" i="11"/>
  <c r="E126" i="11"/>
  <c r="E122" i="11"/>
  <c r="E114" i="11"/>
  <c r="E110" i="11"/>
  <c r="E106" i="11"/>
  <c r="E98" i="11"/>
  <c r="E94" i="11"/>
  <c r="E90" i="11"/>
  <c r="E82" i="11"/>
  <c r="E78" i="11"/>
  <c r="E74" i="11"/>
  <c r="E66" i="11"/>
  <c r="E26" i="11"/>
  <c r="E22" i="11"/>
  <c r="E14" i="11"/>
  <c r="E10" i="11"/>
  <c r="E6" i="11"/>
  <c r="E61" i="11"/>
  <c r="E56" i="11"/>
  <c r="E52" i="11"/>
  <c r="E29" i="11"/>
  <c r="E117" i="11"/>
  <c r="E85" i="11"/>
  <c r="E17" i="11"/>
  <c r="E46" i="11"/>
  <c r="E42" i="11"/>
  <c r="E38" i="11"/>
  <c r="E37" i="11"/>
  <c r="E155" i="11"/>
  <c r="E33" i="11"/>
  <c r="E32" i="11"/>
  <c r="E30" i="11"/>
  <c r="E148" i="11"/>
  <c r="E28" i="11"/>
  <c r="E147" i="11"/>
  <c r="E143" i="11"/>
  <c r="E139" i="11"/>
  <c r="E135" i="11"/>
  <c r="E134" i="11"/>
  <c r="E131" i="11"/>
  <c r="E127" i="11"/>
  <c r="E123" i="11"/>
  <c r="E119" i="11"/>
  <c r="E118" i="11"/>
  <c r="E115" i="11"/>
  <c r="E111" i="11"/>
  <c r="E107" i="11"/>
  <c r="E103" i="11"/>
  <c r="E102" i="11"/>
  <c r="E99" i="11"/>
  <c r="E95" i="11"/>
  <c r="E91" i="11"/>
  <c r="E87" i="11"/>
  <c r="E86" i="11"/>
  <c r="E84" i="11"/>
  <c r="E83" i="11"/>
  <c r="E79" i="11"/>
  <c r="E75" i="11"/>
  <c r="E71" i="11"/>
  <c r="E70" i="11"/>
  <c r="E67" i="11"/>
  <c r="E27" i="11"/>
  <c r="E23" i="11"/>
  <c r="E19" i="11"/>
  <c r="E18" i="11"/>
  <c r="E15" i="11"/>
  <c r="E11" i="11"/>
  <c r="E7" i="11"/>
  <c r="E3" i="11"/>
  <c r="E2" i="11"/>
  <c r="E60" i="11"/>
  <c r="E57" i="11"/>
  <c r="E53" i="11"/>
  <c r="E49" i="11"/>
  <c r="E48" i="11"/>
  <c r="AA148" i="11"/>
  <c r="S148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AA149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AA150" i="11"/>
  <c r="S150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AA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AA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AA153" i="11"/>
  <c r="S153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AA154" i="11"/>
  <c r="S154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AA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AA156" i="11"/>
  <c r="S156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AA142" i="11"/>
  <c r="S142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F142" i="11"/>
  <c r="AA143" i="11"/>
  <c r="S143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AA144" i="11"/>
  <c r="S144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AA145" i="11"/>
  <c r="S145" i="11"/>
  <c r="R145" i="11"/>
  <c r="Q145" i="11"/>
  <c r="P145" i="11"/>
  <c r="O145" i="11"/>
  <c r="N145" i="11"/>
  <c r="M145" i="11"/>
  <c r="L145" i="11"/>
  <c r="K145" i="11"/>
  <c r="J145" i="11"/>
  <c r="I145" i="11"/>
  <c r="H145" i="11"/>
  <c r="G145" i="11"/>
  <c r="F145" i="11"/>
  <c r="AA146" i="11"/>
  <c r="S146" i="11"/>
  <c r="R146" i="11"/>
  <c r="Q146" i="11"/>
  <c r="P146" i="11"/>
  <c r="O146" i="11"/>
  <c r="N146" i="11"/>
  <c r="M146" i="11"/>
  <c r="L146" i="11"/>
  <c r="K146" i="11"/>
  <c r="J146" i="11"/>
  <c r="I146" i="11"/>
  <c r="H146" i="11"/>
  <c r="G146" i="11"/>
  <c r="F146" i="11"/>
  <c r="AA147" i="11"/>
  <c r="S147" i="11"/>
  <c r="R147" i="11"/>
  <c r="Q147" i="11"/>
  <c r="P147" i="11"/>
  <c r="O147" i="11"/>
  <c r="N147" i="11"/>
  <c r="M147" i="11"/>
  <c r="L147" i="11"/>
  <c r="K147" i="11"/>
  <c r="J147" i="11"/>
  <c r="I147" i="11"/>
  <c r="H147" i="11"/>
  <c r="G147" i="11"/>
  <c r="F147" i="11"/>
  <c r="AA132" i="11"/>
  <c r="S132" i="11"/>
  <c r="R132" i="11"/>
  <c r="Q132" i="11"/>
  <c r="P132" i="11"/>
  <c r="O132" i="11"/>
  <c r="N132" i="11"/>
  <c r="M132" i="11"/>
  <c r="L132" i="11"/>
  <c r="K132" i="11"/>
  <c r="J132" i="11"/>
  <c r="I132" i="11"/>
  <c r="H132" i="11"/>
  <c r="G132" i="11"/>
  <c r="F132" i="11"/>
  <c r="AA116" i="11"/>
  <c r="S116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AA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AA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AA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AA122" i="11"/>
  <c r="S122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AA123" i="11"/>
  <c r="S123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AA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AA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AA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AA128" i="11"/>
  <c r="S128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AA129" i="11"/>
  <c r="S129" i="11"/>
  <c r="R129" i="11"/>
  <c r="Q129" i="11"/>
  <c r="P129" i="11"/>
  <c r="O129" i="11"/>
  <c r="N129" i="11"/>
  <c r="M129" i="11"/>
  <c r="L129" i="11"/>
  <c r="K129" i="11"/>
  <c r="J129" i="11"/>
  <c r="I129" i="11"/>
  <c r="H129" i="11"/>
  <c r="G129" i="11"/>
  <c r="F129" i="11"/>
  <c r="AA130" i="11"/>
  <c r="S130" i="11"/>
  <c r="R130" i="11"/>
  <c r="Q130" i="11"/>
  <c r="P130" i="11"/>
  <c r="O130" i="11"/>
  <c r="N130" i="11"/>
  <c r="M130" i="11"/>
  <c r="L130" i="11"/>
  <c r="K130" i="11"/>
  <c r="J130" i="11"/>
  <c r="I130" i="11"/>
  <c r="H130" i="11"/>
  <c r="G130" i="11"/>
  <c r="F130" i="11"/>
  <c r="AA131" i="11"/>
  <c r="S131" i="11"/>
  <c r="R131" i="11"/>
  <c r="Q131" i="11"/>
  <c r="P131" i="11"/>
  <c r="O131" i="11"/>
  <c r="N131" i="11"/>
  <c r="M131" i="11"/>
  <c r="L131" i="11"/>
  <c r="K131" i="11"/>
  <c r="J131" i="11"/>
  <c r="I131" i="11"/>
  <c r="H131" i="11"/>
  <c r="G131" i="11"/>
  <c r="F131" i="11"/>
  <c r="AA133" i="11"/>
  <c r="S133" i="11"/>
  <c r="R133" i="11"/>
  <c r="Q133" i="11"/>
  <c r="P133" i="11"/>
  <c r="O133" i="11"/>
  <c r="N133" i="11"/>
  <c r="M133" i="11"/>
  <c r="L133" i="11"/>
  <c r="K133" i="11"/>
  <c r="J133" i="11"/>
  <c r="I133" i="11"/>
  <c r="H133" i="11"/>
  <c r="G133" i="11"/>
  <c r="F133" i="11"/>
  <c r="AA134" i="11"/>
  <c r="S134" i="11"/>
  <c r="R134" i="11"/>
  <c r="Q134" i="11"/>
  <c r="P134" i="11"/>
  <c r="O134" i="11"/>
  <c r="N134" i="11"/>
  <c r="M134" i="11"/>
  <c r="L134" i="11"/>
  <c r="K134" i="11"/>
  <c r="J134" i="11"/>
  <c r="I134" i="11"/>
  <c r="H134" i="11"/>
  <c r="G134" i="11"/>
  <c r="F134" i="11"/>
  <c r="AA136" i="11"/>
  <c r="S136" i="11"/>
  <c r="R136" i="11"/>
  <c r="Q136" i="11"/>
  <c r="P136" i="11"/>
  <c r="O136" i="11"/>
  <c r="N136" i="11"/>
  <c r="M136" i="11"/>
  <c r="L136" i="11"/>
  <c r="K136" i="11"/>
  <c r="J136" i="11"/>
  <c r="I136" i="11"/>
  <c r="H136" i="11"/>
  <c r="G136" i="11"/>
  <c r="F136" i="11"/>
  <c r="AA137" i="11"/>
  <c r="S137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AA138" i="11"/>
  <c r="S138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AA139" i="11"/>
  <c r="S139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AA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AA141" i="11"/>
  <c r="S141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AA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AA111" i="11"/>
  <c r="S111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AA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AA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AA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AA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AA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AA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AA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AA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AA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AA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AA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AA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AA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AA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AA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AA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AA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AA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AA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AA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AA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AA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AA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AA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AA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AA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AA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AA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AA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AA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AA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AA135" i="11"/>
  <c r="S135" i="11"/>
  <c r="R135" i="11"/>
  <c r="Q135" i="11"/>
  <c r="P135" i="11"/>
  <c r="O135" i="11"/>
  <c r="N135" i="11"/>
  <c r="M135" i="11"/>
  <c r="L135" i="11"/>
  <c r="K135" i="11"/>
  <c r="J135" i="11"/>
  <c r="I135" i="11"/>
  <c r="H135" i="11"/>
  <c r="G135" i="11"/>
  <c r="F135" i="11"/>
  <c r="AA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AA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AA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AA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AA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AA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AA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AA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AA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AA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A69" i="11"/>
  <c r="AA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A70" i="11"/>
  <c r="AA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A71" i="11"/>
  <c r="AA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A72" i="11"/>
  <c r="AA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A74" i="11"/>
  <c r="AA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A75" i="11"/>
  <c r="AA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A77" i="11"/>
  <c r="AA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A80" i="11"/>
  <c r="AA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A81" i="11"/>
  <c r="AA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AA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AA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AA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AA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AA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AA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AA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AA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AA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AA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AA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AA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AA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AA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AA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AA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AA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AA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AA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AA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AA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AA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AA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AA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AA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AA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AA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AA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AA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AA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AA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AA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AA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AA2" i="11"/>
  <c r="AA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AA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AA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AA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AA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AA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AA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AA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AA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AA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AA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AA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AA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AA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AA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AA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AA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AA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AA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AA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AA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AA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AA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AA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AA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AA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AA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AA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AA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A30" i="11"/>
  <c r="AA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AA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A32" i="11"/>
  <c r="AB30" i="11" l="1"/>
  <c r="AB26" i="11"/>
  <c r="AB22" i="11"/>
  <c r="AB18" i="11"/>
  <c r="AB14" i="11"/>
  <c r="AB10" i="11"/>
  <c r="AB124" i="11"/>
  <c r="AB3" i="11"/>
  <c r="AB44" i="11"/>
  <c r="AB40" i="11"/>
  <c r="AB36" i="11"/>
  <c r="AB66" i="11"/>
  <c r="AB62" i="11"/>
  <c r="AB58" i="11"/>
  <c r="AB54" i="11"/>
  <c r="AB50" i="11"/>
  <c r="AB73" i="11"/>
  <c r="AB83" i="11"/>
  <c r="AB135" i="11"/>
  <c r="AB112" i="11"/>
  <c r="AB106" i="11"/>
  <c r="AB102" i="11"/>
  <c r="AB98" i="11"/>
  <c r="AB94" i="11"/>
  <c r="AB90" i="11"/>
  <c r="AB86" i="11"/>
  <c r="AB111" i="11"/>
  <c r="AB139" i="11"/>
  <c r="AB134" i="11"/>
  <c r="AB129" i="11"/>
  <c r="AB125" i="11"/>
  <c r="AB119" i="11"/>
  <c r="AB147" i="11"/>
  <c r="AB143" i="11"/>
  <c r="AB154" i="11"/>
  <c r="AB150" i="11"/>
  <c r="AB31" i="11"/>
  <c r="AB27" i="11"/>
  <c r="AB23" i="11"/>
  <c r="AB19" i="11"/>
  <c r="AB15" i="11"/>
  <c r="AB11" i="11"/>
  <c r="AB7" i="11"/>
  <c r="AB4" i="11"/>
  <c r="AB45" i="11"/>
  <c r="AB41" i="11"/>
  <c r="AB37" i="11"/>
  <c r="AB33" i="11"/>
  <c r="AB63" i="11"/>
  <c r="AB59" i="11"/>
  <c r="AB55" i="11"/>
  <c r="AB51" i="11"/>
  <c r="AB47" i="11"/>
  <c r="AB75" i="11"/>
  <c r="AB70" i="11"/>
  <c r="AB76" i="11"/>
  <c r="AB84" i="11"/>
  <c r="AB78" i="11"/>
  <c r="AB115" i="11"/>
  <c r="AB107" i="11"/>
  <c r="AB103" i="11"/>
  <c r="AB99" i="11"/>
  <c r="AB95" i="11"/>
  <c r="AB91" i="11"/>
  <c r="AB87" i="11"/>
  <c r="AB113" i="11"/>
  <c r="AB140" i="11"/>
  <c r="AB136" i="11"/>
  <c r="AB130" i="11"/>
  <c r="AB126" i="11"/>
  <c r="AB121" i="11"/>
  <c r="AB132" i="11"/>
  <c r="AB144" i="11"/>
  <c r="AB155" i="11"/>
  <c r="AB151" i="11"/>
  <c r="AB28" i="11"/>
  <c r="AB24" i="11"/>
  <c r="AB20" i="11"/>
  <c r="AB16" i="11"/>
  <c r="AB12" i="11"/>
  <c r="AB8" i="11"/>
  <c r="AB5" i="11"/>
  <c r="AB46" i="11"/>
  <c r="AB42" i="11"/>
  <c r="AB38" i="11"/>
  <c r="AB34" i="11"/>
  <c r="AB64" i="11"/>
  <c r="AB61" i="11"/>
  <c r="AB56" i="11"/>
  <c r="AB52" i="11"/>
  <c r="AB48" i="11"/>
  <c r="AB81" i="11"/>
  <c r="AB77" i="11"/>
  <c r="AB74" i="11"/>
  <c r="AB72" i="11"/>
  <c r="AB71" i="11"/>
  <c r="AB69" i="11"/>
  <c r="AB67" i="11"/>
  <c r="AB79" i="11"/>
  <c r="AB118" i="11"/>
  <c r="AB109" i="11"/>
  <c r="AB104" i="11"/>
  <c r="AB100" i="11"/>
  <c r="AB96" i="11"/>
  <c r="AB92" i="11"/>
  <c r="AB88" i="11"/>
  <c r="AB114" i="11"/>
  <c r="AB141" i="11"/>
  <c r="AB137" i="11"/>
  <c r="AB131" i="11"/>
  <c r="AB127" i="11"/>
  <c r="AB122" i="11"/>
  <c r="AB116" i="11"/>
  <c r="AB145" i="11"/>
  <c r="AB156" i="11"/>
  <c r="AB152" i="11"/>
  <c r="AB148" i="11"/>
  <c r="AB29" i="11"/>
  <c r="AB25" i="11"/>
  <c r="AB21" i="11"/>
  <c r="AB17" i="11"/>
  <c r="AB13" i="11"/>
  <c r="AB9" i="11"/>
  <c r="AB6" i="11"/>
  <c r="AB43" i="11"/>
  <c r="AB39" i="11"/>
  <c r="AB35" i="11"/>
  <c r="AB65" i="11"/>
  <c r="AB60" i="11"/>
  <c r="AB57" i="11"/>
  <c r="AB53" i="11"/>
  <c r="AB49" i="11"/>
  <c r="AB80" i="11"/>
  <c r="AB68" i="11"/>
  <c r="AB82" i="11"/>
  <c r="AB120" i="11"/>
  <c r="AB110" i="11"/>
  <c r="AB105" i="11"/>
  <c r="AB101" i="11"/>
  <c r="AB97" i="11"/>
  <c r="AB93" i="11"/>
  <c r="AB89" i="11"/>
  <c r="AB85" i="11"/>
  <c r="AB108" i="11"/>
  <c r="AB138" i="11"/>
  <c r="AB133" i="11"/>
  <c r="AB128" i="11"/>
  <c r="AB123" i="11"/>
  <c r="AB117" i="11"/>
  <c r="AB146" i="11"/>
  <c r="AB142" i="11"/>
  <c r="AB153" i="11"/>
  <c r="AB149" i="11"/>
  <c r="AB32" i="11"/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C18" i="10"/>
  <c r="Y18" i="10" s="1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C58" i="10"/>
  <c r="Y58" i="10" s="1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C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C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C135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C136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C137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C138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C139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C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C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C142" i="10"/>
  <c r="Y142" i="10" s="1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Y98" i="10"/>
  <c r="Q2" i="10"/>
  <c r="R2" i="10"/>
  <c r="S2" i="10"/>
  <c r="Y122" i="10" l="1"/>
  <c r="Y78" i="10"/>
  <c r="Y26" i="10"/>
  <c r="Y154" i="10"/>
  <c r="Y146" i="10"/>
  <c r="Y138" i="10"/>
  <c r="Y134" i="10"/>
  <c r="Y130" i="10"/>
  <c r="Y126" i="10"/>
  <c r="Y114" i="10"/>
  <c r="Y110" i="10"/>
  <c r="Y106" i="10"/>
  <c r="Y97" i="10"/>
  <c r="Y94" i="10"/>
  <c r="Y90" i="10"/>
  <c r="Y86" i="10"/>
  <c r="Y82" i="10"/>
  <c r="Y74" i="10"/>
  <c r="Y66" i="10"/>
  <c r="Y62" i="10"/>
  <c r="Y54" i="10"/>
  <c r="Y50" i="10"/>
  <c r="Y49" i="10"/>
  <c r="Y45" i="10"/>
  <c r="Y42" i="10"/>
  <c r="Y34" i="10"/>
  <c r="Y10" i="10"/>
  <c r="Y118" i="10"/>
  <c r="Y105" i="10"/>
  <c r="Y81" i="10"/>
  <c r="Y53" i="10"/>
  <c r="Y38" i="10"/>
  <c r="Y150" i="10"/>
  <c r="Y149" i="10"/>
  <c r="Y145" i="10"/>
  <c r="Y141" i="10"/>
  <c r="Y137" i="10"/>
  <c r="Y121" i="10"/>
  <c r="Y117" i="10"/>
  <c r="Y113" i="10"/>
  <c r="Y109" i="10"/>
  <c r="Y102" i="10"/>
  <c r="Y93" i="10"/>
  <c r="Y85" i="10"/>
  <c r="Y61" i="10"/>
  <c r="Y57" i="10"/>
  <c r="Y46" i="10"/>
  <c r="Y41" i="10"/>
  <c r="Y37" i="10"/>
  <c r="Y153" i="10"/>
  <c r="Y133" i="10"/>
  <c r="Y129" i="10"/>
  <c r="Y125" i="10"/>
  <c r="Y101" i="10"/>
  <c r="Y89" i="10"/>
  <c r="Y77" i="10"/>
  <c r="Y73" i="10"/>
  <c r="Y70" i="10"/>
  <c r="Y69" i="10"/>
  <c r="Y65" i="10"/>
  <c r="Y33" i="10"/>
  <c r="Y30" i="10"/>
  <c r="Y29" i="10"/>
  <c r="Y25" i="10"/>
  <c r="Y22" i="10"/>
  <c r="Y21" i="10"/>
  <c r="Y17" i="10"/>
  <c r="Y14" i="10"/>
  <c r="Y13" i="10"/>
  <c r="Y9" i="10"/>
  <c r="Y6" i="10"/>
  <c r="Y5" i="10"/>
  <c r="Y156" i="10"/>
  <c r="Y155" i="10"/>
  <c r="Y152" i="10"/>
  <c r="Y151" i="10"/>
  <c r="Y148" i="10"/>
  <c r="Y147" i="10"/>
  <c r="Y144" i="10"/>
  <c r="Y143" i="10"/>
  <c r="Y140" i="10"/>
  <c r="Y139" i="10"/>
  <c r="Y136" i="10"/>
  <c r="Y135" i="10"/>
  <c r="Y132" i="10"/>
  <c r="Y131" i="10"/>
  <c r="Y128" i="10"/>
  <c r="Y127" i="10"/>
  <c r="Y124" i="10"/>
  <c r="Y123" i="10"/>
  <c r="Y120" i="10"/>
  <c r="Y119" i="10"/>
  <c r="Y116" i="10"/>
  <c r="Y115" i="10"/>
  <c r="Y112" i="10"/>
  <c r="Y111" i="10"/>
  <c r="Y108" i="10"/>
  <c r="Y107" i="10"/>
  <c r="Y104" i="10"/>
  <c r="Y103" i="10"/>
  <c r="Y100" i="10"/>
  <c r="Y99" i="10"/>
  <c r="Y96" i="10"/>
  <c r="Y95" i="10"/>
  <c r="Y92" i="10"/>
  <c r="Y91" i="10"/>
  <c r="Y88" i="10"/>
  <c r="Y87" i="10"/>
  <c r="Y84" i="10"/>
  <c r="Y83" i="10"/>
  <c r="Y80" i="10"/>
  <c r="Y79" i="10"/>
  <c r="Y76" i="10"/>
  <c r="Y75" i="10"/>
  <c r="Y72" i="10"/>
  <c r="Y71" i="10"/>
  <c r="Y68" i="10"/>
  <c r="Y67" i="10"/>
  <c r="Y64" i="10"/>
  <c r="Y63" i="10"/>
  <c r="Y60" i="10"/>
  <c r="Y59" i="10"/>
  <c r="Y56" i="10"/>
  <c r="Y55" i="10"/>
  <c r="Y52" i="10"/>
  <c r="Y51" i="10"/>
  <c r="Y48" i="10"/>
  <c r="Y47" i="10"/>
  <c r="Y44" i="10"/>
  <c r="Y43" i="10"/>
  <c r="Y40" i="10"/>
  <c r="Y39" i="10"/>
  <c r="Y36" i="10"/>
  <c r="Y35" i="10"/>
  <c r="Y32" i="10"/>
  <c r="Y31" i="10"/>
  <c r="Y28" i="10"/>
  <c r="Y27" i="10"/>
  <c r="Y24" i="10"/>
  <c r="Y23" i="10"/>
  <c r="Y20" i="10"/>
  <c r="Y19" i="10"/>
  <c r="Y16" i="10"/>
  <c r="Y15" i="10"/>
  <c r="Y12" i="10"/>
  <c r="Y11" i="10"/>
  <c r="Y8" i="10"/>
  <c r="Y7" i="10"/>
  <c r="Y4" i="10"/>
  <c r="Y3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X99" i="10"/>
  <c r="X98" i="10"/>
  <c r="X97" i="10"/>
  <c r="X96" i="10"/>
  <c r="X95" i="10"/>
  <c r="X94" i="10"/>
  <c r="X93" i="10"/>
  <c r="X92" i="10"/>
  <c r="X91" i="10"/>
  <c r="X90" i="10"/>
  <c r="X89" i="10"/>
  <c r="X88" i="10"/>
  <c r="X87" i="10"/>
  <c r="X86" i="10"/>
  <c r="X85" i="10"/>
  <c r="X84" i="10"/>
  <c r="X83" i="10"/>
  <c r="X82" i="10"/>
  <c r="X81" i="10"/>
  <c r="X80" i="10"/>
  <c r="X79" i="10"/>
  <c r="X78" i="10"/>
  <c r="X77" i="10"/>
  <c r="X76" i="10"/>
  <c r="A76" i="10"/>
  <c r="X75" i="10"/>
  <c r="A75" i="10"/>
  <c r="X74" i="10"/>
  <c r="A74" i="10"/>
  <c r="X73" i="10"/>
  <c r="A73" i="10"/>
  <c r="X72" i="10"/>
  <c r="A72" i="10"/>
  <c r="X71" i="10"/>
  <c r="A71" i="10"/>
  <c r="X70" i="10"/>
  <c r="A70" i="10"/>
  <c r="X69" i="10"/>
  <c r="A69" i="10"/>
  <c r="X68" i="10"/>
  <c r="A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X53" i="10"/>
  <c r="X52" i="10"/>
  <c r="X51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A4" i="10"/>
  <c r="X3" i="10"/>
  <c r="X2" i="10"/>
  <c r="A2" i="10"/>
  <c r="X156" i="8" l="1"/>
  <c r="X154" i="8"/>
  <c r="X155" i="8"/>
  <c r="X151" i="8"/>
  <c r="X152" i="8"/>
  <c r="X153" i="8"/>
  <c r="X150" i="8"/>
  <c r="X149" i="8"/>
  <c r="X148" i="8"/>
  <c r="X144" i="8"/>
  <c r="X145" i="8"/>
  <c r="X146" i="8"/>
  <c r="X147" i="8"/>
  <c r="X143" i="8"/>
  <c r="X142" i="8"/>
  <c r="X141" i="8"/>
  <c r="X139" i="8"/>
  <c r="X140" i="8"/>
  <c r="X138" i="8"/>
  <c r="X135" i="8"/>
  <c r="X136" i="8"/>
  <c r="X137" i="8"/>
  <c r="X128" i="8"/>
  <c r="X129" i="8"/>
  <c r="X130" i="8"/>
  <c r="X131" i="8"/>
  <c r="X132" i="8"/>
  <c r="X133" i="8"/>
  <c r="X134" i="8"/>
  <c r="X126" i="8"/>
  <c r="X127" i="8"/>
  <c r="X121" i="8"/>
  <c r="X122" i="8"/>
  <c r="X123" i="8"/>
  <c r="X124" i="8"/>
  <c r="X125" i="8"/>
  <c r="X120" i="8"/>
  <c r="X119" i="8"/>
  <c r="X118" i="8"/>
  <c r="X117" i="8"/>
  <c r="X116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91" i="8"/>
  <c r="X92" i="8"/>
  <c r="X90" i="8"/>
  <c r="X89" i="8"/>
  <c r="X88" i="8"/>
  <c r="X87" i="8"/>
  <c r="X86" i="8"/>
  <c r="X85" i="8"/>
  <c r="X84" i="8"/>
  <c r="X82" i="8"/>
  <c r="X83" i="8"/>
  <c r="X81" i="8"/>
  <c r="A7" i="5"/>
  <c r="X79" i="8"/>
  <c r="X80" i="8"/>
  <c r="X78" i="8"/>
  <c r="X77" i="8"/>
  <c r="A76" i="8"/>
  <c r="A75" i="8"/>
  <c r="A74" i="8"/>
  <c r="A73" i="8"/>
  <c r="A72" i="8"/>
  <c r="A71" i="8"/>
  <c r="A70" i="8"/>
  <c r="A69" i="8"/>
  <c r="X73" i="8"/>
  <c r="X74" i="8"/>
  <c r="X75" i="8"/>
  <c r="X76" i="8"/>
  <c r="X71" i="8"/>
  <c r="X72" i="8"/>
  <c r="X70" i="8"/>
  <c r="X69" i="8"/>
  <c r="X68" i="8"/>
  <c r="A68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48" i="8"/>
  <c r="X49" i="8"/>
  <c r="X50" i="8"/>
  <c r="X46" i="8"/>
  <c r="X47" i="8"/>
  <c r="X45" i="8"/>
  <c r="X44" i="8"/>
  <c r="X43" i="8"/>
  <c r="X41" i="8"/>
  <c r="X42" i="8"/>
  <c r="X38" i="8"/>
  <c r="X39" i="8"/>
  <c r="X40" i="8"/>
  <c r="X36" i="8"/>
  <c r="X37" i="8"/>
  <c r="X35" i="8"/>
  <c r="X34" i="8"/>
  <c r="X29" i="8"/>
  <c r="X30" i="8"/>
  <c r="X31" i="8"/>
  <c r="X32" i="8"/>
  <c r="X33" i="8"/>
  <c r="X28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" i="8"/>
  <c r="A4" i="8"/>
  <c r="P2" i="8" l="1"/>
  <c r="O2" i="8"/>
  <c r="N2" i="8"/>
  <c r="M2" i="8"/>
  <c r="L2" i="8"/>
  <c r="K2" i="8"/>
  <c r="J2" i="8"/>
  <c r="I2" i="8"/>
  <c r="H2" i="8"/>
  <c r="G2" i="8"/>
  <c r="F2" i="8"/>
  <c r="E2" i="8"/>
  <c r="D2" i="8"/>
  <c r="C2" i="8"/>
  <c r="A2" i="8"/>
  <c r="D2" i="10" l="1"/>
  <c r="G2" i="11"/>
  <c r="H2" i="10"/>
  <c r="K2" i="11"/>
  <c r="L2" i="10"/>
  <c r="O2" i="11"/>
  <c r="E2" i="10"/>
  <c r="H2" i="11"/>
  <c r="I2" i="10"/>
  <c r="L2" i="11"/>
  <c r="M2" i="10"/>
  <c r="P2" i="11"/>
  <c r="N2" i="10"/>
  <c r="Q2" i="11"/>
  <c r="F2" i="10"/>
  <c r="I2" i="11"/>
  <c r="J2" i="10"/>
  <c r="M2" i="11"/>
  <c r="C2" i="10"/>
  <c r="Y2" i="10" s="1"/>
  <c r="F2" i="11"/>
  <c r="G2" i="10"/>
  <c r="J2" i="11"/>
  <c r="K2" i="10"/>
  <c r="N2" i="11"/>
  <c r="O2" i="10"/>
  <c r="R2" i="11"/>
  <c r="P2" i="10"/>
  <c r="S2" i="11"/>
  <c r="T2" i="8"/>
  <c r="AB2" i="11" l="1"/>
  <c r="T17" i="6"/>
  <c r="T16" i="6"/>
  <c r="T15" i="6"/>
  <c r="T14" i="6"/>
  <c r="T13" i="6"/>
  <c r="A13" i="6"/>
  <c r="S12" i="6"/>
  <c r="T12" i="6"/>
  <c r="A12" i="6"/>
  <c r="S11" i="6"/>
  <c r="T11" i="6"/>
  <c r="A11" i="6"/>
  <c r="T10" i="6"/>
  <c r="A10" i="6"/>
  <c r="S9" i="6"/>
  <c r="T9" i="6"/>
  <c r="A9" i="6"/>
  <c r="S8" i="6"/>
  <c r="T8" i="6"/>
  <c r="A8" i="6"/>
  <c r="S7" i="6"/>
  <c r="T7" i="6"/>
  <c r="A7" i="6"/>
  <c r="S6" i="6"/>
  <c r="T6" i="6"/>
  <c r="A6" i="6"/>
  <c r="S5" i="6"/>
  <c r="T5" i="6"/>
  <c r="A5" i="6"/>
  <c r="T4" i="6"/>
  <c r="A4" i="6"/>
  <c r="T3" i="6"/>
  <c r="A3" i="6"/>
  <c r="T2" i="6"/>
  <c r="A2" i="6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S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S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11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10" i="5"/>
  <c r="S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9" i="5"/>
  <c r="S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8" i="5"/>
  <c r="S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S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6" i="5"/>
  <c r="S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5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4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3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2" i="5"/>
  <c r="S16" i="2"/>
  <c r="S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S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T8" i="5" l="1"/>
  <c r="T7" i="5"/>
  <c r="T15" i="5"/>
  <c r="T3" i="5"/>
  <c r="T6" i="5"/>
  <c r="T10" i="5"/>
  <c r="T14" i="5"/>
  <c r="T4" i="5"/>
  <c r="T11" i="5"/>
  <c r="T16" i="5"/>
  <c r="T2" i="5"/>
  <c r="T5" i="5"/>
  <c r="T9" i="5"/>
  <c r="T12" i="5"/>
  <c r="T13" i="5"/>
  <c r="T17" i="5"/>
  <c r="O14" i="2"/>
  <c r="N14" i="2"/>
  <c r="M14" i="2"/>
  <c r="L14" i="2"/>
  <c r="K14" i="2"/>
  <c r="J14" i="2"/>
  <c r="I14" i="2"/>
  <c r="H14" i="2"/>
  <c r="G14" i="2"/>
  <c r="F14" i="2"/>
  <c r="E14" i="2"/>
  <c r="D14" i="2"/>
  <c r="S14" i="2" s="1"/>
  <c r="C14" i="2"/>
  <c r="B14" i="2"/>
  <c r="S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S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R12" i="2"/>
  <c r="A12" i="2"/>
  <c r="S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R11" i="2"/>
  <c r="A11" i="2"/>
  <c r="S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S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R9" i="2"/>
  <c r="A9" i="2"/>
  <c r="S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R8" i="2"/>
  <c r="A8" i="2"/>
  <c r="S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R7" i="2"/>
  <c r="A7" i="2"/>
  <c r="S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R6" i="2"/>
  <c r="A6" i="2"/>
  <c r="S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4" i="2"/>
  <c r="R5" i="2"/>
  <c r="A5" i="2"/>
  <c r="S3" i="2"/>
  <c r="S4" i="2"/>
  <c r="S2" i="2"/>
  <c r="C4" i="2"/>
  <c r="B2" i="2"/>
  <c r="O4" i="2"/>
  <c r="N4" i="2"/>
  <c r="M4" i="2"/>
  <c r="L4" i="2"/>
  <c r="K4" i="2"/>
  <c r="J4" i="2"/>
  <c r="I4" i="2"/>
  <c r="H4" i="2"/>
  <c r="G4" i="2"/>
  <c r="F4" i="2"/>
  <c r="E4" i="2"/>
  <c r="D4" i="2"/>
  <c r="A4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2" i="2"/>
  <c r="O2" i="2"/>
  <c r="N2" i="2"/>
  <c r="M2" i="2"/>
  <c r="L2" i="2"/>
  <c r="K2" i="2"/>
  <c r="J2" i="2"/>
  <c r="I2" i="2"/>
  <c r="H2" i="2"/>
  <c r="G2" i="2"/>
  <c r="F2" i="2"/>
  <c r="E2" i="2"/>
  <c r="D2" i="2"/>
  <c r="C2" i="2"/>
  <c r="N53" i="1" l="1"/>
  <c r="K53" i="1"/>
  <c r="N52" i="1"/>
  <c r="V39" i="1" s="1"/>
  <c r="K52" i="1"/>
  <c r="S39" i="1" s="1"/>
  <c r="N50" i="1"/>
  <c r="K50" i="1"/>
  <c r="N49" i="1"/>
  <c r="V38" i="1" s="1"/>
  <c r="K49" i="1"/>
  <c r="N47" i="1"/>
  <c r="K47" i="1"/>
  <c r="N46" i="1"/>
  <c r="V37" i="1" s="1"/>
  <c r="K46" i="1"/>
  <c r="S37" i="1" s="1"/>
  <c r="N44" i="1"/>
  <c r="K44" i="1"/>
  <c r="N43" i="1"/>
  <c r="V36" i="1" s="1"/>
  <c r="K43" i="1"/>
  <c r="S36" i="1" s="1"/>
  <c r="N41" i="1"/>
  <c r="K41" i="1"/>
  <c r="N40" i="1"/>
  <c r="V35" i="1" s="1"/>
  <c r="K40" i="1"/>
  <c r="S35" i="1" s="1"/>
  <c r="W39" i="1"/>
  <c r="U39" i="1"/>
  <c r="T39" i="1"/>
  <c r="R39" i="1"/>
  <c r="W38" i="1"/>
  <c r="U38" i="1"/>
  <c r="T38" i="1"/>
  <c r="S38" i="1"/>
  <c r="R38" i="1"/>
  <c r="N38" i="1"/>
  <c r="K38" i="1"/>
  <c r="W37" i="1"/>
  <c r="U37" i="1"/>
  <c r="T37" i="1"/>
  <c r="R37" i="1"/>
  <c r="N37" i="1"/>
  <c r="K37" i="1"/>
  <c r="W36" i="1"/>
  <c r="U36" i="1"/>
  <c r="T36" i="1"/>
  <c r="R36" i="1"/>
  <c r="W35" i="1"/>
  <c r="U35" i="1"/>
  <c r="T35" i="1"/>
  <c r="R35" i="1"/>
  <c r="N35" i="1"/>
  <c r="K35" i="1"/>
  <c r="W34" i="1"/>
  <c r="V34" i="1"/>
  <c r="U34" i="1"/>
  <c r="T34" i="1"/>
  <c r="R34" i="1"/>
  <c r="N34" i="1"/>
  <c r="K34" i="1"/>
  <c r="S33" i="1" s="1"/>
  <c r="W33" i="1"/>
  <c r="U33" i="1"/>
  <c r="T33" i="1"/>
  <c r="R33" i="1"/>
  <c r="W32" i="1"/>
  <c r="U32" i="1"/>
  <c r="T32" i="1"/>
  <c r="R32" i="1"/>
  <c r="N32" i="1"/>
  <c r="K32" i="1"/>
  <c r="W31" i="1"/>
  <c r="U31" i="1"/>
  <c r="T31" i="1"/>
  <c r="R31" i="1"/>
  <c r="N31" i="1"/>
  <c r="V32" i="1" s="1"/>
  <c r="K31" i="1"/>
  <c r="S32" i="1" s="1"/>
  <c r="W30" i="1"/>
  <c r="U30" i="1"/>
  <c r="T30" i="1"/>
  <c r="R30" i="1"/>
  <c r="W29" i="1"/>
  <c r="U29" i="1"/>
  <c r="T29" i="1"/>
  <c r="R29" i="1"/>
  <c r="N29" i="1"/>
  <c r="K29" i="1"/>
  <c r="N28" i="1"/>
  <c r="K28" i="1"/>
  <c r="S31" i="1" s="1"/>
  <c r="N26" i="1"/>
  <c r="K26" i="1"/>
  <c r="N25" i="1"/>
  <c r="K25" i="1"/>
  <c r="S30" i="1" s="1"/>
  <c r="N23" i="1"/>
  <c r="K23" i="1"/>
  <c r="N22" i="1"/>
  <c r="K22" i="1"/>
  <c r="S29" i="1" s="1"/>
  <c r="V33" i="1" l="1"/>
  <c r="S34" i="1"/>
  <c r="V29" i="1"/>
  <c r="V30" i="1"/>
  <c r="V31" i="1"/>
</calcChain>
</file>

<file path=xl/sharedStrings.xml><?xml version="1.0" encoding="utf-8"?>
<sst xmlns="http://schemas.openxmlformats.org/spreadsheetml/2006/main" count="2323" uniqueCount="388">
  <si>
    <t>1000X88 Blend Data</t>
  </si>
  <si>
    <t>Lot Number</t>
  </si>
  <si>
    <t>Charges</t>
  </si>
  <si>
    <t>Final Conversion</t>
  </si>
  <si>
    <t>Mooney</t>
  </si>
  <si>
    <t>1D6D527</t>
  </si>
  <si>
    <t>Good</t>
  </si>
  <si>
    <t>COA</t>
  </si>
  <si>
    <t>Unmassed</t>
  </si>
  <si>
    <t>Time to</t>
  </si>
  <si>
    <t>COA Mooney</t>
  </si>
  <si>
    <t>Lot</t>
  </si>
  <si>
    <t>Cement</t>
  </si>
  <si>
    <t>80% Decay</t>
  </si>
  <si>
    <t>Slope</t>
  </si>
  <si>
    <t>0-1% Shrinkage</t>
  </si>
  <si>
    <t>1D6D528</t>
  </si>
  <si>
    <t>1D08J82</t>
  </si>
  <si>
    <t>1D09L01</t>
  </si>
  <si>
    <t>1D10L58</t>
  </si>
  <si>
    <t>Missing</t>
  </si>
  <si>
    <t>1D11J22</t>
  </si>
  <si>
    <t>72/74</t>
  </si>
  <si>
    <t>1D12F32</t>
  </si>
  <si>
    <t>1D12F33</t>
  </si>
  <si>
    <t>1D12F34</t>
  </si>
  <si>
    <t>1D14A22</t>
  </si>
  <si>
    <t>1D15L11/13</t>
  </si>
  <si>
    <t>1D15L12</t>
  </si>
  <si>
    <t>1D15L14</t>
  </si>
  <si>
    <t>Conversion</t>
  </si>
  <si>
    <t>Avg</t>
  </si>
  <si>
    <t>Range</t>
  </si>
  <si>
    <t>Std Dev</t>
  </si>
  <si>
    <t>1D12F32/33</t>
  </si>
  <si>
    <t>Too hard</t>
  </si>
  <si>
    <t>Broad Mooney range seems to process better.</t>
  </si>
  <si>
    <t>Conversion data questionable</t>
  </si>
  <si>
    <t>Shrinkage</t>
  </si>
  <si>
    <t>1D12F32/F33</t>
  </si>
  <si>
    <t>F32 and F33 from same blend tank</t>
  </si>
  <si>
    <t>High Cement Viscosity</t>
  </si>
  <si>
    <t>%</t>
  </si>
  <si>
    <t>1D15L11/1D15L13</t>
  </si>
  <si>
    <t>-</t>
  </si>
  <si>
    <t>Update, 10/15</t>
  </si>
  <si>
    <t>1D15L11</t>
  </si>
  <si>
    <t>1D15L13</t>
  </si>
  <si>
    <t>Low</t>
  </si>
  <si>
    <t>Medium</t>
  </si>
  <si>
    <t>High</t>
  </si>
  <si>
    <t>20-45</t>
  </si>
  <si>
    <t>15-25%</t>
  </si>
  <si>
    <t>60-90</t>
  </si>
  <si>
    <t>&gt;100</t>
  </si>
  <si>
    <t>&gt;=30%</t>
  </si>
  <si>
    <t>25-40%</t>
  </si>
  <si>
    <t>Charge</t>
  </si>
  <si>
    <t>% Conversion</t>
  </si>
  <si>
    <t>Comments</t>
  </si>
  <si>
    <t>Special medium blend</t>
  </si>
  <si>
    <t>1/2 charge as medium blend</t>
  </si>
  <si>
    <t>Special high blend</t>
  </si>
  <si>
    <t>Special low blend</t>
  </si>
  <si>
    <t>1/3 Special high blend</t>
  </si>
  <si>
    <t>Lot 1D15C12</t>
  </si>
  <si>
    <t>1000X88 Blend Data - Lot 1D17B27</t>
  </si>
  <si>
    <t>Cement Viscosity</t>
  </si>
  <si>
    <t xml:space="preserve">lot 1D17B28 </t>
  </si>
  <si>
    <t xml:space="preserve">Note: lot 1D17B27 and 1D17B28 are most likely from the same lots of the rubber reactors, but just want to confirm the antioxidants work the same. </t>
  </si>
  <si>
    <t>By theroy, this must be the same rubber latex, put different type of antioxidant.</t>
  </si>
  <si>
    <t xml:space="preserve">though sometimes </t>
  </si>
  <si>
    <t>shrinkage</t>
  </si>
  <si>
    <t>good</t>
  </si>
  <si>
    <t>Okay lot</t>
  </si>
  <si>
    <t xml:space="preserve">Lot 1D17B27, 28 can have shrinkage issue. </t>
  </si>
  <si>
    <t xml:space="preserve">It also can have pin hole issue though it might not a big issue as we have 99 mooney also. </t>
  </si>
  <si>
    <t>Holes and shrinkage</t>
  </si>
  <si>
    <t>Lance proposed specs</t>
  </si>
  <si>
    <t xml:space="preserve">Lot </t>
  </si>
  <si>
    <t>0-10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</si>
  <si>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</si>
  <si>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</si>
  <si>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</si>
  <si>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</si>
  <si>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</si>
  <si>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</si>
  <si>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</si>
  <si>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</si>
  <si>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</si>
  <si>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111-120</t>
  </si>
  <si>
    <t>121-130</t>
  </si>
  <si>
    <t>131-140</t>
  </si>
  <si>
    <t>Pinholes</t>
  </si>
  <si>
    <t>11-20</t>
  </si>
  <si>
    <t>Total Charge</t>
  </si>
  <si>
    <t>Color Grade</t>
  </si>
  <si>
    <t>Good though sometimes shrinkage</t>
  </si>
  <si>
    <t>Okay</t>
  </si>
  <si>
    <t>1D19K75</t>
  </si>
  <si>
    <t>CHG NUMBER</t>
  </si>
  <si>
    <t>MILLED ML RESULT</t>
  </si>
  <si>
    <t>BVCN</t>
  </si>
  <si>
    <t>CMT</t>
  </si>
  <si>
    <t>% Conv.</t>
  </si>
  <si>
    <t/>
  </si>
  <si>
    <t>TBD</t>
  </si>
  <si>
    <t>LOT</t>
  </si>
  <si>
    <t>Fraction Used</t>
  </si>
  <si>
    <t>COA ACN</t>
  </si>
  <si>
    <t>COA CV</t>
  </si>
  <si>
    <t>Pounds Received</t>
  </si>
  <si>
    <t>Lots Received</t>
  </si>
  <si>
    <t>Comment</t>
  </si>
  <si>
    <t>Normal production</t>
  </si>
  <si>
    <t>1D15C12</t>
  </si>
  <si>
    <t>Al Propps Spec</t>
  </si>
  <si>
    <t>1D15D14</t>
  </si>
  <si>
    <t>1D17B27</t>
  </si>
  <si>
    <t>NO DATA</t>
  </si>
  <si>
    <t>1D17B28</t>
  </si>
  <si>
    <t>AO-02</t>
  </si>
  <si>
    <t>1D18C34</t>
  </si>
  <si>
    <t>1D18C36</t>
  </si>
  <si>
    <t>Yield [=] %</t>
  </si>
  <si>
    <t>Shrinkage [=] %</t>
  </si>
  <si>
    <t>AF-30 Lot</t>
  </si>
  <si>
    <t>AF-32 Lot</t>
  </si>
  <si>
    <t>Goal:</t>
  </si>
  <si>
    <t xml:space="preserve">8273AS    </t>
  </si>
  <si>
    <t xml:space="preserve">8263AH    </t>
  </si>
  <si>
    <t xml:space="preserve">8224AN    </t>
  </si>
  <si>
    <t xml:space="preserve">8197AT    </t>
  </si>
  <si>
    <t xml:space="preserve">8183AN    </t>
  </si>
  <si>
    <t xml:space="preserve">08138E8   </t>
  </si>
  <si>
    <t xml:space="preserve">08137E8   </t>
  </si>
  <si>
    <t xml:space="preserve">08136E8   </t>
  </si>
  <si>
    <t xml:space="preserve">08135D8   </t>
  </si>
  <si>
    <t xml:space="preserve">08133C8   </t>
  </si>
  <si>
    <t xml:space="preserve">08132C8   </t>
  </si>
  <si>
    <t xml:space="preserve">08131B8   </t>
  </si>
  <si>
    <t xml:space="preserve">08130B8   </t>
  </si>
  <si>
    <t xml:space="preserve">08129A8   </t>
  </si>
  <si>
    <t xml:space="preserve">07128M7   </t>
  </si>
  <si>
    <t xml:space="preserve">07127M7   </t>
  </si>
  <si>
    <t xml:space="preserve">07125K7   </t>
  </si>
  <si>
    <t xml:space="preserve">07124K7   </t>
  </si>
  <si>
    <t xml:space="preserve">07123J7   </t>
  </si>
  <si>
    <t xml:space="preserve">07122H7   </t>
  </si>
  <si>
    <t xml:space="preserve">07121G7   </t>
  </si>
  <si>
    <t xml:space="preserve">07120G7   </t>
  </si>
  <si>
    <t xml:space="preserve">07119G7   </t>
  </si>
  <si>
    <t xml:space="preserve">07118F7   </t>
  </si>
  <si>
    <t xml:space="preserve">07116E7   </t>
  </si>
  <si>
    <t xml:space="preserve">07115D7   </t>
  </si>
  <si>
    <t>Yards Made</t>
  </si>
  <si>
    <t>Yards Produced</t>
  </si>
  <si>
    <t xml:space="preserve">1D6D528   </t>
  </si>
  <si>
    <t xml:space="preserve">6107L6    </t>
  </si>
  <si>
    <t xml:space="preserve">07114D7   </t>
  </si>
  <si>
    <t xml:space="preserve">07113C7   </t>
  </si>
  <si>
    <t xml:space="preserve">07112C7   </t>
  </si>
  <si>
    <t xml:space="preserve">07111B7   </t>
  </si>
  <si>
    <t xml:space="preserve">07110A7   </t>
  </si>
  <si>
    <t xml:space="preserve">9321AP    </t>
  </si>
  <si>
    <t xml:space="preserve">9285AY    </t>
  </si>
  <si>
    <t xml:space="preserve">9252AN    </t>
  </si>
  <si>
    <t xml:space="preserve">9236AZ    </t>
  </si>
  <si>
    <t xml:space="preserve">9176AM    </t>
  </si>
  <si>
    <t xml:space="preserve">9161AN    </t>
  </si>
  <si>
    <t xml:space="preserve">9147AS    </t>
  </si>
  <si>
    <t xml:space="preserve">9125AS    </t>
  </si>
  <si>
    <t xml:space="preserve">9106AW    </t>
  </si>
  <si>
    <t xml:space="preserve">9075AX    </t>
  </si>
  <si>
    <t xml:space="preserve">9051AF    </t>
  </si>
  <si>
    <t xml:space="preserve">9021AP    </t>
  </si>
  <si>
    <t xml:space="preserve">8347AH    </t>
  </si>
  <si>
    <t xml:space="preserve">8345AP    </t>
  </si>
  <si>
    <t xml:space="preserve">1034AK    </t>
  </si>
  <si>
    <t xml:space="preserve">1019BB    </t>
  </si>
  <si>
    <t xml:space="preserve">1011AP    </t>
  </si>
  <si>
    <t xml:space="preserve">0348AL    </t>
  </si>
  <si>
    <t xml:space="preserve">0300AK    </t>
  </si>
  <si>
    <t xml:space="preserve">0291AT    </t>
  </si>
  <si>
    <t xml:space="preserve">0291A7    </t>
  </si>
  <si>
    <t xml:space="preserve">0280AL    </t>
  </si>
  <si>
    <t xml:space="preserve">0257AQ    </t>
  </si>
  <si>
    <t xml:space="preserve">0228AS    </t>
  </si>
  <si>
    <t xml:space="preserve">0217AQ    </t>
  </si>
  <si>
    <t xml:space="preserve">0182AP    </t>
  </si>
  <si>
    <t xml:space="preserve">0161AW    </t>
  </si>
  <si>
    <t xml:space="preserve">0124AQ    </t>
  </si>
  <si>
    <t xml:space="preserve">0109AR    </t>
  </si>
  <si>
    <t xml:space="preserve">0070AH    </t>
  </si>
  <si>
    <t xml:space="preserve">0060AY    </t>
  </si>
  <si>
    <t xml:space="preserve">0033AR    </t>
  </si>
  <si>
    <t xml:space="preserve">0018AY    </t>
  </si>
  <si>
    <t xml:space="preserve">0004A7    </t>
  </si>
  <si>
    <t xml:space="preserve">2131AN    </t>
  </si>
  <si>
    <t xml:space="preserve">2130AM    </t>
  </si>
  <si>
    <t xml:space="preserve">1214AD    </t>
  </si>
  <si>
    <t xml:space="preserve">1205AB    </t>
  </si>
  <si>
    <t xml:space="preserve">1174AL    </t>
  </si>
  <si>
    <t xml:space="preserve">1121AC    </t>
  </si>
  <si>
    <t xml:space="preserve">1087AS    </t>
  </si>
  <si>
    <t xml:space="preserve">1074AK    </t>
  </si>
  <si>
    <t xml:space="preserve">1063AJ    </t>
  </si>
  <si>
    <t>Rub Lot</t>
  </si>
  <si>
    <t>Row Labels</t>
  </si>
  <si>
    <t>Grand Total</t>
  </si>
  <si>
    <t xml:space="preserve">1208AR    </t>
  </si>
  <si>
    <t xml:space="preserve">1146AQ    </t>
  </si>
  <si>
    <t xml:space="preserve">1055AK    </t>
  </si>
  <si>
    <t xml:space="preserve">1045A4    </t>
  </si>
  <si>
    <t xml:space="preserve">2249AM    </t>
  </si>
  <si>
    <t xml:space="preserve">2233BA    </t>
  </si>
  <si>
    <t xml:space="preserve">2205A3    </t>
  </si>
  <si>
    <t xml:space="preserve">2128AX    </t>
  </si>
  <si>
    <t xml:space="preserve">1290AV    </t>
  </si>
  <si>
    <t>7086AY</t>
  </si>
  <si>
    <t>5300AM</t>
  </si>
  <si>
    <t>5222A9</t>
  </si>
  <si>
    <t>5125AW</t>
  </si>
  <si>
    <t>5006AK</t>
  </si>
  <si>
    <t>4295AM</t>
  </si>
  <si>
    <t>4265A4</t>
  </si>
  <si>
    <t>4174AX</t>
  </si>
  <si>
    <t>4136AK</t>
  </si>
  <si>
    <t>4132AW</t>
  </si>
  <si>
    <t>4099AK</t>
  </si>
  <si>
    <t>4063AQ</t>
  </si>
  <si>
    <t>4020A3</t>
  </si>
  <si>
    <t>3351AX</t>
  </si>
  <si>
    <t>3294A8</t>
  </si>
  <si>
    <t>3260AX</t>
  </si>
  <si>
    <t>3204AU</t>
  </si>
  <si>
    <t>3196A4</t>
  </si>
  <si>
    <t>3168A7</t>
  </si>
  <si>
    <t>3133A4</t>
  </si>
  <si>
    <t>3098AP</t>
  </si>
  <si>
    <t xml:space="preserve">3078AM    </t>
  </si>
  <si>
    <t xml:space="preserve">3049A3    </t>
  </si>
  <si>
    <t xml:space="preserve">3021A6    </t>
  </si>
  <si>
    <t xml:space="preserve">3002A3    </t>
  </si>
  <si>
    <t xml:space="preserve">2340AQ    </t>
  </si>
  <si>
    <t xml:space="preserve">2307AN    </t>
  </si>
  <si>
    <t xml:space="preserve">2291AJ    </t>
  </si>
  <si>
    <t xml:space="preserve">2282AU    </t>
  </si>
  <si>
    <t xml:space="preserve">2269AL    </t>
  </si>
  <si>
    <t>Sum of Yards Made</t>
  </si>
  <si>
    <t>Sum of Yards Produced</t>
  </si>
  <si>
    <t>5089AY</t>
  </si>
  <si>
    <t>5047AR</t>
  </si>
  <si>
    <t>4335A4</t>
  </si>
  <si>
    <t>4225AR</t>
  </si>
  <si>
    <t>7338P</t>
  </si>
  <si>
    <t>7282BF</t>
  </si>
  <si>
    <t>7248CA</t>
  </si>
  <si>
    <t>7205CA</t>
  </si>
  <si>
    <t>7170A9</t>
  </si>
  <si>
    <t>7135AY</t>
  </si>
  <si>
    <t>7079CE</t>
  </si>
  <si>
    <t>7038AT</t>
  </si>
  <si>
    <t>6347A9</t>
  </si>
  <si>
    <t>6305CD</t>
  </si>
  <si>
    <t>6278AR</t>
  </si>
  <si>
    <t>6251A9</t>
  </si>
  <si>
    <t>6214A3</t>
  </si>
  <si>
    <t>6147CK</t>
  </si>
  <si>
    <t>6123CD</t>
  </si>
  <si>
    <t>6060A4</t>
  </si>
  <si>
    <t>6027AT</t>
  </si>
  <si>
    <t>5350AP</t>
  </si>
  <si>
    <t>5239AN</t>
  </si>
  <si>
    <t>5180A7</t>
  </si>
  <si>
    <t>5152A4</t>
  </si>
  <si>
    <t>Overall_Yield</t>
  </si>
  <si>
    <t>6356AW</t>
  </si>
  <si>
    <t>8177Q</t>
  </si>
  <si>
    <t>8162Q</t>
  </si>
  <si>
    <t>81075</t>
  </si>
  <si>
    <t>8094Q</t>
  </si>
  <si>
    <t>8066T</t>
  </si>
  <si>
    <t>8037T</t>
  </si>
  <si>
    <t>90562</t>
  </si>
  <si>
    <t>9028U</t>
  </si>
  <si>
    <t>9007W</t>
  </si>
  <si>
    <t>8337X</t>
  </si>
  <si>
    <t>8309W</t>
  </si>
  <si>
    <t>8275N</t>
  </si>
  <si>
    <t>82472</t>
  </si>
  <si>
    <t>8229R</t>
  </si>
  <si>
    <t>8213Q</t>
  </si>
  <si>
    <t>Sum</t>
  </si>
  <si>
    <t>Year of Production</t>
  </si>
  <si>
    <t>Julian Date Jumbo Production</t>
  </si>
  <si>
    <t>Run Order</t>
  </si>
  <si>
    <t xml:space="preserve">8218AQ    </t>
  </si>
  <si>
    <t xml:space="preserve">8196AT    </t>
  </si>
  <si>
    <t xml:space="preserve">08078E8   </t>
  </si>
  <si>
    <t xml:space="preserve">08077A8   </t>
  </si>
  <si>
    <t xml:space="preserve">07076M7   </t>
  </si>
  <si>
    <t xml:space="preserve">07074G7   </t>
  </si>
  <si>
    <t xml:space="preserve">07073G7   </t>
  </si>
  <si>
    <t xml:space="preserve">6069L6    </t>
  </si>
  <si>
    <t xml:space="preserve">07072C7   </t>
  </si>
  <si>
    <t xml:space="preserve">07071A7   </t>
  </si>
  <si>
    <t xml:space="preserve">1D08J82   </t>
  </si>
  <si>
    <t xml:space="preserve">9316AM    </t>
  </si>
  <si>
    <t xml:space="preserve">9278A3    </t>
  </si>
  <si>
    <t xml:space="preserve">9238AX    </t>
  </si>
  <si>
    <t xml:space="preserve">9168AN    </t>
  </si>
  <si>
    <t xml:space="preserve">9126AW    </t>
  </si>
  <si>
    <t xml:space="preserve">9050AG    </t>
  </si>
  <si>
    <t xml:space="preserve">1013AK    </t>
  </si>
  <si>
    <t xml:space="preserve">0344AE    </t>
  </si>
  <si>
    <t xml:space="preserve">0201AK    </t>
  </si>
  <si>
    <t xml:space="preserve">0172AY    </t>
  </si>
  <si>
    <t xml:space="preserve">0122AD    </t>
  </si>
  <si>
    <t xml:space="preserve">0057AJ    </t>
  </si>
  <si>
    <t xml:space="preserve">0020AS    </t>
  </si>
  <si>
    <t xml:space="preserve">1D09L01   </t>
  </si>
  <si>
    <t xml:space="preserve">1215AX    </t>
  </si>
  <si>
    <t xml:space="preserve">1164AZ    </t>
  </si>
  <si>
    <t xml:space="preserve">1137AS    </t>
  </si>
  <si>
    <t xml:space="preserve">1119AK    </t>
  </si>
  <si>
    <t xml:space="preserve">1080AL    </t>
  </si>
  <si>
    <t xml:space="preserve">1D11J22   </t>
  </si>
  <si>
    <t xml:space="preserve">2228AN    </t>
  </si>
  <si>
    <t xml:space="preserve">2212AX    </t>
  </si>
  <si>
    <t xml:space="preserve">2184AX    </t>
  </si>
  <si>
    <t xml:space="preserve">2074AM    </t>
  </si>
  <si>
    <t xml:space="preserve">2038AJ    </t>
  </si>
  <si>
    <t xml:space="preserve">1284AP    </t>
  </si>
  <si>
    <t xml:space="preserve">1272AL    </t>
  </si>
  <si>
    <t xml:space="preserve">1D12F33   </t>
  </si>
  <si>
    <t>5264A3</t>
  </si>
  <si>
    <t>5229A7</t>
  </si>
  <si>
    <t>5181AL</t>
  </si>
  <si>
    <t>5040AW</t>
  </si>
  <si>
    <t>5014AM</t>
  </si>
  <si>
    <t>4337AT</t>
  </si>
  <si>
    <t>4279A7</t>
  </si>
  <si>
    <t>4125AT</t>
  </si>
  <si>
    <t>4083A6</t>
  </si>
  <si>
    <t>4044AK</t>
  </si>
  <si>
    <t>4013AY</t>
  </si>
  <si>
    <t>3288AN</t>
  </si>
  <si>
    <t>3217AX</t>
  </si>
  <si>
    <t>3149AK</t>
  </si>
  <si>
    <t>3098AR</t>
  </si>
  <si>
    <t xml:space="preserve">3009AR    </t>
  </si>
  <si>
    <t xml:space="preserve">2346AG    </t>
  </si>
  <si>
    <t xml:space="preserve">2339AQ    </t>
  </si>
  <si>
    <t xml:space="preserve">2312AL    </t>
  </si>
  <si>
    <t xml:space="preserve">2285AR    </t>
  </si>
  <si>
    <t xml:space="preserve">2248AY    </t>
  </si>
  <si>
    <t xml:space="preserve">1D14A22   </t>
  </si>
  <si>
    <t>5265CC</t>
  </si>
  <si>
    <t>5110A9</t>
  </si>
  <si>
    <t>4219AN</t>
  </si>
  <si>
    <t xml:space="preserve">1D15C12   </t>
  </si>
  <si>
    <t>7198CM</t>
  </si>
  <si>
    <t>7136A4</t>
  </si>
  <si>
    <t>7086CD</t>
  </si>
  <si>
    <t>7011A3</t>
  </si>
  <si>
    <t>6292AP</t>
  </si>
  <si>
    <t>6270CE</t>
  </si>
  <si>
    <t>6193AR</t>
  </si>
  <si>
    <t>6144A7</t>
  </si>
  <si>
    <t>6109CC</t>
  </si>
  <si>
    <t>6033AX</t>
  </si>
  <si>
    <t>5266AH</t>
  </si>
  <si>
    <t>7114CA</t>
  </si>
  <si>
    <t>8170R</t>
  </si>
  <si>
    <t>8093T</t>
  </si>
  <si>
    <t>8031Q</t>
  </si>
  <si>
    <t>90914</t>
  </si>
  <si>
    <t>8281V</t>
  </si>
  <si>
    <t>9287P</t>
  </si>
  <si>
    <t>9274M</t>
  </si>
  <si>
    <t>9239T</t>
  </si>
  <si>
    <t>9226R</t>
  </si>
  <si>
    <t>9156R</t>
  </si>
  <si>
    <t>9119Y</t>
  </si>
  <si>
    <t>Average of Yield</t>
  </si>
  <si>
    <t>1D06D527</t>
  </si>
  <si>
    <t>1D06D528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</si>
</sst>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%"/>
    <numFmt numFmtId="167" formatCode="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ck">
        <color rgb="FFFF0000"/>
      </bottom>
      <diagonal/>
    </border>
    <border>
      <left style="thin">
        <color theme="1"/>
      </left>
      <right style="thin">
        <color theme="1"/>
      </right>
      <top/>
      <bottom style="thick">
        <color rgb="FFFF0000"/>
      </bottom>
      <diagonal/>
    </border>
    <border>
      <left style="thin">
        <color theme="1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n">
        <color theme="1"/>
      </right>
      <top/>
      <bottom style="thick">
        <color rgb="FFFF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9" fontId="9" fillId="0" borderId="0" applyFont="0" applyFill="0" applyBorder="0" applyAlignment="0" applyProtection="0"/>
  </cellStyleXfs>
  <cellXfs count="18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 wrapText="1"/>
    </xf>
    <xf numFmtId="0" fontId="0" fillId="0" borderId="0" xfId="0" quotePrefix="1"/>
    <xf numFmtId="1" fontId="0" fillId="0" borderId="0" xfId="0" applyNumberFormat="1" applyFill="1" applyBorder="1" applyAlignment="1">
      <alignment horizontal="center"/>
    </xf>
    <xf numFmtId="0" fontId="0" fillId="2" borderId="0" xfId="0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7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center"/>
    </xf>
    <xf numFmtId="1" fontId="0" fillId="2" borderId="7" xfId="0" applyNumberFormat="1" applyFont="1" applyFill="1" applyBorder="1" applyAlignment="1">
      <alignment horizontal="center"/>
    </xf>
    <xf numFmtId="164" fontId="0" fillId="2" borderId="7" xfId="0" applyNumberFormat="1" applyFont="1" applyFill="1" applyBorder="1" applyAlignment="1">
      <alignment horizontal="center"/>
    </xf>
    <xf numFmtId="164" fontId="0" fillId="0" borderId="0" xfId="0" applyNumberFormat="1"/>
    <xf numFmtId="0" fontId="0" fillId="2" borderId="8" xfId="0" applyFont="1" applyFill="1" applyBorder="1" applyAlignment="1">
      <alignment horizontal="center"/>
    </xf>
    <xf numFmtId="164" fontId="0" fillId="2" borderId="8" xfId="0" applyNumberFormat="1" applyFont="1" applyFill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0" fillId="0" borderId="0" xfId="0" applyNumberFormat="1"/>
    <xf numFmtId="1" fontId="0" fillId="2" borderId="0" xfId="0" applyNumberFormat="1" applyFill="1" applyBorder="1" applyAlignment="1">
      <alignment horizontal="center"/>
    </xf>
    <xf numFmtId="1" fontId="3" fillId="0" borderId="5" xfId="1" applyNumberFormat="1" applyFont="1" applyFill="1" applyBorder="1" applyAlignment="1" applyProtection="1">
      <alignment horizontal="center"/>
      <protection locked="0"/>
    </xf>
    <xf numFmtId="1" fontId="3" fillId="0" borderId="0" xfId="1" applyNumberFormat="1" applyFont="1" applyFill="1" applyBorder="1" applyAlignment="1" applyProtection="1">
      <alignment horizontal="center"/>
      <protection locked="0"/>
    </xf>
    <xf numFmtId="1" fontId="3" fillId="0" borderId="8" xfId="1" applyNumberFormat="1" applyFont="1" applyFill="1" applyBorder="1" applyAlignment="1" applyProtection="1">
      <alignment horizontal="center"/>
      <protection locked="0"/>
    </xf>
    <xf numFmtId="1" fontId="3" fillId="0" borderId="12" xfId="1" applyNumberFormat="1" applyFont="1" applyFill="1" applyBorder="1" applyAlignment="1" applyProtection="1">
      <alignment horizontal="center"/>
      <protection locked="0"/>
    </xf>
    <xf numFmtId="1" fontId="4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0" fillId="0" borderId="0" xfId="0" applyBorder="1"/>
    <xf numFmtId="1" fontId="3" fillId="0" borderId="12" xfId="0" applyNumberFormat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1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8" xfId="0" quotePrefix="1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4" borderId="7" xfId="0" applyFill="1" applyBorder="1" applyAlignment="1">
      <alignment horizontal="center"/>
    </xf>
    <xf numFmtId="1" fontId="0" fillId="4" borderId="7" xfId="0" applyNumberFormat="1" applyFill="1" applyBorder="1" applyAlignment="1">
      <alignment horizontal="center" wrapText="1"/>
    </xf>
    <xf numFmtId="164" fontId="0" fillId="4" borderId="7" xfId="0" applyNumberFormat="1" applyFill="1" applyBorder="1" applyAlignment="1">
      <alignment horizontal="center" wrapText="1"/>
    </xf>
    <xf numFmtId="1" fontId="0" fillId="4" borderId="7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65" fontId="0" fillId="2" borderId="7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4" borderId="17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0" fillId="0" borderId="7" xfId="0" applyBorder="1"/>
    <xf numFmtId="0" fontId="6" fillId="5" borderId="20" xfId="2" applyFill="1" applyBorder="1" applyAlignment="1">
      <alignment horizontal="center" vertical="center"/>
    </xf>
    <xf numFmtId="0" fontId="6" fillId="5" borderId="20" xfId="2" applyFill="1" applyBorder="1" applyAlignment="1">
      <alignment horizontal="center" vertical="center" wrapText="1"/>
    </xf>
    <xf numFmtId="0" fontId="6" fillId="0" borderId="21" xfId="2" applyBorder="1" applyAlignment="1">
      <alignment horizontal="center" vertical="center"/>
    </xf>
    <xf numFmtId="164" fontId="6" fillId="0" borderId="22" xfId="2" applyNumberFormat="1" applyBorder="1" applyAlignment="1">
      <alignment horizontal="center" vertical="center"/>
    </xf>
    <xf numFmtId="0" fontId="7" fillId="0" borderId="21" xfId="2" applyFont="1" applyBorder="1" applyAlignment="1">
      <alignment wrapText="1"/>
    </xf>
    <xf numFmtId="0" fontId="6" fillId="0" borderId="22" xfId="2" applyBorder="1" applyAlignment="1">
      <alignment horizontal="center" vertical="center"/>
    </xf>
    <xf numFmtId="0" fontId="7" fillId="0" borderId="22" xfId="2" applyFont="1" applyBorder="1" applyAlignment="1">
      <alignment wrapText="1"/>
    </xf>
    <xf numFmtId="0" fontId="8" fillId="0" borderId="22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2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49" fontId="0" fillId="0" borderId="0" xfId="0" applyNumberFormat="1"/>
    <xf numFmtId="0" fontId="0" fillId="4" borderId="0" xfId="0" applyFill="1"/>
    <xf numFmtId="0" fontId="0" fillId="3" borderId="0" xfId="0" applyFill="1"/>
    <xf numFmtId="0" fontId="0" fillId="6" borderId="0" xfId="0" applyFill="1"/>
    <xf numFmtId="0" fontId="10" fillId="7" borderId="22" xfId="0" applyFont="1" applyFill="1" applyBorder="1" applyAlignment="1">
      <alignment horizontal="center" vertical="center" wrapText="1"/>
    </xf>
    <xf numFmtId="0" fontId="10" fillId="7" borderId="23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/>
    </xf>
    <xf numFmtId="2" fontId="11" fillId="8" borderId="2" xfId="0" applyNumberFormat="1" applyFont="1" applyFill="1" applyBorder="1" applyAlignment="1">
      <alignment horizontal="center"/>
    </xf>
    <xf numFmtId="164" fontId="11" fillId="8" borderId="2" xfId="0" applyNumberFormat="1" applyFont="1" applyFill="1" applyBorder="1" applyAlignment="1">
      <alignment horizontal="center"/>
    </xf>
    <xf numFmtId="166" fontId="0" fillId="8" borderId="2" xfId="3" applyNumberFormat="1" applyFont="1" applyFill="1" applyBorder="1"/>
    <xf numFmtId="0" fontId="0" fillId="8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9" fontId="1" fillId="0" borderId="6" xfId="3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9" fontId="1" fillId="0" borderId="0" xfId="3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9" fontId="1" fillId="0" borderId="13" xfId="3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0" xfId="3" applyFont="1" applyBorder="1" applyAlignment="1">
      <alignment horizontal="center"/>
    </xf>
    <xf numFmtId="9" fontId="0" fillId="0" borderId="13" xfId="3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67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49" fontId="1" fillId="0" borderId="0" xfId="0" applyNumberFormat="1" applyFont="1"/>
    <xf numFmtId="0" fontId="0" fillId="9" borderId="0" xfId="0" applyFill="1"/>
    <xf numFmtId="3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0" fontId="1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7" fontId="1" fillId="0" borderId="6" xfId="0" applyNumberFormat="1" applyFont="1" applyBorder="1" applyAlignment="1">
      <alignment horizontal="center" vertical="center" wrapText="1"/>
    </xf>
    <xf numFmtId="167" fontId="1" fillId="0" borderId="0" xfId="0" applyNumberFormat="1" applyFont="1" applyBorder="1" applyAlignment="1">
      <alignment horizontal="center" vertical="center" wrapText="1"/>
    </xf>
    <xf numFmtId="167" fontId="1" fillId="0" borderId="13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 wrapText="1"/>
    </xf>
    <xf numFmtId="167" fontId="0" fillId="0" borderId="13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4">
    <cellStyle name="Normal" xfId="0" builtinId="0"/>
    <cellStyle name="Normal 2" xfId="2"/>
    <cellStyle name="Normal 4" xfId="1"/>
    <cellStyle name="Percent" xfId="3" builtinId="5"/>
  </cellStyles>
  <dxfs count="24"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0" formatCode="General"/>
    </dxf>
    <dxf>
      <fill>
        <patternFill patternType="solid">
          <fgColor indexed="64"/>
          <bgColor rgb="FF00B050"/>
        </patternFill>
      </fill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0" formatCode="General"/>
    </dxf>
    <dxf>
      <fill>
        <patternFill patternType="solid">
          <fgColor indexed="64"/>
          <bgColor rgb="FF00B050"/>
        </patternFill>
      </fill>
    </dxf>
    <dxf>
      <numFmt numFmtId="0" formatCode="General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ill>
        <patternFill patternType="solid">
          <fgColor indexed="64"/>
          <bgColor rgb="FF00B050"/>
        </patternFill>
      </fill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1000X88 3M Blend Data history.xlsx]AF-30ByRubLot_Pvt!PivotTable1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'AF-30ByRubLot_Pvt'!$B$3</c:f>
              <c:strCache>
                <c:ptCount val="1"/>
                <c:pt idx="0">
                  <c:v>Sum of Yards Made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'AF-30ByRubLot_Pvt'!$A$4:$A$16</c:f>
              <c:strCache>
                <c:ptCount val="12"/>
                <c:pt idx="0">
                  <c:v>1D08J82</c:v>
                </c:pt>
                <c:pt idx="1">
                  <c:v>1D09L01</c:v>
                </c:pt>
                <c:pt idx="2">
                  <c:v>1D6D527</c:v>
                </c:pt>
                <c:pt idx="3">
                  <c:v>1D6D528   </c:v>
                </c:pt>
                <c:pt idx="4">
                  <c:v>1D10L58</c:v>
                </c:pt>
                <c:pt idx="5">
                  <c:v>1D11J22</c:v>
                </c:pt>
                <c:pt idx="6">
                  <c:v>1D12F33</c:v>
                </c:pt>
                <c:pt idx="7">
                  <c:v>1D14A22</c:v>
                </c:pt>
                <c:pt idx="8">
                  <c:v>1D15C12</c:v>
                </c:pt>
                <c:pt idx="9">
                  <c:v>1D15D14</c:v>
                </c:pt>
                <c:pt idx="10">
                  <c:v>1D17B28</c:v>
                </c:pt>
                <c:pt idx="11">
                  <c:v>1D18C34</c:v>
                </c:pt>
              </c:strCache>
            </c:strRef>
          </c:cat>
          <c:val>
            <c:numRef>
              <c:f>'AF-30ByRubLot_Pvt'!$B$4:$B$16</c:f>
              <c:numCache>
                <c:formatCode>General</c:formatCode>
                <c:ptCount val="12"/>
                <c:pt idx="0">
                  <c:v>32797.777777777781</c:v>
                </c:pt>
                <c:pt idx="1">
                  <c:v>12137.777777777777</c:v>
                </c:pt>
                <c:pt idx="2">
                  <c:v>28551.666666666672</c:v>
                </c:pt>
                <c:pt idx="3">
                  <c:v>7508.3333333333339</c:v>
                </c:pt>
                <c:pt idx="4">
                  <c:v>4300</c:v>
                </c:pt>
                <c:pt idx="5">
                  <c:v>9695</c:v>
                </c:pt>
                <c:pt idx="6">
                  <c:v>60767.777777777781</c:v>
                </c:pt>
                <c:pt idx="7">
                  <c:v>7375</c:v>
                </c:pt>
                <c:pt idx="8">
                  <c:v>44283.888888888891</c:v>
                </c:pt>
                <c:pt idx="9">
                  <c:v>666.66666666666663</c:v>
                </c:pt>
                <c:pt idx="10">
                  <c:v>11611.111111111111</c:v>
                </c:pt>
                <c:pt idx="11">
                  <c:v>20325</c:v>
                </c:pt>
              </c:numCache>
            </c:numRef>
          </c:val>
        </c:ser>
        <c:ser>
          <c:idx val="1"/>
          <c:order val="1"/>
          <c:tx>
            <c:strRef>
              <c:f>'AF-30ByRubLot_Pvt'!$C$3</c:f>
              <c:strCache>
                <c:ptCount val="1"/>
                <c:pt idx="0">
                  <c:v>Sum of Yards Produced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'AF-30ByRubLot_Pvt'!$A$4:$A$16</c:f>
              <c:strCache>
                <c:ptCount val="12"/>
                <c:pt idx="0">
                  <c:v>1D08J82</c:v>
                </c:pt>
                <c:pt idx="1">
                  <c:v>1D09L01</c:v>
                </c:pt>
                <c:pt idx="2">
                  <c:v>1D6D527</c:v>
                </c:pt>
                <c:pt idx="3">
                  <c:v>1D6D528   </c:v>
                </c:pt>
                <c:pt idx="4">
                  <c:v>1D10L58</c:v>
                </c:pt>
                <c:pt idx="5">
                  <c:v>1D11J22</c:v>
                </c:pt>
                <c:pt idx="6">
                  <c:v>1D12F33</c:v>
                </c:pt>
                <c:pt idx="7">
                  <c:v>1D14A22</c:v>
                </c:pt>
                <c:pt idx="8">
                  <c:v>1D15C12</c:v>
                </c:pt>
                <c:pt idx="9">
                  <c:v>1D15D14</c:v>
                </c:pt>
                <c:pt idx="10">
                  <c:v>1D17B28</c:v>
                </c:pt>
                <c:pt idx="11">
                  <c:v>1D18C34</c:v>
                </c:pt>
              </c:strCache>
            </c:strRef>
          </c:cat>
          <c:val>
            <c:numRef>
              <c:f>'AF-30ByRubLot_Pvt'!$C$4:$C$16</c:f>
              <c:numCache>
                <c:formatCode>General</c:formatCode>
                <c:ptCount val="12"/>
                <c:pt idx="0">
                  <c:v>20092.916559999998</c:v>
                </c:pt>
                <c:pt idx="1">
                  <c:v>5763.3333199999997</c:v>
                </c:pt>
                <c:pt idx="2">
                  <c:v>8194.5832599999994</c:v>
                </c:pt>
                <c:pt idx="3">
                  <c:v>3803.3333199999997</c:v>
                </c:pt>
                <c:pt idx="4">
                  <c:v>1842.3332599999999</c:v>
                </c:pt>
                <c:pt idx="5">
                  <c:v>7189.6666599999999</c:v>
                </c:pt>
                <c:pt idx="6">
                  <c:v>48533.666580000005</c:v>
                </c:pt>
                <c:pt idx="7">
                  <c:v>5176</c:v>
                </c:pt>
                <c:pt idx="8">
                  <c:v>38666.666559999998</c:v>
                </c:pt>
                <c:pt idx="9">
                  <c:v>600</c:v>
                </c:pt>
                <c:pt idx="10">
                  <c:v>8780</c:v>
                </c:pt>
                <c:pt idx="11">
                  <c:v>16501.999960000001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376224"/>
        <c:axId val="181373480"/>
      </c:barChart>
      <c:lineChart>
        <c:grouping val="standard"/>
        <c:varyColors val="0"/>
        <c:ser>
          <c:idx val="2"/>
          <c:order val="2"/>
          <c:tx>
            <c:strRef>
              <c:f>'AF-30ByRubLot_Pvt'!$D$3</c:f>
              <c:strCache>
                <c:ptCount val="1"/>
                <c:pt idx="0">
                  <c:v>Overall_Yield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'AF-30ByRubLot_Pvt'!$A$4:$A$16</c:f>
              <c:strCache>
                <c:ptCount val="12"/>
                <c:pt idx="0">
                  <c:v>1D08J82</c:v>
                </c:pt>
                <c:pt idx="1">
                  <c:v>1D09L01</c:v>
                </c:pt>
                <c:pt idx="2">
                  <c:v>1D6D527</c:v>
                </c:pt>
                <c:pt idx="3">
                  <c:v>1D6D528   </c:v>
                </c:pt>
                <c:pt idx="4">
                  <c:v>1D10L58</c:v>
                </c:pt>
                <c:pt idx="5">
                  <c:v>1D11J22</c:v>
                </c:pt>
                <c:pt idx="6">
                  <c:v>1D12F33</c:v>
                </c:pt>
                <c:pt idx="7">
                  <c:v>1D14A22</c:v>
                </c:pt>
                <c:pt idx="8">
                  <c:v>1D15C12</c:v>
                </c:pt>
                <c:pt idx="9">
                  <c:v>1D15D14</c:v>
                </c:pt>
                <c:pt idx="10">
                  <c:v>1D17B28</c:v>
                </c:pt>
                <c:pt idx="11">
                  <c:v>1D18C34</c:v>
                </c:pt>
              </c:strCache>
            </c:strRef>
          </c:cat>
          <c:val>
            <c:numRef>
              <c:f>'AF-30ByRubLot_Pvt'!$D$4:$D$16</c:f>
              <c:numCache>
                <c:formatCode>0.00</c:formatCode>
                <c:ptCount val="12"/>
                <c:pt idx="0">
                  <c:v>61.263042563859329</c:v>
                </c:pt>
                <c:pt idx="1">
                  <c:v>47.482606993775171</c:v>
                </c:pt>
                <c:pt idx="2">
                  <c:v>28.700892860895443</c:v>
                </c:pt>
                <c:pt idx="3">
                  <c:v>50.654827791342946</c:v>
                </c:pt>
                <c:pt idx="4">
                  <c:v>42.844959534883721</c:v>
                </c:pt>
                <c:pt idx="5">
                  <c:v>74.15850087674059</c:v>
                </c:pt>
                <c:pt idx="6">
                  <c:v>79.86743691283759</c:v>
                </c:pt>
                <c:pt idx="7">
                  <c:v>70.183050847457622</c:v>
                </c:pt>
                <c:pt idx="8">
                  <c:v>87.315426739094974</c:v>
                </c:pt>
                <c:pt idx="9">
                  <c:v>90</c:v>
                </c:pt>
                <c:pt idx="10">
                  <c:v>75.617224880382778</c:v>
                </c:pt>
                <c:pt idx="11">
                  <c:v>81.190651709717102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77008"/>
        <c:axId val="181377792"/>
      </c:lineChart>
      <c:catAx>
        <c:axId val="1813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3480"/>
        <c:crosses val="autoZero"/>
        <c:auto val="1"/>
        <c:lblAlgn val="ctr"/>
        <c:lblOffset val="100"/>
        <c:noMultiLvlLbl val="0"/>
      </c:catAx>
      <c:valAx>
        <c:axId val="181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6224"/>
        <c:crosses val="autoZero"/>
        <c:crossBetween val="between"/>
      </c:valAx>
      <c:valAx>
        <c:axId val="18137779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7008"/>
        <c:crosses val="max"/>
        <c:crossBetween val="between"/>
      </c:valAx>
      <c:catAx>
        <c:axId val="18137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7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1000X88 3M Blend Data history.xlsx]AF-32ByRubLot Pvt!PivotTable1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'AF-32ByRubLot Pvt'!$B$3</c:f>
              <c:strCache>
                <c:ptCount val="1"/>
                <c:pt idx="0">
                  <c:v>Sum of Yards Made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'AF-32ByRubLot Pvt'!$A$4:$A$18</c:f>
              <c:strCache>
                <c:ptCount val="14"/>
                <c:pt idx="0">
                  <c:v>1D06D527</c:v>
                </c:pt>
                <c:pt idx="1">
                  <c:v>1D06D528</c:v>
                </c:pt>
                <c:pt idx="2">
                  <c:v>1D08J82   </c:v>
                </c:pt>
                <c:pt idx="3">
                  <c:v>1D09L01   </c:v>
                </c:pt>
                <c:pt idx="4">
                  <c:v>1D11J22   </c:v>
                </c:pt>
                <c:pt idx="5">
                  <c:v>1D12F33</c:v>
                </c:pt>
                <c:pt idx="6">
                  <c:v>1D12F33   </c:v>
                </c:pt>
                <c:pt idx="7">
                  <c:v>1D14A22</c:v>
                </c:pt>
                <c:pt idx="8">
                  <c:v>1D14A22   </c:v>
                </c:pt>
                <c:pt idx="9">
                  <c:v>1D15C12   </c:v>
                </c:pt>
                <c:pt idx="10">
                  <c:v>1D15D14</c:v>
                </c:pt>
                <c:pt idx="11">
                  <c:v>1D17B28</c:v>
                </c:pt>
                <c:pt idx="12">
                  <c:v>1D18C34</c:v>
                </c:pt>
                <c:pt idx="13">
                  <c:v>1D18C36</c:v>
                </c:pt>
              </c:strCache>
            </c:strRef>
          </c:cat>
          <c:val>
            <c:numRef>
              <c:f>'AF-32ByRubLot Pvt'!$B$4:$B$18</c:f>
              <c:numCache>
                <c:formatCode>General</c:formatCode>
                <c:ptCount val="14"/>
                <c:pt idx="0">
                  <c:v>6013.8888888888878</c:v>
                </c:pt>
                <c:pt idx="1">
                  <c:v>3506.666666666667</c:v>
                </c:pt>
                <c:pt idx="2">
                  <c:v>10240.555555555555</c:v>
                </c:pt>
                <c:pt idx="3">
                  <c:v>9617.2222222222226</c:v>
                </c:pt>
                <c:pt idx="4">
                  <c:v>8428.8888888888887</c:v>
                </c:pt>
                <c:pt idx="5">
                  <c:v>19789.444444444445</c:v>
                </c:pt>
                <c:pt idx="6">
                  <c:v>4907.7777777777774</c:v>
                </c:pt>
                <c:pt idx="7">
                  <c:v>2113.8888888888891</c:v>
                </c:pt>
                <c:pt idx="8">
                  <c:v>1536.1111111111113</c:v>
                </c:pt>
                <c:pt idx="9">
                  <c:v>14306.666666666668</c:v>
                </c:pt>
                <c:pt idx="10">
                  <c:v>1683.3333333333335</c:v>
                </c:pt>
                <c:pt idx="11">
                  <c:v>4919.4444444444443</c:v>
                </c:pt>
                <c:pt idx="12">
                  <c:v>3730.5555555555557</c:v>
                </c:pt>
                <c:pt idx="13">
                  <c:v>10280.555555555557</c:v>
                </c:pt>
              </c:numCache>
            </c:numRef>
          </c:val>
        </c:ser>
        <c:ser>
          <c:idx val="1"/>
          <c:order val="1"/>
          <c:tx>
            <c:strRef>
              <c:f>'AF-32ByRubLot Pvt'!$C$3</c:f>
              <c:strCache>
                <c:ptCount val="1"/>
                <c:pt idx="0">
                  <c:v>Sum of Yards Produced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'AF-32ByRubLot Pvt'!$A$4:$A$18</c:f>
              <c:strCache>
                <c:ptCount val="14"/>
                <c:pt idx="0">
                  <c:v>1D06D527</c:v>
                </c:pt>
                <c:pt idx="1">
                  <c:v>1D06D528</c:v>
                </c:pt>
                <c:pt idx="2">
                  <c:v>1D08J82   </c:v>
                </c:pt>
                <c:pt idx="3">
                  <c:v>1D09L01   </c:v>
                </c:pt>
                <c:pt idx="4">
                  <c:v>1D11J22   </c:v>
                </c:pt>
                <c:pt idx="5">
                  <c:v>1D12F33</c:v>
                </c:pt>
                <c:pt idx="6">
                  <c:v>1D12F33   </c:v>
                </c:pt>
                <c:pt idx="7">
                  <c:v>1D14A22</c:v>
                </c:pt>
                <c:pt idx="8">
                  <c:v>1D14A22   </c:v>
                </c:pt>
                <c:pt idx="9">
                  <c:v>1D15C12   </c:v>
                </c:pt>
                <c:pt idx="10">
                  <c:v>1D15D14</c:v>
                </c:pt>
                <c:pt idx="11">
                  <c:v>1D17B28</c:v>
                </c:pt>
                <c:pt idx="12">
                  <c:v>1D18C34</c:v>
                </c:pt>
                <c:pt idx="13">
                  <c:v>1D18C36</c:v>
                </c:pt>
              </c:strCache>
            </c:strRef>
          </c:cat>
          <c:val>
            <c:numRef>
              <c:f>'AF-32ByRubLot Pvt'!$C$4:$C$18</c:f>
              <c:numCache>
                <c:formatCode>General</c:formatCode>
                <c:ptCount val="14"/>
                <c:pt idx="0">
                  <c:v>1420</c:v>
                </c:pt>
                <c:pt idx="1">
                  <c:v>20</c:v>
                </c:pt>
                <c:pt idx="2">
                  <c:v>7976.6665199999998</c:v>
                </c:pt>
                <c:pt idx="3">
                  <c:v>1641.6666599999999</c:v>
                </c:pt>
                <c:pt idx="4">
                  <c:v>5466.6665599999997</c:v>
                </c:pt>
                <c:pt idx="5">
                  <c:v>14949.999879999999</c:v>
                </c:pt>
                <c:pt idx="6">
                  <c:v>3159.9999200000002</c:v>
                </c:pt>
                <c:pt idx="7">
                  <c:v>1004.9999799999999</c:v>
                </c:pt>
                <c:pt idx="8">
                  <c:v>1040</c:v>
                </c:pt>
                <c:pt idx="9">
                  <c:v>9411.6664599999986</c:v>
                </c:pt>
                <c:pt idx="10">
                  <c:v>1489.9999600000001</c:v>
                </c:pt>
                <c:pt idx="11">
                  <c:v>3411.66662</c:v>
                </c:pt>
                <c:pt idx="12">
                  <c:v>2269.9999600000001</c:v>
                </c:pt>
                <c:pt idx="13">
                  <c:v>1903.33332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3509808"/>
        <c:axId val="863509416"/>
      </c:barChart>
      <c:lineChart>
        <c:grouping val="standard"/>
        <c:varyColors val="0"/>
        <c:ser>
          <c:idx val="2"/>
          <c:order val="2"/>
          <c:tx>
            <c:strRef>
              <c:f>'AF-32ByRubLot Pvt'!$D$3</c:f>
              <c:strCache>
                <c:ptCount val="1"/>
                <c:pt idx="0">
                  <c:v>Average of Yield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'AF-32ByRubLot Pvt'!$A$4:$A$18</c:f>
              <c:strCache>
                <c:ptCount val="14"/>
                <c:pt idx="0">
                  <c:v>1D06D527</c:v>
                </c:pt>
                <c:pt idx="1">
                  <c:v>1D06D528</c:v>
                </c:pt>
                <c:pt idx="2">
                  <c:v>1D08J82   </c:v>
                </c:pt>
                <c:pt idx="3">
                  <c:v>1D09L01   </c:v>
                </c:pt>
                <c:pt idx="4">
                  <c:v>1D11J22   </c:v>
                </c:pt>
                <c:pt idx="5">
                  <c:v>1D12F33</c:v>
                </c:pt>
                <c:pt idx="6">
                  <c:v>1D12F33   </c:v>
                </c:pt>
                <c:pt idx="7">
                  <c:v>1D14A22</c:v>
                </c:pt>
                <c:pt idx="8">
                  <c:v>1D14A22   </c:v>
                </c:pt>
                <c:pt idx="9">
                  <c:v>1D15C12   </c:v>
                </c:pt>
                <c:pt idx="10">
                  <c:v>1D15D14</c:v>
                </c:pt>
                <c:pt idx="11">
                  <c:v>1D17B28</c:v>
                </c:pt>
                <c:pt idx="12">
                  <c:v>1D18C34</c:v>
                </c:pt>
                <c:pt idx="13">
                  <c:v>1D18C36</c:v>
                </c:pt>
              </c:strCache>
            </c:strRef>
          </c:cat>
          <c:val>
            <c:numRef>
              <c:f>'AF-32ByRubLot Pvt'!$D$4:$D$18</c:f>
              <c:numCache>
                <c:formatCode>0.00</c:formatCode>
                <c:ptCount val="14"/>
                <c:pt idx="0">
                  <c:v>23.612009237875291</c:v>
                </c:pt>
                <c:pt idx="1">
                  <c:v>0.5703422053231938</c:v>
                </c:pt>
                <c:pt idx="2">
                  <c:v>77.892908023653234</c:v>
                </c:pt>
                <c:pt idx="3">
                  <c:v>17.070070983767543</c:v>
                </c:pt>
                <c:pt idx="4">
                  <c:v>64.856312997627214</c:v>
                </c:pt>
                <c:pt idx="5">
                  <c:v>75.545323780915737</c:v>
                </c:pt>
                <c:pt idx="6">
                  <c:v>64.387591759112524</c:v>
                </c:pt>
                <c:pt idx="7">
                  <c:v>47.542706018396835</c:v>
                </c:pt>
                <c:pt idx="8">
                  <c:v>67.703435804701613</c:v>
                </c:pt>
                <c:pt idx="9">
                  <c:v>65.785180288909586</c:v>
                </c:pt>
                <c:pt idx="10">
                  <c:v>88.51484910891088</c:v>
                </c:pt>
                <c:pt idx="11">
                  <c:v>69.35064840203276</c:v>
                </c:pt>
                <c:pt idx="12">
                  <c:v>60.848844795234548</c:v>
                </c:pt>
                <c:pt idx="13">
                  <c:v>18.513915028370707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609016"/>
        <c:axId val="863510592"/>
      </c:lineChart>
      <c:catAx>
        <c:axId val="8635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09416"/>
        <c:crosses val="autoZero"/>
        <c:auto val="1"/>
        <c:lblAlgn val="ctr"/>
        <c:lblOffset val="100"/>
        <c:noMultiLvlLbl val="0"/>
      </c:catAx>
      <c:valAx>
        <c:axId val="86350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09808"/>
        <c:crosses val="autoZero"/>
        <c:crossBetween val="between"/>
      </c:valAx>
      <c:valAx>
        <c:axId val="86351059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09016"/>
        <c:crosses val="max"/>
        <c:crossBetween val="between"/>
      </c:valAx>
      <c:catAx>
        <c:axId val="73660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3510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gif@01D10291.2E356620" TargetMode="External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55</xdr:row>
      <xdr:rowOff>59531</xdr:rowOff>
    </xdr:from>
    <xdr:to>
      <xdr:col>18</xdr:col>
      <xdr:colOff>304799</xdr:colOff>
      <xdr:row>62</xdr:row>
      <xdr:rowOff>78581</xdr:rowOff>
    </xdr:to>
    <xdr:pic>
      <xdr:nvPicPr>
        <xdr:cNvPr id="2" name="Picture 1" descr="cid:image001.gif@01D10291.2E356620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0620375"/>
          <a:ext cx="3948112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18</xdr:col>
      <xdr:colOff>0</xdr:colOff>
      <xdr:row>33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0500"/>
          <a:ext cx="91440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238125</xdr:colOff>
      <xdr:row>6</xdr:row>
      <xdr:rowOff>28575</xdr:rowOff>
    </xdr:from>
    <xdr:to>
      <xdr:col>7</xdr:col>
      <xdr:colOff>352425</xdr:colOff>
      <xdr:row>11</xdr:row>
      <xdr:rowOff>123825</xdr:rowOff>
    </xdr:to>
    <xdr:sp macro="" textlink="">
      <xdr:nvSpPr>
        <xdr:cNvPr id="3" name="Rectangle 2"/>
        <xdr:cNvSpPr/>
      </xdr:nvSpPr>
      <xdr:spPr>
        <a:xfrm>
          <a:off x="3152775" y="1171575"/>
          <a:ext cx="1943100" cy="104775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523875</xdr:colOff>
      <xdr:row>16</xdr:row>
      <xdr:rowOff>161925</xdr:rowOff>
    </xdr:from>
    <xdr:to>
      <xdr:col>17</xdr:col>
      <xdr:colOff>28575</xdr:colOff>
      <xdr:row>22</xdr:row>
      <xdr:rowOff>66675</xdr:rowOff>
    </xdr:to>
    <xdr:sp macro="" textlink="">
      <xdr:nvSpPr>
        <xdr:cNvPr id="4" name="Rectangle 3"/>
        <xdr:cNvSpPr/>
      </xdr:nvSpPr>
      <xdr:spPr>
        <a:xfrm>
          <a:off x="8924925" y="3209925"/>
          <a:ext cx="1943100" cy="104775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228600</xdr:colOff>
      <xdr:row>22</xdr:row>
      <xdr:rowOff>38100</xdr:rowOff>
    </xdr:from>
    <xdr:to>
      <xdr:col>7</xdr:col>
      <xdr:colOff>342900</xdr:colOff>
      <xdr:row>27</xdr:row>
      <xdr:rowOff>133350</xdr:rowOff>
    </xdr:to>
    <xdr:sp macro="" textlink="">
      <xdr:nvSpPr>
        <xdr:cNvPr id="5" name="Rectangle 4"/>
        <xdr:cNvSpPr/>
      </xdr:nvSpPr>
      <xdr:spPr>
        <a:xfrm>
          <a:off x="3143250" y="4229100"/>
          <a:ext cx="1943100" cy="104775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11</xdr:row>
      <xdr:rowOff>95250</xdr:rowOff>
    </xdr:from>
    <xdr:to>
      <xdr:col>7</xdr:col>
      <xdr:colOff>352425</xdr:colOff>
      <xdr:row>17</xdr:row>
      <xdr:rowOff>0</xdr:rowOff>
    </xdr:to>
    <xdr:sp macro="" textlink="">
      <xdr:nvSpPr>
        <xdr:cNvPr id="6" name="Rectangle 5"/>
        <xdr:cNvSpPr/>
      </xdr:nvSpPr>
      <xdr:spPr>
        <a:xfrm>
          <a:off x="3152775" y="2190750"/>
          <a:ext cx="1943100" cy="104775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333375</xdr:colOff>
      <xdr:row>11</xdr:row>
      <xdr:rowOff>95250</xdr:rowOff>
    </xdr:from>
    <xdr:to>
      <xdr:col>10</xdr:col>
      <xdr:colOff>447675</xdr:colOff>
      <xdr:row>17</xdr:row>
      <xdr:rowOff>0</xdr:rowOff>
    </xdr:to>
    <xdr:sp macro="" textlink="">
      <xdr:nvSpPr>
        <xdr:cNvPr id="7" name="Rectangle 6"/>
        <xdr:cNvSpPr/>
      </xdr:nvSpPr>
      <xdr:spPr>
        <a:xfrm>
          <a:off x="5076825" y="2190750"/>
          <a:ext cx="1943100" cy="104775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447675</xdr:colOff>
      <xdr:row>11</xdr:row>
      <xdr:rowOff>95250</xdr:rowOff>
    </xdr:from>
    <xdr:to>
      <xdr:col>13</xdr:col>
      <xdr:colOff>533400</xdr:colOff>
      <xdr:row>17</xdr:row>
      <xdr:rowOff>0</xdr:rowOff>
    </xdr:to>
    <xdr:sp macro="" textlink="">
      <xdr:nvSpPr>
        <xdr:cNvPr id="8" name="Rectangle 7"/>
        <xdr:cNvSpPr/>
      </xdr:nvSpPr>
      <xdr:spPr>
        <a:xfrm>
          <a:off x="7019925" y="2190750"/>
          <a:ext cx="1914525" cy="104775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533400</xdr:colOff>
      <xdr:row>11</xdr:row>
      <xdr:rowOff>95250</xdr:rowOff>
    </xdr:from>
    <xdr:to>
      <xdr:col>17</xdr:col>
      <xdr:colOff>9525</xdr:colOff>
      <xdr:row>17</xdr:row>
      <xdr:rowOff>0</xdr:rowOff>
    </xdr:to>
    <xdr:sp macro="" textlink="">
      <xdr:nvSpPr>
        <xdr:cNvPr id="9" name="Rectangle 8"/>
        <xdr:cNvSpPr/>
      </xdr:nvSpPr>
      <xdr:spPr>
        <a:xfrm>
          <a:off x="8934450" y="2190750"/>
          <a:ext cx="1914525" cy="104775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228600</xdr:colOff>
      <xdr:row>16</xdr:row>
      <xdr:rowOff>152400</xdr:rowOff>
    </xdr:from>
    <xdr:to>
      <xdr:col>7</xdr:col>
      <xdr:colOff>314325</xdr:colOff>
      <xdr:row>22</xdr:row>
      <xdr:rowOff>38100</xdr:rowOff>
    </xdr:to>
    <xdr:sp macro="" textlink="">
      <xdr:nvSpPr>
        <xdr:cNvPr id="10" name="Rectangle 9"/>
        <xdr:cNvSpPr/>
      </xdr:nvSpPr>
      <xdr:spPr>
        <a:xfrm>
          <a:off x="3143250" y="3200400"/>
          <a:ext cx="1914525" cy="102870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323850</xdr:colOff>
      <xdr:row>16</xdr:row>
      <xdr:rowOff>171450</xdr:rowOff>
    </xdr:from>
    <xdr:to>
      <xdr:col>10</xdr:col>
      <xdr:colOff>409575</xdr:colOff>
      <xdr:row>22</xdr:row>
      <xdr:rowOff>57150</xdr:rowOff>
    </xdr:to>
    <xdr:sp macro="" textlink="">
      <xdr:nvSpPr>
        <xdr:cNvPr id="11" name="Rectangle 10"/>
        <xdr:cNvSpPr/>
      </xdr:nvSpPr>
      <xdr:spPr>
        <a:xfrm>
          <a:off x="5067300" y="3219450"/>
          <a:ext cx="1914525" cy="102870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333375</xdr:colOff>
      <xdr:row>6</xdr:row>
      <xdr:rowOff>38100</xdr:rowOff>
    </xdr:from>
    <xdr:to>
      <xdr:col>10</xdr:col>
      <xdr:colOff>447675</xdr:colOff>
      <xdr:row>11</xdr:row>
      <xdr:rowOff>133350</xdr:rowOff>
    </xdr:to>
    <xdr:sp macro="" textlink="">
      <xdr:nvSpPr>
        <xdr:cNvPr id="12" name="Rectangle 11"/>
        <xdr:cNvSpPr/>
      </xdr:nvSpPr>
      <xdr:spPr>
        <a:xfrm>
          <a:off x="5076825" y="1181100"/>
          <a:ext cx="1943100" cy="10477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523875</xdr:colOff>
      <xdr:row>6</xdr:row>
      <xdr:rowOff>47625</xdr:rowOff>
    </xdr:from>
    <xdr:to>
      <xdr:col>17</xdr:col>
      <xdr:colOff>28575</xdr:colOff>
      <xdr:row>11</xdr:row>
      <xdr:rowOff>142875</xdr:rowOff>
    </xdr:to>
    <xdr:sp macro="" textlink="">
      <xdr:nvSpPr>
        <xdr:cNvPr id="13" name="Rectangle 12"/>
        <xdr:cNvSpPr/>
      </xdr:nvSpPr>
      <xdr:spPr>
        <a:xfrm>
          <a:off x="8924925" y="1190625"/>
          <a:ext cx="1943100" cy="10477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428625</xdr:colOff>
      <xdr:row>11</xdr:row>
      <xdr:rowOff>104775</xdr:rowOff>
    </xdr:from>
    <xdr:to>
      <xdr:col>13</xdr:col>
      <xdr:colOff>542925</xdr:colOff>
      <xdr:row>17</xdr:row>
      <xdr:rowOff>9525</xdr:rowOff>
    </xdr:to>
    <xdr:sp macro="" textlink="">
      <xdr:nvSpPr>
        <xdr:cNvPr id="14" name="Rectangle 13"/>
        <xdr:cNvSpPr/>
      </xdr:nvSpPr>
      <xdr:spPr>
        <a:xfrm>
          <a:off x="7000875" y="2200275"/>
          <a:ext cx="1943100" cy="10477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438149</xdr:colOff>
      <xdr:row>6</xdr:row>
      <xdr:rowOff>19049</xdr:rowOff>
    </xdr:from>
    <xdr:to>
      <xdr:col>13</xdr:col>
      <xdr:colOff>542924</xdr:colOff>
      <xdr:row>11</xdr:row>
      <xdr:rowOff>104774</xdr:rowOff>
    </xdr:to>
    <xdr:sp macro="" textlink="">
      <xdr:nvSpPr>
        <xdr:cNvPr id="15" name="Rectangle 14"/>
        <xdr:cNvSpPr/>
      </xdr:nvSpPr>
      <xdr:spPr>
        <a:xfrm>
          <a:off x="7010399" y="1162049"/>
          <a:ext cx="1933575" cy="10382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428625</xdr:colOff>
      <xdr:row>7</xdr:row>
      <xdr:rowOff>57150</xdr:rowOff>
    </xdr:from>
    <xdr:to>
      <xdr:col>10</xdr:col>
      <xdr:colOff>323850</xdr:colOff>
      <xdr:row>11</xdr:row>
      <xdr:rowOff>38100</xdr:rowOff>
    </xdr:to>
    <xdr:sp macro="" textlink="">
      <xdr:nvSpPr>
        <xdr:cNvPr id="16" name="Oval 15"/>
        <xdr:cNvSpPr/>
      </xdr:nvSpPr>
      <xdr:spPr>
        <a:xfrm>
          <a:off x="6391275" y="1390650"/>
          <a:ext cx="504825" cy="7429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514350</xdr:colOff>
      <xdr:row>7</xdr:row>
      <xdr:rowOff>57150</xdr:rowOff>
    </xdr:from>
    <xdr:to>
      <xdr:col>8</xdr:col>
      <xdr:colOff>409575</xdr:colOff>
      <xdr:row>11</xdr:row>
      <xdr:rowOff>38100</xdr:rowOff>
    </xdr:to>
    <xdr:sp macro="" textlink="">
      <xdr:nvSpPr>
        <xdr:cNvPr id="17" name="Oval 16"/>
        <xdr:cNvSpPr/>
      </xdr:nvSpPr>
      <xdr:spPr>
        <a:xfrm>
          <a:off x="5257800" y="1390650"/>
          <a:ext cx="504825" cy="7429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76200</xdr:colOff>
      <xdr:row>7</xdr:row>
      <xdr:rowOff>66675</xdr:rowOff>
    </xdr:from>
    <xdr:to>
      <xdr:col>14</xdr:col>
      <xdr:colOff>581025</xdr:colOff>
      <xdr:row>11</xdr:row>
      <xdr:rowOff>47625</xdr:rowOff>
    </xdr:to>
    <xdr:sp macro="" textlink="">
      <xdr:nvSpPr>
        <xdr:cNvPr id="18" name="Oval 17"/>
        <xdr:cNvSpPr/>
      </xdr:nvSpPr>
      <xdr:spPr>
        <a:xfrm>
          <a:off x="9086850" y="1400175"/>
          <a:ext cx="504825" cy="7429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476250</xdr:colOff>
      <xdr:row>12</xdr:row>
      <xdr:rowOff>152400</xdr:rowOff>
    </xdr:from>
    <xdr:to>
      <xdr:col>11</xdr:col>
      <xdr:colOff>371475</xdr:colOff>
      <xdr:row>16</xdr:row>
      <xdr:rowOff>133350</xdr:rowOff>
    </xdr:to>
    <xdr:sp macro="" textlink="">
      <xdr:nvSpPr>
        <xdr:cNvPr id="19" name="Oval 18"/>
        <xdr:cNvSpPr/>
      </xdr:nvSpPr>
      <xdr:spPr>
        <a:xfrm>
          <a:off x="7048500" y="2438400"/>
          <a:ext cx="504825" cy="7429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17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17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</xdr:row>
      <xdr:rowOff>0</xdr:rowOff>
    </xdr:from>
    <xdr:to>
      <xdr:col>3</xdr:col>
      <xdr:colOff>0</xdr:colOff>
      <xdr:row>6</xdr:row>
      <xdr:rowOff>120650</xdr:rowOff>
    </xdr:to>
    <xdr:sp macro="" textlink="">
      <xdr:nvSpPr>
        <xdr:cNvPr id="2" name="Rectangle 1"/>
        <xdr:cNvSpPr/>
      </xdr:nvSpPr>
      <xdr:spPr>
        <a:xfrm>
          <a:off x="295275" y="571500"/>
          <a:ext cx="1533525" cy="6921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Nipol 1000x88 Rubber Input by Lot Number</a:t>
          </a:r>
        </a:p>
      </xdr:txBody>
    </xdr:sp>
    <xdr:clientData/>
  </xdr:twoCellAnchor>
  <xdr:twoCellAnchor>
    <xdr:from>
      <xdr:col>16</xdr:col>
      <xdr:colOff>390525</xdr:colOff>
      <xdr:row>3</xdr:row>
      <xdr:rowOff>0</xdr:rowOff>
    </xdr:from>
    <xdr:to>
      <xdr:col>19</xdr:col>
      <xdr:colOff>95250</xdr:colOff>
      <xdr:row>6</xdr:row>
      <xdr:rowOff>120650</xdr:rowOff>
    </xdr:to>
    <xdr:sp macro="" textlink="">
      <xdr:nvSpPr>
        <xdr:cNvPr id="7" name="Rectangle 6"/>
        <xdr:cNvSpPr/>
      </xdr:nvSpPr>
      <xdr:spPr>
        <a:xfrm>
          <a:off x="10144125" y="571500"/>
          <a:ext cx="1533525" cy="6921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AF-3X</a:t>
          </a:r>
          <a:r>
            <a:rPr lang="en-US" sz="1100" b="1" baseline="0">
              <a:solidFill>
                <a:schemeClr val="tx1"/>
              </a:solidFill>
            </a:rPr>
            <a:t> Production Yield &amp; Yield over time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4</xdr:row>
      <xdr:rowOff>155575</xdr:rowOff>
    </xdr:from>
    <xdr:to>
      <xdr:col>16</xdr:col>
      <xdr:colOff>390525</xdr:colOff>
      <xdr:row>4</xdr:row>
      <xdr:rowOff>155575</xdr:rowOff>
    </xdr:to>
    <xdr:cxnSp macro="">
      <xdr:nvCxnSpPr>
        <xdr:cNvPr id="9" name="Straight Arrow Connector 8"/>
        <xdr:cNvCxnSpPr>
          <a:stCxn id="2" idx="3"/>
          <a:endCxn id="7" idx="1"/>
        </xdr:cNvCxnSpPr>
      </xdr:nvCxnSpPr>
      <xdr:spPr>
        <a:xfrm>
          <a:off x="1828800" y="917575"/>
          <a:ext cx="83153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317500</xdr:colOff>
      <xdr:row>19</xdr:row>
      <xdr:rowOff>63500</xdr:rowOff>
    </xdr:from>
    <xdr:to>
      <xdr:col>12</xdr:col>
      <xdr:colOff>209550</xdr:colOff>
      <xdr:row>20</xdr:row>
      <xdr:rowOff>107950</xdr:rowOff>
    </xdr:to>
    <xdr:sp macro="" textlink="">
      <xdr:nvSpPr>
        <xdr:cNvPr id="22" name="TextBox 21"/>
        <xdr:cNvSpPr txBox="1"/>
      </xdr:nvSpPr>
      <xdr:spPr>
        <a:xfrm>
          <a:off x="5803900" y="3683000"/>
          <a:ext cx="1720850" cy="234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Get Yield on the Jumbo Level</a:t>
          </a:r>
        </a:p>
      </xdr:txBody>
    </xdr:sp>
    <xdr:clientData/>
  </xdr:twoCellAnchor>
  <xdr:twoCellAnchor>
    <xdr:from>
      <xdr:col>1</xdr:col>
      <xdr:colOff>63394</xdr:colOff>
      <xdr:row>6</xdr:row>
      <xdr:rowOff>164416</xdr:rowOff>
    </xdr:from>
    <xdr:to>
      <xdr:col>1</xdr:col>
      <xdr:colOff>511548</xdr:colOff>
      <xdr:row>15</xdr:row>
      <xdr:rowOff>28401</xdr:rowOff>
    </xdr:to>
    <xdr:sp macro="" textlink="">
      <xdr:nvSpPr>
        <xdr:cNvPr id="23" name="Curved Right Arrow 22"/>
        <xdr:cNvSpPr/>
      </xdr:nvSpPr>
      <xdr:spPr>
        <a:xfrm rot="20588572">
          <a:off x="672994" y="1307416"/>
          <a:ext cx="448154" cy="1578485"/>
        </a:xfrm>
        <a:prstGeom prst="curvedRightArrow">
          <a:avLst>
            <a:gd name="adj1" fmla="val 28248"/>
            <a:gd name="adj2" fmla="val 46789"/>
            <a:gd name="adj3" fmla="val 297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111125</xdr:colOff>
      <xdr:row>13</xdr:row>
      <xdr:rowOff>139700</xdr:rowOff>
    </xdr:from>
    <xdr:to>
      <xdr:col>16</xdr:col>
      <xdr:colOff>425450</xdr:colOff>
      <xdr:row>20</xdr:row>
      <xdr:rowOff>114300</xdr:rowOff>
    </xdr:to>
    <xdr:grpSp>
      <xdr:nvGrpSpPr>
        <xdr:cNvPr id="28" name="Group 27"/>
        <xdr:cNvGrpSpPr/>
      </xdr:nvGrpSpPr>
      <xdr:grpSpPr>
        <a:xfrm>
          <a:off x="1330325" y="2616200"/>
          <a:ext cx="8848725" cy="1308100"/>
          <a:chOff x="295275" y="2736850"/>
          <a:chExt cx="8848725" cy="1308100"/>
        </a:xfrm>
      </xdr:grpSpPr>
      <xdr:sp macro="" textlink="">
        <xdr:nvSpPr>
          <xdr:cNvPr id="12" name="Rectangle 11"/>
          <xdr:cNvSpPr/>
        </xdr:nvSpPr>
        <xdr:spPr>
          <a:xfrm>
            <a:off x="295275" y="2736850"/>
            <a:ext cx="1533525" cy="6921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Nipol 1000x88 Rubber Input by Lot Number and MMM_Id_Nbr</a:t>
            </a:r>
          </a:p>
        </xdr:txBody>
      </xdr:sp>
      <xdr:sp macro="" textlink="">
        <xdr:nvSpPr>
          <xdr:cNvPr id="13" name="Rectangle 12"/>
          <xdr:cNvSpPr/>
        </xdr:nvSpPr>
        <xdr:spPr>
          <a:xfrm>
            <a:off x="2124075" y="2736850"/>
            <a:ext cx="1533525" cy="6921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L-Calendar</a:t>
            </a:r>
            <a:r>
              <a:rPr lang="en-US" sz="1100" b="1" baseline="0">
                <a:solidFill>
                  <a:schemeClr val="tx1"/>
                </a:solidFill>
              </a:rPr>
              <a:t> Report_Nbr</a:t>
            </a:r>
            <a:endParaRPr lang="en-US" sz="1100" b="1">
              <a:solidFill>
                <a:schemeClr val="tx1"/>
              </a:solidFill>
            </a:endParaRPr>
          </a:p>
        </xdr:txBody>
      </xdr:sp>
      <xdr:cxnSp macro="">
        <xdr:nvCxnSpPr>
          <xdr:cNvPr id="16" name="Straight Arrow Connector 15"/>
          <xdr:cNvCxnSpPr>
            <a:stCxn id="12" idx="3"/>
            <a:endCxn id="13" idx="1"/>
          </xdr:cNvCxnSpPr>
        </xdr:nvCxnSpPr>
        <xdr:spPr>
          <a:xfrm>
            <a:off x="1828800" y="3082925"/>
            <a:ext cx="295275" cy="0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Rectangle 16"/>
          <xdr:cNvSpPr/>
        </xdr:nvSpPr>
        <xdr:spPr>
          <a:xfrm>
            <a:off x="3952875" y="2736850"/>
            <a:ext cx="1533525" cy="6921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AF-3X</a:t>
            </a:r>
            <a:r>
              <a:rPr lang="en-US" sz="1100" b="1" baseline="0">
                <a:solidFill>
                  <a:schemeClr val="tx1"/>
                </a:solidFill>
              </a:rPr>
              <a:t> Lot Number</a:t>
            </a:r>
            <a:endParaRPr lang="en-US" sz="1100" b="1">
              <a:solidFill>
                <a:schemeClr val="tx1"/>
              </a:solidFill>
            </a:endParaRPr>
          </a:p>
        </xdr:txBody>
      </xdr:sp>
      <xdr:cxnSp macro="">
        <xdr:nvCxnSpPr>
          <xdr:cNvPr id="18" name="Straight Arrow Connector 17"/>
          <xdr:cNvCxnSpPr/>
        </xdr:nvCxnSpPr>
        <xdr:spPr>
          <a:xfrm>
            <a:off x="3663950" y="3092450"/>
            <a:ext cx="295275" cy="0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/>
          <xdr:cNvCxnSpPr>
            <a:stCxn id="17" idx="2"/>
          </xdr:cNvCxnSpPr>
        </xdr:nvCxnSpPr>
        <xdr:spPr>
          <a:xfrm rot="16200000" flipH="1">
            <a:off x="5401469" y="2747169"/>
            <a:ext cx="615950" cy="1979612"/>
          </a:xfrm>
          <a:prstGeom prst="bentConnector2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Rectangle 23"/>
          <xdr:cNvSpPr/>
        </xdr:nvSpPr>
        <xdr:spPr>
          <a:xfrm>
            <a:off x="5781675" y="2736850"/>
            <a:ext cx="1533525" cy="6921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Slit</a:t>
            </a:r>
            <a:r>
              <a:rPr lang="en-US" sz="1100" b="1" baseline="0">
                <a:solidFill>
                  <a:schemeClr val="tx1"/>
                </a:solidFill>
              </a:rPr>
              <a:t>ting Production Report_Nbr</a:t>
            </a:r>
            <a:endParaRPr lang="en-US" sz="1100" b="1">
              <a:solidFill>
                <a:schemeClr val="tx1"/>
              </a:solidFill>
            </a:endParaRPr>
          </a:p>
        </xdr:txBody>
      </xdr:sp>
      <xdr:cxnSp macro="">
        <xdr:nvCxnSpPr>
          <xdr:cNvPr id="25" name="Straight Arrow Connector 24"/>
          <xdr:cNvCxnSpPr/>
        </xdr:nvCxnSpPr>
        <xdr:spPr>
          <a:xfrm>
            <a:off x="5492750" y="3079750"/>
            <a:ext cx="295275" cy="0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Rectangle 25"/>
          <xdr:cNvSpPr/>
        </xdr:nvSpPr>
        <xdr:spPr>
          <a:xfrm>
            <a:off x="7610475" y="2736850"/>
            <a:ext cx="1533525" cy="6921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Slit</a:t>
            </a:r>
            <a:r>
              <a:rPr lang="en-US" sz="1100" b="1" baseline="0">
                <a:solidFill>
                  <a:schemeClr val="tx1"/>
                </a:solidFill>
              </a:rPr>
              <a:t>ting Yield for AF-3X Lot and Slit Run</a:t>
            </a:r>
            <a:endParaRPr lang="en-US" sz="1100" b="1">
              <a:solidFill>
                <a:schemeClr val="tx1"/>
              </a:solidFill>
            </a:endParaRPr>
          </a:p>
        </xdr:txBody>
      </xdr:sp>
      <xdr:cxnSp macro="">
        <xdr:nvCxnSpPr>
          <xdr:cNvPr id="27" name="Straight Arrow Connector 26"/>
          <xdr:cNvCxnSpPr/>
        </xdr:nvCxnSpPr>
        <xdr:spPr>
          <a:xfrm>
            <a:off x="7321550" y="3086100"/>
            <a:ext cx="295275" cy="0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122529</xdr:colOff>
      <xdr:row>6</xdr:row>
      <xdr:rowOff>136674</xdr:rowOff>
    </xdr:from>
    <xdr:to>
      <xdr:col>18</xdr:col>
      <xdr:colOff>144921</xdr:colOff>
      <xdr:row>15</xdr:row>
      <xdr:rowOff>151753</xdr:rowOff>
    </xdr:to>
    <xdr:sp macro="" textlink="">
      <xdr:nvSpPr>
        <xdr:cNvPr id="29" name="Curved Right Arrow 28"/>
        <xdr:cNvSpPr/>
      </xdr:nvSpPr>
      <xdr:spPr>
        <a:xfrm rot="11789417">
          <a:off x="10485729" y="1279674"/>
          <a:ext cx="631992" cy="1729579"/>
        </a:xfrm>
        <a:prstGeom prst="curvedRightArrow">
          <a:avLst>
            <a:gd name="adj1" fmla="val 18271"/>
            <a:gd name="adj2" fmla="val 31793"/>
            <a:gd name="adj3" fmla="val 290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317500</xdr:colOff>
      <xdr:row>20</xdr:row>
      <xdr:rowOff>139700</xdr:rowOff>
    </xdr:from>
    <xdr:to>
      <xdr:col>12</xdr:col>
      <xdr:colOff>209550</xdr:colOff>
      <xdr:row>25</xdr:row>
      <xdr:rowOff>82550</xdr:rowOff>
    </xdr:to>
    <xdr:sp macro="" textlink="">
      <xdr:nvSpPr>
        <xdr:cNvPr id="30" name="TextBox 29"/>
        <xdr:cNvSpPr txBox="1"/>
      </xdr:nvSpPr>
      <xdr:spPr>
        <a:xfrm>
          <a:off x="5803900" y="3949700"/>
          <a:ext cx="1720850" cy="895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-</a:t>
          </a:r>
          <a:r>
            <a:rPr lang="en-US" sz="1000" baseline="0"/>
            <a:t> Number of rolls produced vs. released?</a:t>
          </a:r>
        </a:p>
        <a:p>
          <a:r>
            <a:rPr lang="en-US" sz="1000" baseline="0"/>
            <a:t>- Variances?</a:t>
          </a:r>
        </a:p>
        <a:p>
          <a:r>
            <a:rPr lang="en-US" sz="1000" baseline="0"/>
            <a:t>- Input SQYD vs. Output SQYD?</a:t>
          </a:r>
          <a:endParaRPr lang="en-US" sz="10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Soukup" refreshedDate="43802.677837152776" createdVersion="5" refreshedVersion="5" minRefreshableVersion="3" recordCount="155">
  <cacheSource type="worksheet">
    <worksheetSource name="AF30_ByRubLot"/>
  </cacheSource>
  <cacheFields count="25">
    <cacheField name="Rub Lot" numFmtId="0">
      <sharedItems count="12">
        <s v="1D6D527"/>
        <s v="1D6D528   "/>
        <s v="1D08J82"/>
        <s v="1D09L01"/>
        <s v="1D10L58"/>
        <s v="1D11J22"/>
        <s v="1D12F33"/>
        <s v="1D14A22"/>
        <s v="1D15C12"/>
        <s v="1D15D14"/>
        <s v="1D17B28"/>
        <s v="1D18C34"/>
      </sharedItems>
    </cacheField>
    <cacheField name="AF-30 Lot" numFmtId="0">
      <sharedItems/>
    </cacheField>
    <cacheField name="0-10" numFmtId="0">
      <sharedItems containsSemiMixedTypes="0" containsString="0" containsNumber="1" containsInteger="1" minValue="0" maxValue="0"/>
    </cacheField>
    <cacheField name="11-20" numFmtId="0">
      <sharedItems containsSemiMixedTypes="0" containsString="0" containsNumber="1" containsInteger="1" minValue="0" maxValue="0"/>
    </cacheField>
    <cacheField name="21-30" numFmtId="0">
      <sharedItems containsSemiMixedTypes="0" containsString="0" containsNumber="1" containsInteger="1" minValue="0" maxValue="1"/>
    </cacheField>
    <cacheField name="31-40" numFmtId="0">
      <sharedItems containsSemiMixedTypes="0" containsString="0" containsNumber="1" containsInteger="1" minValue="0" maxValue="1"/>
    </cacheField>
    <cacheField name="41-50" numFmtId="0">
      <sharedItems containsSemiMixedTypes="0" containsString="0" containsNumber="1" containsInteger="1" minValue="0" maxValue="2"/>
    </cacheField>
    <cacheField name="51-60" numFmtId="0">
      <sharedItems containsSemiMixedTypes="0" containsString="0" containsNumber="1" containsInteger="1" minValue="0" maxValue="2"/>
    </cacheField>
    <cacheField name="61-70" numFmtId="0">
      <sharedItems containsSemiMixedTypes="0" containsString="0" containsNumber="1" containsInteger="1" minValue="0" maxValue="5"/>
    </cacheField>
    <cacheField name="71-80" numFmtId="0">
      <sharedItems containsSemiMixedTypes="0" containsString="0" containsNumber="1" containsInteger="1" minValue="0" maxValue="4"/>
    </cacheField>
    <cacheField name="81-90" numFmtId="0">
      <sharedItems containsSemiMixedTypes="0" containsString="0" containsNumber="1" containsInteger="1" minValue="0" maxValue="2"/>
    </cacheField>
    <cacheField name="91-100" numFmtId="0">
      <sharedItems containsSemiMixedTypes="0" containsString="0" containsNumber="1" containsInteger="1" minValue="0" maxValue="5"/>
    </cacheField>
    <cacheField name="101-110" numFmtId="0">
      <sharedItems containsSemiMixedTypes="0" containsString="0" containsNumber="1" containsInteger="1" minValue="0" maxValue="3"/>
    </cacheField>
    <cacheField name="111-120" numFmtId="0">
      <sharedItems containsSemiMixedTypes="0" containsString="0" containsNumber="1" containsInteger="1" minValue="0" maxValue="3"/>
    </cacheField>
    <cacheField name="121-130" numFmtId="0">
      <sharedItems containsSemiMixedTypes="0" containsString="0" containsNumber="1" containsInteger="1" minValue="0" maxValue="3"/>
    </cacheField>
    <cacheField name="131-140" numFmtId="0">
      <sharedItems containsSemiMixedTypes="0" containsString="0" containsNumber="1" containsInteger="1" minValue="0" maxValue="0"/>
    </cacheField>
    <cacheField name="Shrinkage" numFmtId="0">
      <sharedItems containsString="0" containsBlank="1" containsNumber="1" containsInteger="1" minValue="0" maxValue="1"/>
    </cacheField>
    <cacheField name="Pinholes" numFmtId="0">
      <sharedItems containsString="0" containsBlank="1" containsNumber="1" containsInteger="1" minValue="0" maxValue="1"/>
    </cacheField>
    <cacheField name="Comments" numFmtId="0">
      <sharedItems containsBlank="1"/>
    </cacheField>
    <cacheField name="Total Charge" numFmtId="0">
      <sharedItems containsSemiMixedTypes="0" containsString="0" containsNumber="1" containsInteger="1" minValue="5" maxValue="13"/>
    </cacheField>
    <cacheField name="Color Grade" numFmtId="0">
      <sharedItems containsNonDate="0" containsString="0" containsBlank="1"/>
    </cacheField>
    <cacheField name="Yards Made" numFmtId="0">
      <sharedItems containsSemiMixedTypes="0" containsString="0" containsNumber="1" minValue="180.55555555555554" maxValue="3522.2222222222226"/>
    </cacheField>
    <cacheField name="Yards Produced" numFmtId="0">
      <sharedItems containsSemiMixedTypes="0" containsString="0" containsNumber="1" minValue="0" maxValue="3036"/>
    </cacheField>
    <cacheField name="Yield [=] %" numFmtId="0">
      <sharedItems containsSemiMixedTypes="0" containsString="0" containsNumber="1" minValue="0" maxValue="110.76923076923077"/>
    </cacheField>
    <cacheField name="Yield" numFmtId="0" formula=" ('Yards Produced'/'Yards Made'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hael Soukup" refreshedDate="43811.636426273151" createdVersion="5" refreshedVersion="5" minRefreshableVersion="3" recordCount="82">
  <cacheSource type="worksheet">
    <worksheetSource name="AF32percent"/>
  </cacheSource>
  <cacheFields count="24">
    <cacheField name="Rub Lot" numFmtId="0">
      <sharedItems count="16">
        <s v="1D06D527"/>
        <s v="1D06D528"/>
        <s v="1D08J82   "/>
        <s v="1D09L01   "/>
        <s v="1D11J22   "/>
        <s v="1D12F33   "/>
        <s v="1D12F33"/>
        <s v="1D14A22   "/>
        <s v="1D14A22"/>
        <s v="1D15C12   "/>
        <s v="1D15D14"/>
        <s v="1D17B28"/>
        <s v="1D18C34"/>
        <s v="1D18C36"/>
        <s v="1D6D527   " u="1"/>
        <s v="1D6D528   " u="1"/>
      </sharedItems>
    </cacheField>
    <cacheField name="AF-32 Lot" numFmtId="3">
      <sharedItems/>
    </cacheField>
    <cacheField name="0-10" numFmtId="0">
      <sharedItems containsSemiMixedTypes="0" containsString="0" containsNumber="1" containsInteger="1" minValue="0" maxValue="0"/>
    </cacheField>
    <cacheField name="11-20" numFmtId="0">
      <sharedItems containsSemiMixedTypes="0" containsString="0" containsNumber="1" containsInteger="1" minValue="0" maxValue="0"/>
    </cacheField>
    <cacheField name="21-30" numFmtId="0">
      <sharedItems containsSemiMixedTypes="0" containsString="0" containsNumber="1" minValue="0" maxValue="0.1"/>
    </cacheField>
    <cacheField name="31-40" numFmtId="0">
      <sharedItems containsSemiMixedTypes="0" containsString="0" containsNumber="1" minValue="0" maxValue="0.1"/>
    </cacheField>
    <cacheField name="41-50" numFmtId="0">
      <sharedItems containsSemiMixedTypes="0" containsString="0" containsNumber="1" minValue="0" maxValue="0.16666666666666666"/>
    </cacheField>
    <cacheField name="51-60" numFmtId="0">
      <sharedItems containsSemiMixedTypes="0" containsString="0" containsNumber="1" minValue="0" maxValue="0.2"/>
    </cacheField>
    <cacheField name="61-70" numFmtId="0">
      <sharedItems containsSemiMixedTypes="0" containsString="0" containsNumber="1" minValue="0" maxValue="0.5"/>
    </cacheField>
    <cacheField name="71-80" numFmtId="0">
      <sharedItems containsSemiMixedTypes="0" containsString="0" containsNumber="1" minValue="0" maxValue="0.5"/>
    </cacheField>
    <cacheField name="81-90" numFmtId="0">
      <sharedItems containsSemiMixedTypes="0" containsString="0" containsNumber="1" minValue="0" maxValue="0.4"/>
    </cacheField>
    <cacheField name="91-100" numFmtId="0">
      <sharedItems containsSemiMixedTypes="0" containsString="0" containsNumber="1" minValue="0" maxValue="0.5"/>
    </cacheField>
    <cacheField name="101-110" numFmtId="0">
      <sharedItems containsSemiMixedTypes="0" containsString="0" containsNumber="1" minValue="0" maxValue="0.3"/>
    </cacheField>
    <cacheField name="111-120" numFmtId="0">
      <sharedItems containsSemiMixedTypes="0" containsString="0" containsNumber="1" minValue="0" maxValue="0.25"/>
    </cacheField>
    <cacheField name="121-130" numFmtId="0">
      <sharedItems containsSemiMixedTypes="0" containsString="0" containsNumber="1" minValue="0" maxValue="0.3"/>
    </cacheField>
    <cacheField name="131-140" numFmtId="0">
      <sharedItems containsSemiMixedTypes="0" containsString="0" containsNumber="1" containsInteger="1" minValue="0" maxValue="0"/>
    </cacheField>
    <cacheField name="Shrinkage" numFmtId="0">
      <sharedItems containsString="0" containsBlank="1" containsNumber="1" containsInteger="1" minValue="0" maxValue="1"/>
    </cacheField>
    <cacheField name="Pinholes" numFmtId="0">
      <sharedItems containsString="0" containsBlank="1" containsNumber="1" containsInteger="1" minValue="0" maxValue="1"/>
    </cacheField>
    <cacheField name="Comments" numFmtId="0">
      <sharedItems containsBlank="1"/>
    </cacheField>
    <cacheField name="Total Charge" numFmtId="0">
      <sharedItems containsSemiMixedTypes="0" containsString="0" containsNumber="1" containsInteger="1" minValue="4" maxValue="13"/>
    </cacheField>
    <cacheField name="Yards Made" numFmtId="0">
      <sharedItems containsSemiMixedTypes="0" containsString="0" containsNumber="1" minValue="311.11111111111109" maxValue="2490.5555555555557"/>
    </cacheField>
    <cacheField name="Yards Produced" numFmtId="0">
      <sharedItems containsSemiMixedTypes="0" containsString="0" containsNumber="1" minValue="0" maxValue="1844.9999800000001"/>
    </cacheField>
    <cacheField name="Yield [=] %" numFmtId="0">
      <sharedItems containsSemiMixedTypes="0" containsString="0" containsNumber="1" minValue="0" maxValue="97.941176470588232"/>
    </cacheField>
    <cacheField name="Yield" numFmtId="0" formula="('Yards Produced' /'Yards Made' 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x v="0"/>
    <s v="8273AS 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1730.5555555555554"/>
    <n v="868"/>
    <n v="50.157303370786522"/>
  </r>
  <r>
    <x v="0"/>
    <s v="8263AH 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869.44444444444457"/>
    <n v="155"/>
    <n v="17.827476038338656"/>
  </r>
  <r>
    <x v="0"/>
    <s v="8224AN 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891.66666666666663"/>
    <n v="800.66664000000003"/>
    <n v="89.794389532710284"/>
  </r>
  <r>
    <x v="0"/>
    <s v="8197AT 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791.66666666666663"/>
    <n v="747"/>
    <n v="94.357894736842113"/>
  </r>
  <r>
    <x v="0"/>
    <s v="8183AN 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816.66666666666674"/>
    <n v="360"/>
    <n v="44.08163265306122"/>
  </r>
  <r>
    <x v="0"/>
    <s v="08138E8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3505.5555555555557"/>
    <n v="0"/>
    <n v="0"/>
  </r>
  <r>
    <x v="0"/>
    <s v="08137E8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855.55555555555566"/>
    <n v="840"/>
    <n v="98.181818181818173"/>
  </r>
  <r>
    <x v="0"/>
    <s v="08136E8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755.55555555555554"/>
    <n v="628.75"/>
    <n v="83.216911764705884"/>
  </r>
  <r>
    <x v="0"/>
    <s v="08135D8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763.88888888888891"/>
    <n v="0"/>
    <n v="0"/>
  </r>
  <r>
    <x v="0"/>
    <s v="08133C8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623.88888888888891"/>
    <n v="0"/>
    <n v="0"/>
  </r>
  <r>
    <x v="0"/>
    <s v="08132C8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688.88888888888891"/>
    <n v="0"/>
    <n v="0"/>
  </r>
  <r>
    <x v="0"/>
    <s v="08131B8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333.33333333333331"/>
    <n v="0"/>
    <n v="0"/>
  </r>
  <r>
    <x v="0"/>
    <s v="08130B8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869.44444444444434"/>
    <n v="0"/>
    <n v="0"/>
  </r>
  <r>
    <x v="0"/>
    <s v="08129A8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1660"/>
    <n v="600"/>
    <n v="36.144578313253014"/>
  </r>
  <r>
    <x v="0"/>
    <s v="07128M7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1684.4444444444443"/>
    <n v="0"/>
    <n v="0"/>
  </r>
  <r>
    <x v="0"/>
    <s v="07127M7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661.66666666666663"/>
    <n v="359.83329999999995"/>
    <n v="54.382866498740547"/>
  </r>
  <r>
    <x v="0"/>
    <s v="07125K7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916.66666666666663"/>
    <n v="0"/>
    <n v="0"/>
  </r>
  <r>
    <x v="0"/>
    <s v="07124K7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1707.2222222222224"/>
    <n v="1555.3333200000002"/>
    <n v="91.103155743573055"/>
  </r>
  <r>
    <x v="0"/>
    <s v="07123J7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766.66666666666674"/>
    <n v="320"/>
    <n v="41.739130434782609"/>
  </r>
  <r>
    <x v="0"/>
    <s v="07122H7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811.11111111111109"/>
    <n v="0"/>
    <n v="0"/>
  </r>
  <r>
    <x v="0"/>
    <s v="07121G7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769.44444444444446"/>
    <n v="0"/>
    <n v="0"/>
  </r>
  <r>
    <x v="0"/>
    <s v="07120G7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1084.4444444444443"/>
    <n v="0"/>
    <n v="0"/>
  </r>
  <r>
    <x v="0"/>
    <s v="07119G7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1044.4444444444446"/>
    <n v="480"/>
    <n v="45.957446808510632"/>
  </r>
  <r>
    <x v="0"/>
    <s v="07118F7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1008.3333333333334"/>
    <n v="0"/>
    <n v="0"/>
  </r>
  <r>
    <x v="0"/>
    <s v="07116E7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1976.6666666666667"/>
    <n v="480"/>
    <n v="24.283305227655987"/>
  </r>
  <r>
    <x v="0"/>
    <s v="07115D7   "/>
    <n v="0"/>
    <n v="0"/>
    <n v="0"/>
    <n v="1"/>
    <n v="2"/>
    <n v="2"/>
    <n v="1"/>
    <n v="1"/>
    <n v="0"/>
    <n v="2"/>
    <n v="1"/>
    <n v="3"/>
    <n v="0"/>
    <n v="0"/>
    <n v="0"/>
    <n v="0"/>
    <s v="Good"/>
    <n v="13"/>
    <m/>
    <n v="964.44444444444434"/>
    <n v="0"/>
    <n v="0"/>
  </r>
  <r>
    <x v="1"/>
    <s v="6107L6    "/>
    <n v="0"/>
    <n v="0"/>
    <n v="0"/>
    <n v="0"/>
    <n v="1"/>
    <n v="1"/>
    <n v="1"/>
    <n v="0"/>
    <n v="0"/>
    <n v="2"/>
    <n v="1"/>
    <n v="0"/>
    <n v="0"/>
    <n v="0"/>
    <n v="0"/>
    <n v="0"/>
    <s v="Good"/>
    <n v="6"/>
    <m/>
    <n v="1075"/>
    <n v="1161.6666599999999"/>
    <n v="108.06201488372092"/>
  </r>
  <r>
    <x v="1"/>
    <s v="07114D7   "/>
    <n v="0"/>
    <n v="0"/>
    <n v="0"/>
    <n v="0"/>
    <n v="1"/>
    <n v="1"/>
    <n v="1"/>
    <n v="0"/>
    <n v="0"/>
    <n v="2"/>
    <n v="1"/>
    <n v="0"/>
    <n v="0"/>
    <n v="0"/>
    <n v="0"/>
    <n v="0"/>
    <s v="Good"/>
    <n v="6"/>
    <m/>
    <n v="673.88888888888891"/>
    <n v="0"/>
    <n v="0"/>
  </r>
  <r>
    <x v="1"/>
    <s v="07113C7   "/>
    <n v="0"/>
    <n v="0"/>
    <n v="0"/>
    <n v="0"/>
    <n v="1"/>
    <n v="1"/>
    <n v="1"/>
    <n v="0"/>
    <n v="0"/>
    <n v="2"/>
    <n v="1"/>
    <n v="0"/>
    <n v="0"/>
    <n v="0"/>
    <n v="0"/>
    <n v="0"/>
    <s v="Good"/>
    <n v="6"/>
    <m/>
    <n v="1047.2222222222222"/>
    <n v="520"/>
    <n v="49.65517241379311"/>
  </r>
  <r>
    <x v="1"/>
    <s v="07112C7   "/>
    <n v="0"/>
    <n v="0"/>
    <n v="0"/>
    <n v="0"/>
    <n v="1"/>
    <n v="1"/>
    <n v="1"/>
    <n v="0"/>
    <n v="0"/>
    <n v="2"/>
    <n v="1"/>
    <n v="0"/>
    <n v="0"/>
    <n v="0"/>
    <n v="0"/>
    <n v="0"/>
    <s v="Good"/>
    <n v="6"/>
    <m/>
    <n v="645"/>
    <n v="440"/>
    <n v="68.217054263565885"/>
  </r>
  <r>
    <x v="1"/>
    <s v="07111B7   "/>
    <n v="0"/>
    <n v="0"/>
    <n v="0"/>
    <n v="0"/>
    <n v="1"/>
    <n v="1"/>
    <n v="1"/>
    <n v="0"/>
    <n v="0"/>
    <n v="2"/>
    <n v="1"/>
    <n v="0"/>
    <n v="0"/>
    <n v="0"/>
    <n v="0"/>
    <n v="0"/>
    <s v="Good"/>
    <n v="6"/>
    <m/>
    <n v="1953.3333333333335"/>
    <n v="1121.6666599999999"/>
    <n v="57.423207849829339"/>
  </r>
  <r>
    <x v="1"/>
    <s v="07110A7   "/>
    <n v="0"/>
    <n v="0"/>
    <n v="0"/>
    <n v="0"/>
    <n v="1"/>
    <n v="1"/>
    <n v="1"/>
    <n v="0"/>
    <n v="0"/>
    <n v="2"/>
    <n v="1"/>
    <n v="0"/>
    <n v="0"/>
    <n v="0"/>
    <n v="0"/>
    <n v="0"/>
    <s v="Good"/>
    <n v="6"/>
    <m/>
    <n v="2113.8888888888887"/>
    <n v="560"/>
    <n v="26.491458607095929"/>
  </r>
  <r>
    <x v="2"/>
    <s v="9321AP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930.55555555555554"/>
    <n v="560"/>
    <n v="60.179104477611943"/>
  </r>
  <r>
    <x v="2"/>
    <s v="9285AY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955.55555555555554"/>
    <n v="885.33327999999995"/>
    <n v="92.651157209302326"/>
  </r>
  <r>
    <x v="2"/>
    <s v="9252AN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1605.5555555555557"/>
    <n v="1080"/>
    <n v="67.266435986159166"/>
  </r>
  <r>
    <x v="2"/>
    <s v="9236AZ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1143.3333333333333"/>
    <n v="320"/>
    <n v="27.988338192419825"/>
  </r>
  <r>
    <x v="2"/>
    <s v="9176AM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1077.7777777777778"/>
    <n v="992"/>
    <n v="92.041237113402047"/>
  </r>
  <r>
    <x v="2"/>
    <s v="9161AN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899.99999999999989"/>
    <n v="320"/>
    <n v="35.555555555555564"/>
  </r>
  <r>
    <x v="2"/>
    <s v="9147AS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500"/>
    <n v="480"/>
    <n v="96"/>
  </r>
  <r>
    <x v="2"/>
    <s v="9125AS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766.66666666666674"/>
    <n v="0"/>
    <n v="0"/>
  </r>
  <r>
    <x v="2"/>
    <s v="9106AW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291.66666666666669"/>
    <n v="80"/>
    <n v="27.428571428571423"/>
  </r>
  <r>
    <x v="2"/>
    <s v="9075AX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1461.1111111111111"/>
    <n v="877.5"/>
    <n v="60.057034220532323"/>
  </r>
  <r>
    <x v="2"/>
    <s v="9051AF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819.44444444444457"/>
    <n v="632"/>
    <n v="77.125423728813544"/>
  </r>
  <r>
    <x v="2"/>
    <s v="9021AP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1088.3333333333335"/>
    <n v="800"/>
    <n v="73.506891271056645"/>
  </r>
  <r>
    <x v="2"/>
    <s v="8347AH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811.1111111111112"/>
    <n v="395"/>
    <n v="48.698630136986296"/>
  </r>
  <r>
    <x v="2"/>
    <s v="8345AP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812.77777777777783"/>
    <n v="800"/>
    <n v="98.427887901572106"/>
  </r>
  <r>
    <x v="2"/>
    <s v="1034AK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1286.1111111111111"/>
    <n v="718.66663999999992"/>
    <n v="55.87904760259179"/>
  </r>
  <r>
    <x v="2"/>
    <s v="1019BB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222.22222222222223"/>
    <n v="0"/>
    <n v="0"/>
  </r>
  <r>
    <x v="2"/>
    <s v="1011AP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1038.8888888888889"/>
    <n v="0"/>
    <n v="0"/>
  </r>
  <r>
    <x v="2"/>
    <s v="0348AL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725"/>
    <n v="400"/>
    <n v="55.172413793103445"/>
  </r>
  <r>
    <x v="2"/>
    <s v="0300AK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925"/>
    <n v="600"/>
    <n v="64.86486486486487"/>
  </r>
  <r>
    <x v="2"/>
    <s v="0291AT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197.22222222222223"/>
    <n v="0"/>
    <n v="0"/>
  </r>
  <r>
    <x v="2"/>
    <s v="0291A7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619.44444444444446"/>
    <n v="470.75"/>
    <n v="75.995515695067269"/>
  </r>
  <r>
    <x v="2"/>
    <s v="0280AL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955.55555555555554"/>
    <n v="640"/>
    <n v="66.976744186046517"/>
  </r>
  <r>
    <x v="2"/>
    <s v="0257AQ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1824.4444444444443"/>
    <n v="1392"/>
    <n v="76.297198538367851"/>
  </r>
  <r>
    <x v="2"/>
    <s v="0228AS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894.44444444444434"/>
    <n v="480"/>
    <n v="53.664596273291934"/>
  </r>
  <r>
    <x v="2"/>
    <s v="0217AQ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1016.6666666666667"/>
    <n v="675.33331999999996"/>
    <n v="66.426228196721297"/>
  </r>
  <r>
    <x v="2"/>
    <s v="0182AP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983.33333333333326"/>
    <n v="643.33331999999996"/>
    <n v="65.423727457627123"/>
  </r>
  <r>
    <x v="2"/>
    <s v="0161AW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1731.6666666666665"/>
    <n v="1272"/>
    <n v="73.45524542829645"/>
  </r>
  <r>
    <x v="2"/>
    <s v="0124AQ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1172.2222222222224"/>
    <n v="680"/>
    <n v="58.009478672985772"/>
  </r>
  <r>
    <x v="2"/>
    <s v="0109AR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1105.5555555555557"/>
    <n v="712"/>
    <n v="64.402010050251249"/>
  </r>
  <r>
    <x v="2"/>
    <s v="0070AH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1730.5555555555557"/>
    <n v="1320"/>
    <n v="76.276083467094708"/>
  </r>
  <r>
    <x v="2"/>
    <s v="0060AY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730.55555555555554"/>
    <n v="0"/>
    <n v="0"/>
  </r>
  <r>
    <x v="2"/>
    <s v="0033AR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494.44444444444446"/>
    <n v="400"/>
    <n v="80.898876404494374"/>
  </r>
  <r>
    <x v="2"/>
    <s v="0018AY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605.55555555555554"/>
    <n v="440"/>
    <n v="72.660550458715605"/>
  </r>
  <r>
    <x v="2"/>
    <s v="0004A7    "/>
    <n v="0"/>
    <n v="0"/>
    <n v="1"/>
    <n v="0"/>
    <n v="0"/>
    <n v="2"/>
    <n v="0"/>
    <n v="0"/>
    <n v="1"/>
    <n v="0"/>
    <n v="3"/>
    <n v="0"/>
    <n v="3"/>
    <n v="0"/>
    <n v="0"/>
    <n v="0"/>
    <s v="Good"/>
    <n v="10"/>
    <m/>
    <n v="1375"/>
    <n v="1027"/>
    <n v="74.690909090909088"/>
  </r>
  <r>
    <x v="3"/>
    <s v="2131AN    "/>
    <n v="0"/>
    <n v="0"/>
    <n v="0"/>
    <n v="0"/>
    <n v="0"/>
    <n v="0"/>
    <n v="2"/>
    <n v="1"/>
    <n v="2"/>
    <n v="0"/>
    <n v="0"/>
    <n v="0"/>
    <n v="0"/>
    <n v="0"/>
    <n v="1"/>
    <n v="1"/>
    <s v="Holes and shrinkage"/>
    <n v="5"/>
    <m/>
    <n v="286.11111111111109"/>
    <n v="0"/>
    <n v="0"/>
  </r>
  <r>
    <x v="3"/>
    <s v="2130AM    "/>
    <n v="0"/>
    <n v="0"/>
    <n v="0"/>
    <n v="0"/>
    <n v="0"/>
    <n v="0"/>
    <n v="2"/>
    <n v="1"/>
    <n v="2"/>
    <n v="0"/>
    <n v="0"/>
    <n v="0"/>
    <n v="0"/>
    <n v="0"/>
    <n v="1"/>
    <n v="1"/>
    <s v="Holes and shrinkage"/>
    <n v="5"/>
    <m/>
    <n v="291.66666666666669"/>
    <n v="0"/>
    <n v="0"/>
  </r>
  <r>
    <x v="3"/>
    <s v="1214AD    "/>
    <n v="0"/>
    <n v="0"/>
    <n v="0"/>
    <n v="0"/>
    <n v="0"/>
    <n v="0"/>
    <n v="2"/>
    <n v="1"/>
    <n v="2"/>
    <n v="0"/>
    <n v="0"/>
    <n v="0"/>
    <n v="0"/>
    <n v="0"/>
    <n v="1"/>
    <n v="1"/>
    <s v="Holes and shrinkage"/>
    <n v="5"/>
    <m/>
    <n v="627.22222222222217"/>
    <n v="0"/>
    <n v="0"/>
  </r>
  <r>
    <x v="3"/>
    <s v="1205AB    "/>
    <n v="0"/>
    <n v="0"/>
    <n v="0"/>
    <n v="0"/>
    <n v="0"/>
    <n v="0"/>
    <n v="2"/>
    <n v="1"/>
    <n v="2"/>
    <n v="0"/>
    <n v="0"/>
    <n v="0"/>
    <n v="0"/>
    <n v="0"/>
    <n v="1"/>
    <n v="1"/>
    <s v="Holes and shrinkage"/>
    <n v="5"/>
    <m/>
    <n v="3522.2222222222226"/>
    <n v="1280"/>
    <n v="36.340694006309143"/>
  </r>
  <r>
    <x v="3"/>
    <s v="1174AL    "/>
    <n v="0"/>
    <n v="0"/>
    <n v="0"/>
    <n v="0"/>
    <n v="0"/>
    <n v="0"/>
    <n v="2"/>
    <n v="1"/>
    <n v="2"/>
    <n v="0"/>
    <n v="0"/>
    <n v="0"/>
    <n v="0"/>
    <n v="0"/>
    <n v="1"/>
    <n v="1"/>
    <s v="Holes and shrinkage"/>
    <n v="5"/>
    <m/>
    <n v="1888.8888888888891"/>
    <n v="1480"/>
    <n v="78.35294117647058"/>
  </r>
  <r>
    <x v="3"/>
    <s v="1121AC    "/>
    <n v="0"/>
    <n v="0"/>
    <n v="0"/>
    <n v="0"/>
    <n v="0"/>
    <n v="0"/>
    <n v="2"/>
    <n v="1"/>
    <n v="2"/>
    <n v="0"/>
    <n v="0"/>
    <n v="0"/>
    <n v="0"/>
    <n v="0"/>
    <n v="1"/>
    <n v="1"/>
    <s v="Holes and shrinkage"/>
    <n v="5"/>
    <m/>
    <n v="1988.8888888888887"/>
    <n v="1080"/>
    <n v="54.301675977653638"/>
  </r>
  <r>
    <x v="3"/>
    <s v="1087AS    "/>
    <n v="0"/>
    <n v="0"/>
    <n v="0"/>
    <n v="0"/>
    <n v="0"/>
    <n v="0"/>
    <n v="2"/>
    <n v="1"/>
    <n v="2"/>
    <n v="0"/>
    <n v="0"/>
    <n v="0"/>
    <n v="0"/>
    <n v="0"/>
    <n v="1"/>
    <n v="1"/>
    <s v="Holes and shrinkage"/>
    <n v="5"/>
    <m/>
    <n v="1451.6666666666665"/>
    <n v="883.33331999999996"/>
    <n v="60.849597244546501"/>
  </r>
  <r>
    <x v="3"/>
    <s v="1074AK    "/>
    <n v="0"/>
    <n v="0"/>
    <n v="0"/>
    <n v="0"/>
    <n v="0"/>
    <n v="0"/>
    <n v="2"/>
    <n v="1"/>
    <n v="2"/>
    <n v="0"/>
    <n v="0"/>
    <n v="0"/>
    <n v="0"/>
    <n v="0"/>
    <n v="1"/>
    <n v="1"/>
    <s v="Holes and shrinkage"/>
    <n v="5"/>
    <m/>
    <n v="1392.2222222222222"/>
    <n v="920"/>
    <n v="66.081404628890667"/>
  </r>
  <r>
    <x v="3"/>
    <s v="1063AJ    "/>
    <n v="0"/>
    <n v="0"/>
    <n v="0"/>
    <n v="0"/>
    <n v="0"/>
    <n v="0"/>
    <n v="2"/>
    <n v="1"/>
    <n v="2"/>
    <n v="0"/>
    <n v="0"/>
    <n v="0"/>
    <n v="0"/>
    <n v="0"/>
    <n v="1"/>
    <n v="1"/>
    <s v="Holes and shrinkage"/>
    <n v="5"/>
    <m/>
    <n v="688.88888888888891"/>
    <n v="120"/>
    <n v="17.419354838709676"/>
  </r>
  <r>
    <x v="4"/>
    <s v="1208AR    "/>
    <n v="0"/>
    <n v="0"/>
    <n v="0"/>
    <n v="0"/>
    <n v="0"/>
    <n v="0"/>
    <n v="2"/>
    <n v="0"/>
    <n v="2"/>
    <n v="0"/>
    <n v="1"/>
    <n v="0"/>
    <n v="1"/>
    <n v="0"/>
    <n v="0"/>
    <n v="0"/>
    <s v="Too hard"/>
    <n v="6"/>
    <m/>
    <n v="388.88888888888891"/>
    <n v="0"/>
    <n v="0"/>
  </r>
  <r>
    <x v="4"/>
    <s v="1146AQ    "/>
    <n v="0"/>
    <n v="0"/>
    <n v="0"/>
    <n v="0"/>
    <n v="0"/>
    <n v="0"/>
    <n v="2"/>
    <n v="0"/>
    <n v="2"/>
    <n v="0"/>
    <n v="1"/>
    <n v="0"/>
    <n v="1"/>
    <n v="0"/>
    <n v="0"/>
    <n v="0"/>
    <s v="Too hard"/>
    <n v="6"/>
    <m/>
    <n v="1919.4444444444446"/>
    <n v="1344"/>
    <n v="70.020260492040521"/>
  </r>
  <r>
    <x v="4"/>
    <s v="1055AK    "/>
    <n v="0"/>
    <n v="0"/>
    <n v="0"/>
    <n v="0"/>
    <n v="0"/>
    <n v="0"/>
    <n v="2"/>
    <n v="0"/>
    <n v="2"/>
    <n v="0"/>
    <n v="1"/>
    <n v="0"/>
    <n v="1"/>
    <n v="0"/>
    <n v="0"/>
    <n v="0"/>
    <s v="Too hard"/>
    <n v="6"/>
    <m/>
    <n v="669.44444444444446"/>
    <n v="258.33326"/>
    <n v="38.589200663900414"/>
  </r>
  <r>
    <x v="4"/>
    <s v="1045A4    "/>
    <n v="0"/>
    <n v="0"/>
    <n v="0"/>
    <n v="0"/>
    <n v="0"/>
    <n v="0"/>
    <n v="2"/>
    <n v="0"/>
    <n v="2"/>
    <n v="0"/>
    <n v="1"/>
    <n v="0"/>
    <n v="1"/>
    <n v="0"/>
    <n v="0"/>
    <n v="0"/>
    <s v="Too hard"/>
    <n v="6"/>
    <m/>
    <n v="1322.2222222222222"/>
    <n v="240"/>
    <n v="18.15126050420168"/>
  </r>
  <r>
    <x v="5"/>
    <s v="2249AM    "/>
    <n v="0"/>
    <n v="0"/>
    <n v="0"/>
    <n v="0"/>
    <n v="0"/>
    <n v="0"/>
    <n v="5"/>
    <n v="1"/>
    <n v="0"/>
    <n v="2"/>
    <n v="0"/>
    <n v="1"/>
    <n v="1"/>
    <n v="0"/>
    <n v="1"/>
    <n v="0"/>
    <s v="Shrinkage"/>
    <n v="10"/>
    <m/>
    <n v="2553.8888888888887"/>
    <n v="2081.6666599999999"/>
    <n v="81.509679965194692"/>
  </r>
  <r>
    <x v="5"/>
    <s v="2233BA    "/>
    <n v="0"/>
    <n v="0"/>
    <n v="0"/>
    <n v="0"/>
    <n v="0"/>
    <n v="0"/>
    <n v="5"/>
    <n v="1"/>
    <n v="0"/>
    <n v="2"/>
    <n v="0"/>
    <n v="1"/>
    <n v="1"/>
    <n v="0"/>
    <n v="1"/>
    <n v="0"/>
    <s v="Shrinkage"/>
    <n v="10"/>
    <m/>
    <n v="1860.5555555555554"/>
    <n v="1276"/>
    <n v="68.581666169005672"/>
  </r>
  <r>
    <x v="5"/>
    <s v="2205A3    "/>
    <n v="0"/>
    <n v="0"/>
    <n v="0"/>
    <n v="0"/>
    <n v="0"/>
    <n v="0"/>
    <n v="5"/>
    <n v="1"/>
    <n v="0"/>
    <n v="2"/>
    <n v="0"/>
    <n v="1"/>
    <n v="1"/>
    <n v="0"/>
    <n v="1"/>
    <n v="0"/>
    <s v="Shrinkage"/>
    <n v="10"/>
    <m/>
    <n v="2136.1111111111109"/>
    <n v="1280"/>
    <n v="59.921976592977899"/>
  </r>
  <r>
    <x v="5"/>
    <s v="2128AX    "/>
    <n v="0"/>
    <n v="0"/>
    <n v="0"/>
    <n v="0"/>
    <n v="0"/>
    <n v="0"/>
    <n v="5"/>
    <n v="1"/>
    <n v="0"/>
    <n v="2"/>
    <n v="0"/>
    <n v="1"/>
    <n v="1"/>
    <n v="0"/>
    <n v="1"/>
    <n v="0"/>
    <s v="Shrinkage"/>
    <n v="10"/>
    <m/>
    <n v="180.55555555555554"/>
    <n v="200"/>
    <n v="110.76923076923077"/>
  </r>
  <r>
    <x v="5"/>
    <s v="1290AV    "/>
    <n v="0"/>
    <n v="0"/>
    <n v="0"/>
    <n v="0"/>
    <n v="0"/>
    <n v="0"/>
    <n v="5"/>
    <n v="1"/>
    <n v="0"/>
    <n v="2"/>
    <n v="0"/>
    <n v="1"/>
    <n v="1"/>
    <n v="0"/>
    <n v="1"/>
    <n v="0"/>
    <s v="Shrinkage"/>
    <n v="10"/>
    <m/>
    <n v="2963.8888888888891"/>
    <n v="2352"/>
    <n v="79.35520149953139"/>
  </r>
  <r>
    <x v="6"/>
    <s v="7086AY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1966.6666666666665"/>
    <n v="1680"/>
    <n v="85.423728813559336"/>
  </r>
  <r>
    <x v="6"/>
    <s v="5300AM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1972.2222222222222"/>
    <n v="1832"/>
    <n v="92.89014084507042"/>
  </r>
  <r>
    <x v="6"/>
    <s v="5222A9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1944.4444444444443"/>
    <n v="1600"/>
    <n v="82.285714285714292"/>
  </r>
  <r>
    <x v="6"/>
    <s v="5125AW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2391.6666666666665"/>
    <n v="2269.6666599999999"/>
    <n v="94.898954425087112"/>
  </r>
  <r>
    <x v="6"/>
    <s v="5006AK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2324.9999999999995"/>
    <n v="2121.6666599999999"/>
    <n v="91.254480000000015"/>
  </r>
  <r>
    <x v="6"/>
    <s v="4295AM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1752.7777777777778"/>
    <n v="1320"/>
    <n v="75.309033280507137"/>
  </r>
  <r>
    <x v="6"/>
    <s v="4265A4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3269.4444444444448"/>
    <n v="3036"/>
    <n v="92.859813084112147"/>
  </r>
  <r>
    <x v="6"/>
    <s v="4174AX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2527.7777777777778"/>
    <n v="1989.6666599999999"/>
    <n v="78.712087648351641"/>
  </r>
  <r>
    <x v="6"/>
    <s v="4136AK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266.66666666666669"/>
    <n v="0"/>
    <n v="0"/>
  </r>
  <r>
    <x v="6"/>
    <s v="4132AW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1855.5555555555557"/>
    <n v="1681.6666599999999"/>
    <n v="90.628742155688613"/>
  </r>
  <r>
    <x v="6"/>
    <s v="4099AK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1983.3333333333333"/>
    <n v="1761.6666599999999"/>
    <n v="88.823529075630248"/>
  </r>
  <r>
    <x v="6"/>
    <s v="4063AQ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3002.7777777777778"/>
    <n v="2595.66662"/>
    <n v="86.442181609620718"/>
  </r>
  <r>
    <x v="6"/>
    <s v="4020A3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3057.2222222222217"/>
    <n v="2720"/>
    <n v="88.969652916590974"/>
  </r>
  <r>
    <x v="6"/>
    <s v="3351AX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1258.8888888888889"/>
    <n v="1028"/>
    <n v="81.659311562224175"/>
  </r>
  <r>
    <x v="6"/>
    <s v="3294A8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1702.7777777777778"/>
    <n v="1360"/>
    <n v="79.869494290375201"/>
  </r>
  <r>
    <x v="6"/>
    <s v="3260AX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1701.6666666666665"/>
    <n v="680"/>
    <n v="39.960822722820765"/>
  </r>
  <r>
    <x v="6"/>
    <s v="3204AU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1246.1111111111111"/>
    <n v="960"/>
    <n v="77.03967900133749"/>
  </r>
  <r>
    <x v="6"/>
    <s v="3196A4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1901.666666666667"/>
    <n v="1708"/>
    <n v="89.815950920245385"/>
  </r>
  <r>
    <x v="6"/>
    <s v="3168A7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1938.8888888888889"/>
    <n v="1480"/>
    <n v="76.332378223495695"/>
  </r>
  <r>
    <x v="6"/>
    <s v="3133A4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2618.3333333333335"/>
    <n v="2440"/>
    <n v="93.18905155951623"/>
  </r>
  <r>
    <x v="6"/>
    <s v="3098AP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2441.6666666666665"/>
    <n v="1984"/>
    <n v="81.255972696245735"/>
  </r>
  <r>
    <x v="6"/>
    <s v="3078AM    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2273.3333333333335"/>
    <n v="0"/>
    <n v="0"/>
  </r>
  <r>
    <x v="6"/>
    <s v="3049A3    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1877.2222222222222"/>
    <n v="720"/>
    <n v="38.354542764131402"/>
  </r>
  <r>
    <x v="6"/>
    <s v="3021A6    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1944.4444444444443"/>
    <n v="1708"/>
    <n v="87.84"/>
  </r>
  <r>
    <x v="6"/>
    <s v="3002A3    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1605.5555555555554"/>
    <n v="1440"/>
    <n v="89.688581314878903"/>
  </r>
  <r>
    <x v="6"/>
    <s v="2340AQ    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1722.2222222222224"/>
    <n v="1508"/>
    <n v="87.561290322580632"/>
  </r>
  <r>
    <x v="6"/>
    <s v="2307AN    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2328.3333333333335"/>
    <n v="2040"/>
    <n v="87.616320687186828"/>
  </r>
  <r>
    <x v="6"/>
    <s v="2291AJ    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2093.3333333333335"/>
    <n v="1560"/>
    <n v="74.522292993630572"/>
  </r>
  <r>
    <x v="6"/>
    <s v="2282AU    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1427.7777777777778"/>
    <n v="1280"/>
    <n v="89.649805447470811"/>
  </r>
  <r>
    <x v="6"/>
    <s v="2269AL    "/>
    <n v="0"/>
    <n v="0"/>
    <n v="0"/>
    <n v="1"/>
    <n v="1"/>
    <n v="0"/>
    <n v="0"/>
    <n v="1"/>
    <n v="1"/>
    <n v="5"/>
    <n v="1"/>
    <n v="0"/>
    <n v="0"/>
    <n v="0"/>
    <n v="0"/>
    <n v="0"/>
    <s v="Good"/>
    <n v="10"/>
    <m/>
    <n v="2370"/>
    <n v="2029.6666600000001"/>
    <n v="85.639943459915614"/>
  </r>
  <r>
    <x v="7"/>
    <s v="5089AY"/>
    <n v="0"/>
    <n v="0"/>
    <n v="0"/>
    <n v="0"/>
    <n v="0"/>
    <n v="1"/>
    <n v="1"/>
    <n v="3"/>
    <n v="1"/>
    <n v="0"/>
    <n v="0"/>
    <n v="2"/>
    <n v="0"/>
    <n v="0"/>
    <n v="1"/>
    <n v="0"/>
    <s v="Good though sometimes shrinkage"/>
    <n v="8"/>
    <m/>
    <n v="1958.3333333333333"/>
    <n v="1760"/>
    <n v="89.872340425531917"/>
  </r>
  <r>
    <x v="7"/>
    <s v="5047AR"/>
    <n v="0"/>
    <n v="0"/>
    <n v="0"/>
    <n v="0"/>
    <n v="0"/>
    <n v="1"/>
    <n v="1"/>
    <n v="3"/>
    <n v="1"/>
    <n v="0"/>
    <n v="0"/>
    <n v="2"/>
    <n v="0"/>
    <n v="0"/>
    <n v="1"/>
    <n v="0"/>
    <s v="Good though sometimes shrinkage"/>
    <n v="8"/>
    <m/>
    <n v="1836.1111111111111"/>
    <n v="1268"/>
    <n v="69.059001512859311"/>
  </r>
  <r>
    <x v="7"/>
    <s v="4335A4"/>
    <n v="0"/>
    <n v="0"/>
    <n v="0"/>
    <n v="0"/>
    <n v="0"/>
    <n v="1"/>
    <n v="1"/>
    <n v="3"/>
    <n v="1"/>
    <n v="0"/>
    <n v="0"/>
    <n v="2"/>
    <n v="0"/>
    <n v="0"/>
    <n v="1"/>
    <n v="0"/>
    <s v="Good though sometimes shrinkage"/>
    <n v="8"/>
    <m/>
    <n v="1605.5555555555557"/>
    <n v="1040"/>
    <n v="64.775086505190302"/>
  </r>
  <r>
    <x v="7"/>
    <s v="4225AR"/>
    <n v="0"/>
    <n v="0"/>
    <n v="0"/>
    <n v="0"/>
    <n v="0"/>
    <n v="1"/>
    <n v="1"/>
    <n v="3"/>
    <n v="1"/>
    <n v="0"/>
    <n v="0"/>
    <n v="2"/>
    <n v="0"/>
    <n v="0"/>
    <n v="1"/>
    <n v="0"/>
    <s v="Good though sometimes shrinkage"/>
    <n v="8"/>
    <m/>
    <n v="1975"/>
    <n v="1108"/>
    <n v="56.101265822784811"/>
  </r>
  <r>
    <x v="8"/>
    <s v="7338P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1963.8888888888887"/>
    <n v="1720"/>
    <n v="87.581329561527582"/>
  </r>
  <r>
    <x v="8"/>
    <s v="7282BF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1761.1111111111109"/>
    <n v="1672"/>
    <n v="94.940063091482656"/>
  </r>
  <r>
    <x v="8"/>
    <s v="7248CA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2033.3333333333333"/>
    <n v="1880"/>
    <n v="92.459016393442624"/>
  </r>
  <r>
    <x v="8"/>
    <s v="7205CA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2030.5555555555557"/>
    <n v="1872"/>
    <n v="92.191518467852248"/>
  </r>
  <r>
    <x v="8"/>
    <s v="7170A9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1930.5555555555554"/>
    <n v="960"/>
    <n v="49.726618705035975"/>
  </r>
  <r>
    <x v="8"/>
    <s v="7135AY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1788.8888888888887"/>
    <n v="1636"/>
    <n v="91.453416149068332"/>
  </r>
  <r>
    <x v="8"/>
    <s v="7079CE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1188.8888888888887"/>
    <n v="1081.9999600000001"/>
    <n v="91.009342429906567"/>
  </r>
  <r>
    <x v="8"/>
    <s v="7038AT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2009.4444444444443"/>
    <n v="1840"/>
    <n v="91.56759745645563"/>
  </r>
  <r>
    <x v="8"/>
    <s v="6347A9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2033.3333333333333"/>
    <n v="1595.3333200000002"/>
    <n v="78.459015737704931"/>
  </r>
  <r>
    <x v="8"/>
    <s v="6305CD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2644.4444444444443"/>
    <n v="2161.6666599999999"/>
    <n v="81.74369722689076"/>
  </r>
  <r>
    <x v="8"/>
    <s v="6278AR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1888.8888888888889"/>
    <n v="1606.6666399999999"/>
    <n v="85.058822117647054"/>
  </r>
  <r>
    <x v="8"/>
    <s v="6251A9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1694.4444444444443"/>
    <n v="1508"/>
    <n v="88.996721311475412"/>
  </r>
  <r>
    <x v="8"/>
    <s v="6214A3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2641.666666666667"/>
    <n v="2240"/>
    <n v="84.794952681387997"/>
  </r>
  <r>
    <x v="8"/>
    <s v="6147CK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1986.1111111111109"/>
    <n v="1793.6666599999999"/>
    <n v="90.310489174825179"/>
  </r>
  <r>
    <x v="8"/>
    <s v="6123CD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1961.1111111111111"/>
    <n v="1801.6666600000001"/>
    <n v="91.869688045325788"/>
  </r>
  <r>
    <x v="8"/>
    <s v="6060A4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2713.8888888888887"/>
    <n v="2552"/>
    <n v="94.03480040941659"/>
  </r>
  <r>
    <x v="8"/>
    <s v="6027AT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2533.3333333333335"/>
    <n v="2320"/>
    <n v="91.578947368421055"/>
  </r>
  <r>
    <x v="8"/>
    <s v="5350AP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2033.3333333333333"/>
    <n v="1876"/>
    <n v="92.26229508196721"/>
  </r>
  <r>
    <x v="8"/>
    <s v="5239AN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2651.6666666666665"/>
    <n v="2361.6666599999999"/>
    <n v="89.063481835323699"/>
  </r>
  <r>
    <x v="8"/>
    <s v="5180A7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2639.4444444444448"/>
    <n v="2348"/>
    <n v="88.958114081246038"/>
  </r>
  <r>
    <x v="8"/>
    <s v="5152A4"/>
    <n v="0"/>
    <n v="0"/>
    <n v="0"/>
    <n v="0"/>
    <n v="1"/>
    <n v="0"/>
    <n v="1"/>
    <n v="0"/>
    <n v="0"/>
    <n v="2"/>
    <n v="1"/>
    <n v="1"/>
    <n v="0"/>
    <n v="0"/>
    <n v="0"/>
    <n v="0"/>
    <s v="Good"/>
    <n v="6"/>
    <m/>
    <n v="2155.5555555555557"/>
    <n v="1840"/>
    <n v="85.360824742268036"/>
  </r>
  <r>
    <x v="9"/>
    <s v="6356AW"/>
    <n v="0"/>
    <n v="0"/>
    <n v="0"/>
    <n v="0"/>
    <n v="0"/>
    <n v="1"/>
    <n v="2"/>
    <n v="4"/>
    <n v="1"/>
    <n v="3"/>
    <n v="1"/>
    <n v="0"/>
    <n v="0"/>
    <n v="0"/>
    <n v="0"/>
    <n v="0"/>
    <s v="Okay"/>
    <n v="12"/>
    <m/>
    <n v="666.66666666666663"/>
    <n v="600"/>
    <n v="90"/>
  </r>
  <r>
    <x v="10"/>
    <s v="8177Q"/>
    <n v="0"/>
    <n v="0"/>
    <n v="0"/>
    <n v="0"/>
    <n v="0"/>
    <n v="1"/>
    <n v="1"/>
    <n v="1"/>
    <n v="1"/>
    <n v="2"/>
    <n v="1"/>
    <n v="0"/>
    <n v="0"/>
    <n v="0"/>
    <m/>
    <m/>
    <m/>
    <n v="7"/>
    <m/>
    <n v="2658.333333333333"/>
    <n v="2400"/>
    <n v="90.282131661442008"/>
  </r>
  <r>
    <x v="10"/>
    <s v="8162Q"/>
    <n v="0"/>
    <n v="0"/>
    <n v="0"/>
    <n v="0"/>
    <n v="0"/>
    <n v="1"/>
    <n v="1"/>
    <n v="1"/>
    <n v="1"/>
    <n v="2"/>
    <n v="1"/>
    <n v="0"/>
    <n v="0"/>
    <n v="0"/>
    <m/>
    <m/>
    <m/>
    <n v="7"/>
    <m/>
    <n v="2708.333333333333"/>
    <n v="2352"/>
    <n v="86.843076923076936"/>
  </r>
  <r>
    <x v="10"/>
    <s v="81075"/>
    <n v="0"/>
    <n v="0"/>
    <n v="0"/>
    <n v="0"/>
    <n v="0"/>
    <n v="1"/>
    <n v="1"/>
    <n v="1"/>
    <n v="1"/>
    <n v="2"/>
    <n v="1"/>
    <n v="0"/>
    <n v="0"/>
    <n v="0"/>
    <m/>
    <m/>
    <m/>
    <n v="7"/>
    <m/>
    <n v="300"/>
    <n v="200"/>
    <n v="66.666666666666657"/>
  </r>
  <r>
    <x v="10"/>
    <s v="8094Q"/>
    <n v="0"/>
    <n v="0"/>
    <n v="0"/>
    <n v="0"/>
    <n v="0"/>
    <n v="1"/>
    <n v="1"/>
    <n v="1"/>
    <n v="1"/>
    <n v="2"/>
    <n v="1"/>
    <n v="0"/>
    <n v="0"/>
    <n v="0"/>
    <m/>
    <m/>
    <m/>
    <n v="7"/>
    <m/>
    <n v="1930.5555555555557"/>
    <n v="836"/>
    <n v="43.303597122302158"/>
  </r>
  <r>
    <x v="10"/>
    <s v="8066T"/>
    <n v="0"/>
    <n v="0"/>
    <n v="0"/>
    <n v="0"/>
    <n v="0"/>
    <n v="1"/>
    <n v="1"/>
    <n v="1"/>
    <n v="1"/>
    <n v="2"/>
    <n v="1"/>
    <n v="0"/>
    <n v="0"/>
    <n v="0"/>
    <m/>
    <m/>
    <m/>
    <n v="7"/>
    <m/>
    <n v="2013.8888888888889"/>
    <n v="1236"/>
    <n v="61.373793103448271"/>
  </r>
  <r>
    <x v="10"/>
    <s v="8037T"/>
    <n v="0"/>
    <n v="0"/>
    <n v="0"/>
    <n v="0"/>
    <n v="0"/>
    <n v="1"/>
    <n v="1"/>
    <n v="1"/>
    <n v="1"/>
    <n v="2"/>
    <n v="1"/>
    <n v="0"/>
    <n v="0"/>
    <n v="0"/>
    <m/>
    <m/>
    <m/>
    <n v="7"/>
    <m/>
    <n v="1999.9999999999998"/>
    <n v="1756"/>
    <n v="87.800000000000011"/>
  </r>
  <r>
    <x v="11"/>
    <s v="90562"/>
    <n v="0"/>
    <n v="0"/>
    <n v="0"/>
    <n v="0"/>
    <n v="1"/>
    <n v="0"/>
    <n v="2"/>
    <n v="1"/>
    <n v="2"/>
    <n v="2"/>
    <n v="0"/>
    <n v="0"/>
    <n v="0"/>
    <n v="0"/>
    <m/>
    <m/>
    <m/>
    <n v="8"/>
    <m/>
    <n v="2644.4444444444443"/>
    <n v="2481.6666599999999"/>
    <n v="93.844537563025213"/>
  </r>
  <r>
    <x v="11"/>
    <s v="9028U"/>
    <n v="0"/>
    <n v="0"/>
    <n v="0"/>
    <n v="0"/>
    <n v="1"/>
    <n v="0"/>
    <n v="2"/>
    <n v="1"/>
    <n v="2"/>
    <n v="2"/>
    <n v="0"/>
    <n v="0"/>
    <n v="0"/>
    <n v="0"/>
    <m/>
    <m/>
    <m/>
    <n v="8"/>
    <m/>
    <n v="2472.2222222222222"/>
    <n v="2152"/>
    <n v="87.047191011235952"/>
  </r>
  <r>
    <x v="11"/>
    <s v="9007W"/>
    <n v="0"/>
    <n v="0"/>
    <n v="0"/>
    <n v="0"/>
    <n v="1"/>
    <n v="0"/>
    <n v="2"/>
    <n v="1"/>
    <n v="2"/>
    <n v="2"/>
    <n v="0"/>
    <n v="0"/>
    <n v="0"/>
    <n v="0"/>
    <m/>
    <m/>
    <m/>
    <n v="8"/>
    <m/>
    <n v="2530.5555555555557"/>
    <n v="2320"/>
    <n v="91.679473106476394"/>
  </r>
  <r>
    <x v="11"/>
    <s v="8337X"/>
    <n v="0"/>
    <n v="0"/>
    <n v="0"/>
    <n v="0"/>
    <n v="1"/>
    <n v="0"/>
    <n v="2"/>
    <n v="1"/>
    <n v="2"/>
    <n v="2"/>
    <n v="0"/>
    <n v="0"/>
    <n v="0"/>
    <n v="0"/>
    <m/>
    <m/>
    <m/>
    <n v="8"/>
    <m/>
    <n v="2380.5555555555557"/>
    <n v="2003.33332"/>
    <n v="84.154025110851805"/>
  </r>
  <r>
    <x v="11"/>
    <s v="8309W"/>
    <n v="0"/>
    <n v="0"/>
    <n v="0"/>
    <n v="0"/>
    <n v="1"/>
    <n v="0"/>
    <n v="2"/>
    <n v="1"/>
    <n v="2"/>
    <n v="2"/>
    <n v="0"/>
    <n v="0"/>
    <n v="0"/>
    <n v="0"/>
    <m/>
    <m/>
    <m/>
    <n v="8"/>
    <m/>
    <n v="2536.1111111111113"/>
    <n v="2032.9999800000001"/>
    <n v="80.162102168674693"/>
  </r>
  <r>
    <x v="11"/>
    <s v="8275N"/>
    <n v="0"/>
    <n v="0"/>
    <n v="0"/>
    <n v="0"/>
    <n v="1"/>
    <n v="0"/>
    <n v="2"/>
    <n v="1"/>
    <n v="2"/>
    <n v="2"/>
    <n v="0"/>
    <n v="0"/>
    <n v="0"/>
    <n v="0"/>
    <m/>
    <m/>
    <m/>
    <n v="8"/>
    <m/>
    <n v="2713.8888888888887"/>
    <n v="2120"/>
    <n v="78.116683725690891"/>
  </r>
  <r>
    <x v="11"/>
    <s v="82472"/>
    <n v="0"/>
    <n v="0"/>
    <n v="0"/>
    <n v="0"/>
    <n v="1"/>
    <n v="0"/>
    <n v="2"/>
    <n v="1"/>
    <n v="2"/>
    <n v="2"/>
    <n v="0"/>
    <n v="0"/>
    <n v="0"/>
    <n v="0"/>
    <m/>
    <m/>
    <m/>
    <n v="8"/>
    <m/>
    <n v="2750"/>
    <n v="2240"/>
    <n v="81.454545454545453"/>
  </r>
  <r>
    <x v="11"/>
    <s v="8229R"/>
    <n v="0"/>
    <n v="0"/>
    <n v="0"/>
    <n v="0"/>
    <n v="1"/>
    <n v="0"/>
    <n v="2"/>
    <n v="1"/>
    <n v="2"/>
    <n v="2"/>
    <n v="0"/>
    <n v="0"/>
    <n v="0"/>
    <n v="0"/>
    <m/>
    <m/>
    <m/>
    <n v="8"/>
    <m/>
    <n v="1277.7777777777778"/>
    <n v="1152"/>
    <n v="90.15652173913044"/>
  </r>
  <r>
    <x v="11"/>
    <s v="8213Q"/>
    <n v="0"/>
    <n v="0"/>
    <n v="0"/>
    <n v="0"/>
    <n v="1"/>
    <n v="0"/>
    <n v="2"/>
    <n v="1"/>
    <n v="2"/>
    <n v="2"/>
    <n v="0"/>
    <n v="0"/>
    <n v="0"/>
    <n v="0"/>
    <m/>
    <m/>
    <m/>
    <n v="8"/>
    <m/>
    <n v="1019.4444444444445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">
  <r>
    <x v="0"/>
    <s v="8218AQ    "/>
    <n v="0"/>
    <n v="0"/>
    <n v="0"/>
    <n v="7.6923076923076927E-2"/>
    <n v="0.15384615384615385"/>
    <n v="0.15384615384615385"/>
    <n v="7.6923076923076927E-2"/>
    <n v="7.6923076923076927E-2"/>
    <n v="0"/>
    <n v="0.15384615384615385"/>
    <n v="7.6923076923076927E-2"/>
    <n v="0.23076923076923078"/>
    <n v="0"/>
    <n v="0"/>
    <n v="0"/>
    <n v="0"/>
    <s v="Good"/>
    <n v="13"/>
    <n v="898.33333333333326"/>
    <n v="520"/>
    <n v="57.884972170686467"/>
  </r>
  <r>
    <x v="0"/>
    <s v="8196AT    "/>
    <n v="0"/>
    <n v="0"/>
    <n v="0"/>
    <n v="7.6923076923076927E-2"/>
    <n v="0.15384615384615385"/>
    <n v="0.15384615384615385"/>
    <n v="7.6923076923076927E-2"/>
    <n v="7.6923076923076927E-2"/>
    <n v="0"/>
    <n v="0.15384615384615385"/>
    <n v="7.6923076923076927E-2"/>
    <n v="0.23076923076923078"/>
    <n v="0"/>
    <n v="0"/>
    <n v="0"/>
    <n v="0"/>
    <s v="Good"/>
    <n v="13"/>
    <n v="755.55555555555554"/>
    <n v="740"/>
    <n v="97.941176470588232"/>
  </r>
  <r>
    <x v="0"/>
    <s v="08078E8   "/>
    <n v="0"/>
    <n v="0"/>
    <n v="0"/>
    <n v="7.6923076923076927E-2"/>
    <n v="0.15384615384615385"/>
    <n v="0.15384615384615385"/>
    <n v="7.6923076923076927E-2"/>
    <n v="7.6923076923076927E-2"/>
    <n v="0"/>
    <n v="0.15384615384615385"/>
    <n v="7.6923076923076927E-2"/>
    <n v="0.23076923076923078"/>
    <n v="0"/>
    <n v="0"/>
    <n v="0"/>
    <n v="0"/>
    <s v="Good"/>
    <n v="13"/>
    <n v="794.44444444444446"/>
    <n v="0"/>
    <n v="0"/>
  </r>
  <r>
    <x v="0"/>
    <s v="08077A8   "/>
    <n v="0"/>
    <n v="0"/>
    <n v="0"/>
    <n v="7.6923076923076927E-2"/>
    <n v="0.15384615384615385"/>
    <n v="0.15384615384615385"/>
    <n v="7.6923076923076927E-2"/>
    <n v="7.6923076923076927E-2"/>
    <n v="0"/>
    <n v="0.15384615384615385"/>
    <n v="7.6923076923076927E-2"/>
    <n v="0.23076923076923078"/>
    <n v="0"/>
    <n v="0"/>
    <n v="0"/>
    <n v="0"/>
    <s v="Good"/>
    <n v="13"/>
    <n v="994.44444444444457"/>
    <n v="0"/>
    <n v="0"/>
  </r>
  <r>
    <x v="0"/>
    <s v="07076M7   "/>
    <n v="0"/>
    <n v="0"/>
    <n v="0"/>
    <n v="7.6923076923076927E-2"/>
    <n v="0.15384615384615385"/>
    <n v="0.15384615384615385"/>
    <n v="7.6923076923076927E-2"/>
    <n v="7.6923076923076927E-2"/>
    <n v="0"/>
    <n v="0.15384615384615385"/>
    <n v="7.6923076923076927E-2"/>
    <n v="0.23076923076923078"/>
    <n v="0"/>
    <n v="0"/>
    <n v="0"/>
    <n v="0"/>
    <s v="Good"/>
    <n v="13"/>
    <n v="868.88888888888891"/>
    <n v="0"/>
    <n v="0"/>
  </r>
  <r>
    <x v="0"/>
    <s v="07074G7   "/>
    <n v="0"/>
    <n v="0"/>
    <n v="0"/>
    <n v="7.6923076923076927E-2"/>
    <n v="0.15384615384615385"/>
    <n v="0.15384615384615385"/>
    <n v="7.6923076923076927E-2"/>
    <n v="7.6923076923076927E-2"/>
    <n v="0"/>
    <n v="0.15384615384615385"/>
    <n v="7.6923076923076927E-2"/>
    <n v="0.23076923076923078"/>
    <n v="0"/>
    <n v="0"/>
    <n v="0"/>
    <n v="0"/>
    <s v="Good"/>
    <n v="13"/>
    <n v="913.33333333333326"/>
    <n v="0"/>
    <n v="0"/>
  </r>
  <r>
    <x v="0"/>
    <s v="07073G7   "/>
    <n v="0"/>
    <n v="0"/>
    <n v="0"/>
    <n v="7.6923076923076927E-2"/>
    <n v="0.15384615384615385"/>
    <n v="0.15384615384615385"/>
    <n v="7.6923076923076927E-2"/>
    <n v="7.6923076923076927E-2"/>
    <n v="0"/>
    <n v="0.15384615384615385"/>
    <n v="7.6923076923076927E-2"/>
    <n v="0.23076923076923078"/>
    <n v="0"/>
    <n v="0"/>
    <n v="0"/>
    <n v="0"/>
    <s v="Good"/>
    <n v="13"/>
    <n v="788.88888888888891"/>
    <n v="160"/>
    <n v="20.281690140845072"/>
  </r>
  <r>
    <x v="1"/>
    <s v="6069L6    "/>
    <n v="0"/>
    <n v="0"/>
    <n v="0"/>
    <n v="0"/>
    <n v="0.16666666666666666"/>
    <n v="0.16666666666666666"/>
    <n v="0.16666666666666666"/>
    <n v="0"/>
    <n v="0"/>
    <n v="0.33333333333333331"/>
    <n v="0.16666666666666666"/>
    <n v="0"/>
    <n v="0"/>
    <n v="0"/>
    <n v="0"/>
    <n v="0"/>
    <s v="Good"/>
    <n v="6"/>
    <n v="1045.5555555555557"/>
    <n v="0"/>
    <n v="0"/>
  </r>
  <r>
    <x v="1"/>
    <s v="07072C7   "/>
    <n v="0"/>
    <n v="0"/>
    <n v="0"/>
    <n v="0"/>
    <n v="0.16666666666666666"/>
    <n v="0.16666666666666666"/>
    <n v="0.16666666666666666"/>
    <n v="0"/>
    <n v="0"/>
    <n v="0.33333333333333331"/>
    <n v="0.16666666666666666"/>
    <n v="0"/>
    <n v="0"/>
    <n v="0"/>
    <n v="0"/>
    <n v="0"/>
    <s v="Good"/>
    <n v="6"/>
    <n v="1480.5555555555557"/>
    <n v="20"/>
    <n v="1.3508442776735459"/>
  </r>
  <r>
    <x v="1"/>
    <s v="07071A7   "/>
    <n v="0"/>
    <n v="0"/>
    <n v="0"/>
    <n v="0"/>
    <n v="0.16666666666666666"/>
    <n v="0.16666666666666666"/>
    <n v="0.16666666666666666"/>
    <n v="0"/>
    <n v="0"/>
    <n v="0.33333333333333331"/>
    <n v="0.16666666666666666"/>
    <n v="0"/>
    <n v="0"/>
    <n v="0"/>
    <n v="0"/>
    <n v="0"/>
    <s v="Good"/>
    <n v="6"/>
    <n v="980.55555555555554"/>
    <n v="0"/>
    <n v="0"/>
  </r>
  <r>
    <x v="2"/>
    <s v="9316AM    "/>
    <n v="0"/>
    <n v="0"/>
    <n v="0.1"/>
    <n v="0"/>
    <n v="0"/>
    <n v="0.2"/>
    <n v="0"/>
    <n v="0"/>
    <n v="0.1"/>
    <n v="0"/>
    <n v="0.3"/>
    <n v="0"/>
    <n v="0.3"/>
    <n v="0"/>
    <n v="0"/>
    <n v="0"/>
    <s v="Good"/>
    <n v="10"/>
    <n v="799.44444444444434"/>
    <n v="660"/>
    <n v="82.557331480194591"/>
  </r>
  <r>
    <x v="2"/>
    <s v="9278A3    "/>
    <n v="0"/>
    <n v="0"/>
    <n v="0.1"/>
    <n v="0"/>
    <n v="0"/>
    <n v="0.2"/>
    <n v="0"/>
    <n v="0"/>
    <n v="0.1"/>
    <n v="0"/>
    <n v="0.3"/>
    <n v="0"/>
    <n v="0.3"/>
    <n v="0"/>
    <n v="0"/>
    <n v="0"/>
    <s v="Good"/>
    <n v="10"/>
    <n v="977.77777777777783"/>
    <n v="720"/>
    <n v="73.636363636363626"/>
  </r>
  <r>
    <x v="2"/>
    <s v="9238AX    "/>
    <n v="0"/>
    <n v="0"/>
    <n v="0.1"/>
    <n v="0"/>
    <n v="0"/>
    <n v="0.2"/>
    <n v="0"/>
    <n v="0"/>
    <n v="0.1"/>
    <n v="0"/>
    <n v="0.3"/>
    <n v="0"/>
    <n v="0.3"/>
    <n v="0"/>
    <n v="0"/>
    <n v="0"/>
    <s v="Good"/>
    <n v="10"/>
    <n v="577.22222222222217"/>
    <n v="493.33327999999995"/>
    <n v="85.466785755534175"/>
  </r>
  <r>
    <x v="2"/>
    <s v="9168AN    "/>
    <n v="0"/>
    <n v="0"/>
    <n v="0.1"/>
    <n v="0"/>
    <n v="0"/>
    <n v="0.2"/>
    <n v="0"/>
    <n v="0"/>
    <n v="0.1"/>
    <n v="0"/>
    <n v="0.3"/>
    <n v="0"/>
    <n v="0.3"/>
    <n v="0"/>
    <n v="0"/>
    <n v="0"/>
    <s v="Good"/>
    <n v="10"/>
    <n v="883.33333333333326"/>
    <n v="420"/>
    <n v="47.547169811320764"/>
  </r>
  <r>
    <x v="2"/>
    <s v="9126AW    "/>
    <n v="0"/>
    <n v="0"/>
    <n v="0.1"/>
    <n v="0"/>
    <n v="0"/>
    <n v="0.2"/>
    <n v="0"/>
    <n v="0"/>
    <n v="0.1"/>
    <n v="0"/>
    <n v="0.3"/>
    <n v="0"/>
    <n v="0.3"/>
    <n v="0"/>
    <n v="0"/>
    <n v="0"/>
    <s v="Good"/>
    <n v="10"/>
    <n v="477.77777777777777"/>
    <n v="423.33332000000001"/>
    <n v="88.604648372093038"/>
  </r>
  <r>
    <x v="2"/>
    <s v="9050AG    "/>
    <n v="0"/>
    <n v="0"/>
    <n v="0.1"/>
    <n v="0"/>
    <n v="0"/>
    <n v="0.2"/>
    <n v="0"/>
    <n v="0"/>
    <n v="0.1"/>
    <n v="0"/>
    <n v="0.3"/>
    <n v="0"/>
    <n v="0.3"/>
    <n v="0"/>
    <n v="0"/>
    <n v="0"/>
    <s v="Good"/>
    <n v="10"/>
    <n v="733.33333333333337"/>
    <n v="660"/>
    <n v="89.999999999999986"/>
  </r>
  <r>
    <x v="2"/>
    <s v="1013AK    "/>
    <n v="0"/>
    <n v="0"/>
    <n v="0.1"/>
    <n v="0"/>
    <n v="0"/>
    <n v="0.2"/>
    <n v="0"/>
    <n v="0"/>
    <n v="0.1"/>
    <n v="0"/>
    <n v="0.3"/>
    <n v="0"/>
    <n v="0.3"/>
    <n v="0"/>
    <n v="0"/>
    <n v="0"/>
    <s v="Good"/>
    <n v="10"/>
    <n v="888.88888888888891"/>
    <n v="480"/>
    <n v="54"/>
  </r>
  <r>
    <x v="2"/>
    <s v="0344AE    "/>
    <n v="0"/>
    <n v="0"/>
    <n v="0.1"/>
    <n v="0"/>
    <n v="0"/>
    <n v="0.2"/>
    <n v="0"/>
    <n v="0"/>
    <n v="0.1"/>
    <n v="0"/>
    <n v="0.3"/>
    <n v="0"/>
    <n v="0.3"/>
    <n v="0"/>
    <n v="0"/>
    <n v="0"/>
    <s v="Good"/>
    <n v="10"/>
    <n v="897.22222222222229"/>
    <n v="720"/>
    <n v="80.24767801857584"/>
  </r>
  <r>
    <x v="2"/>
    <s v="0201AK    "/>
    <n v="0"/>
    <n v="0"/>
    <n v="0.1"/>
    <n v="0"/>
    <n v="0"/>
    <n v="0.2"/>
    <n v="0"/>
    <n v="0"/>
    <n v="0.1"/>
    <n v="0"/>
    <n v="0.3"/>
    <n v="0"/>
    <n v="0.3"/>
    <n v="0"/>
    <n v="0"/>
    <n v="0"/>
    <s v="Good"/>
    <n v="10"/>
    <n v="994.44444444444457"/>
    <n v="853.33327999999983"/>
    <n v="85.810050502793274"/>
  </r>
  <r>
    <x v="2"/>
    <s v="0172AY    "/>
    <n v="0"/>
    <n v="0"/>
    <n v="0.1"/>
    <n v="0"/>
    <n v="0"/>
    <n v="0.2"/>
    <n v="0"/>
    <n v="0"/>
    <n v="0.1"/>
    <n v="0"/>
    <n v="0.3"/>
    <n v="0"/>
    <n v="0.3"/>
    <n v="0"/>
    <n v="0"/>
    <n v="0"/>
    <s v="Good"/>
    <n v="10"/>
    <n v="522.22222222222217"/>
    <n v="463.33332000000001"/>
    <n v="88.723401702127674"/>
  </r>
  <r>
    <x v="2"/>
    <s v="0122AD    "/>
    <n v="0"/>
    <n v="0"/>
    <n v="0.1"/>
    <n v="0"/>
    <n v="0"/>
    <n v="0.2"/>
    <n v="0"/>
    <n v="0"/>
    <n v="0.1"/>
    <n v="0"/>
    <n v="0.3"/>
    <n v="0"/>
    <n v="0.3"/>
    <n v="0"/>
    <n v="0"/>
    <n v="0"/>
    <s v="Good"/>
    <n v="10"/>
    <n v="1241.6666666666667"/>
    <n v="1103.33332"/>
    <n v="88.859059328859047"/>
  </r>
  <r>
    <x v="2"/>
    <s v="0057AJ    "/>
    <n v="0"/>
    <n v="0"/>
    <n v="0.1"/>
    <n v="0"/>
    <n v="0"/>
    <n v="0.2"/>
    <n v="0"/>
    <n v="0"/>
    <n v="0.1"/>
    <n v="0"/>
    <n v="0.3"/>
    <n v="0"/>
    <n v="0.3"/>
    <n v="0"/>
    <n v="0"/>
    <n v="0"/>
    <s v="Good"/>
    <n v="10"/>
    <n v="694.44444444444446"/>
    <n v="460"/>
    <n v="66.239999999999995"/>
  </r>
  <r>
    <x v="2"/>
    <s v="0020AS    "/>
    <n v="0"/>
    <n v="0"/>
    <n v="0.1"/>
    <n v="0"/>
    <n v="0"/>
    <n v="0.2"/>
    <n v="0"/>
    <n v="0"/>
    <n v="0.1"/>
    <n v="0"/>
    <n v="0.3"/>
    <n v="0"/>
    <n v="0.3"/>
    <n v="0"/>
    <n v="0"/>
    <n v="0"/>
    <s v="Good"/>
    <n v="10"/>
    <n v="552.77777777777783"/>
    <n v="520"/>
    <n v="94.070351758793961"/>
  </r>
  <r>
    <x v="3"/>
    <s v="1215AX    "/>
    <n v="0"/>
    <n v="0"/>
    <n v="0"/>
    <n v="0"/>
    <n v="0"/>
    <n v="0"/>
    <n v="0.4"/>
    <n v="0.2"/>
    <n v="0.4"/>
    <n v="0"/>
    <n v="0"/>
    <n v="0"/>
    <n v="0"/>
    <n v="0"/>
    <n v="1"/>
    <n v="1"/>
    <s v="Holes and shrinkage"/>
    <n v="5"/>
    <n v="2270"/>
    <n v="0"/>
    <n v="0"/>
  </r>
  <r>
    <x v="3"/>
    <s v="1164AZ    "/>
    <n v="0"/>
    <n v="0"/>
    <n v="0"/>
    <n v="0"/>
    <n v="0"/>
    <n v="0"/>
    <n v="0.4"/>
    <n v="0.2"/>
    <n v="0.4"/>
    <n v="0"/>
    <n v="0"/>
    <n v="0"/>
    <n v="0"/>
    <n v="0"/>
    <n v="1"/>
    <n v="1"/>
    <s v="Holes and shrinkage"/>
    <n v="5"/>
    <n v="2291.666666666667"/>
    <n v="901.66665999999998"/>
    <n v="39.345454254545444"/>
  </r>
  <r>
    <x v="3"/>
    <s v="1137AS    "/>
    <n v="0"/>
    <n v="0"/>
    <n v="0"/>
    <n v="0"/>
    <n v="0"/>
    <n v="0"/>
    <n v="0.4"/>
    <n v="0.2"/>
    <n v="0.4"/>
    <n v="0"/>
    <n v="0"/>
    <n v="0"/>
    <n v="0"/>
    <n v="0"/>
    <n v="1"/>
    <n v="1"/>
    <s v="Holes and shrinkage"/>
    <n v="5"/>
    <n v="2433.3333333333335"/>
    <n v="20"/>
    <n v="0.82191780821917804"/>
  </r>
  <r>
    <x v="3"/>
    <s v="1119AK    "/>
    <n v="0"/>
    <n v="0"/>
    <n v="0"/>
    <n v="0"/>
    <n v="0"/>
    <n v="0"/>
    <n v="0.4"/>
    <n v="0.2"/>
    <n v="0.4"/>
    <n v="0"/>
    <n v="0"/>
    <n v="0"/>
    <n v="0"/>
    <n v="0"/>
    <n v="1"/>
    <n v="1"/>
    <s v="Holes and shrinkage"/>
    <n v="5"/>
    <n v="1797.2222222222222"/>
    <n v="640"/>
    <n v="35.610510046367857"/>
  </r>
  <r>
    <x v="3"/>
    <s v="1080AL    "/>
    <n v="0"/>
    <n v="0"/>
    <n v="0"/>
    <n v="0"/>
    <n v="0"/>
    <n v="0"/>
    <n v="0.4"/>
    <n v="0.2"/>
    <n v="0.4"/>
    <n v="0"/>
    <n v="0"/>
    <n v="0"/>
    <n v="0"/>
    <n v="0"/>
    <n v="1"/>
    <n v="1"/>
    <s v="Holes and shrinkage"/>
    <n v="5"/>
    <n v="825"/>
    <n v="80"/>
    <n v="9.6969696969696972"/>
  </r>
  <r>
    <x v="4"/>
    <s v="2228AN    "/>
    <n v="0"/>
    <n v="0"/>
    <n v="0"/>
    <n v="0"/>
    <n v="0"/>
    <n v="0"/>
    <n v="0.5"/>
    <n v="0.1"/>
    <n v="0"/>
    <n v="0.2"/>
    <n v="0"/>
    <n v="0.1"/>
    <n v="0.1"/>
    <n v="0"/>
    <n v="1"/>
    <n v="0"/>
    <s v="Shrinkage"/>
    <n v="10"/>
    <n v="1538.8888888888889"/>
    <n v="1180"/>
    <n v="76.678700361010826"/>
  </r>
  <r>
    <x v="4"/>
    <s v="2212AX    "/>
    <n v="0"/>
    <n v="0"/>
    <n v="0"/>
    <n v="0"/>
    <n v="0"/>
    <n v="0"/>
    <n v="0.5"/>
    <n v="0.1"/>
    <n v="0"/>
    <n v="0.2"/>
    <n v="0"/>
    <n v="0.1"/>
    <n v="0.1"/>
    <n v="0"/>
    <n v="1"/>
    <n v="0"/>
    <s v="Shrinkage"/>
    <n v="10"/>
    <n v="891.66666666666663"/>
    <n v="680"/>
    <n v="76.261682242990659"/>
  </r>
  <r>
    <x v="4"/>
    <s v="2184AX    "/>
    <n v="0"/>
    <n v="0"/>
    <n v="0"/>
    <n v="0"/>
    <n v="0"/>
    <n v="0"/>
    <n v="0.5"/>
    <n v="0.1"/>
    <n v="0"/>
    <n v="0.2"/>
    <n v="0"/>
    <n v="0.1"/>
    <n v="0.1"/>
    <n v="0"/>
    <n v="1"/>
    <n v="0"/>
    <s v="Shrinkage"/>
    <n v="10"/>
    <n v="812.22222222222229"/>
    <n v="623.33331999999996"/>
    <n v="76.744184404924752"/>
  </r>
  <r>
    <x v="4"/>
    <s v="2074AM    "/>
    <n v="0"/>
    <n v="0"/>
    <n v="0"/>
    <n v="0"/>
    <n v="0"/>
    <n v="0"/>
    <n v="0.5"/>
    <n v="0.1"/>
    <n v="0"/>
    <n v="0.2"/>
    <n v="0"/>
    <n v="0.1"/>
    <n v="0.1"/>
    <n v="0"/>
    <n v="1"/>
    <n v="0"/>
    <s v="Shrinkage"/>
    <n v="10"/>
    <n v="1716.6666666666667"/>
    <n v="120"/>
    <n v="6.9902912621359228"/>
  </r>
  <r>
    <x v="4"/>
    <s v="2038AJ    "/>
    <n v="0"/>
    <n v="0"/>
    <n v="0"/>
    <n v="0"/>
    <n v="0"/>
    <n v="0"/>
    <n v="0.5"/>
    <n v="0.1"/>
    <n v="0"/>
    <n v="0.2"/>
    <n v="0"/>
    <n v="0.1"/>
    <n v="0.1"/>
    <n v="0"/>
    <n v="1"/>
    <n v="0"/>
    <s v="Shrinkage"/>
    <n v="10"/>
    <n v="1694.4444444444443"/>
    <n v="1460"/>
    <n v="86.163934426229517"/>
  </r>
  <r>
    <x v="4"/>
    <s v="1284AP    "/>
    <n v="0"/>
    <n v="0"/>
    <n v="0"/>
    <n v="0"/>
    <n v="0"/>
    <n v="0"/>
    <n v="0.5"/>
    <n v="0.1"/>
    <n v="0"/>
    <n v="0.2"/>
    <n v="0"/>
    <n v="0.1"/>
    <n v="0.1"/>
    <n v="0"/>
    <n v="1"/>
    <n v="0"/>
    <s v="Shrinkage"/>
    <n v="10"/>
    <n v="1133.3333333333333"/>
    <n v="883.33323999999982"/>
    <n v="77.941168235294114"/>
  </r>
  <r>
    <x v="4"/>
    <s v="1272AL    "/>
    <n v="0"/>
    <n v="0"/>
    <n v="0"/>
    <n v="0"/>
    <n v="0"/>
    <n v="0"/>
    <n v="0.5"/>
    <n v="0.1"/>
    <n v="0"/>
    <n v="0.2"/>
    <n v="0"/>
    <n v="0.1"/>
    <n v="0.1"/>
    <n v="0"/>
    <n v="1"/>
    <n v="0"/>
    <s v="Shrinkage"/>
    <n v="10"/>
    <n v="641.66666666666674"/>
    <n v="520"/>
    <n v="81.038961038961034"/>
  </r>
  <r>
    <x v="5"/>
    <s v="5264A3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455.55555555555554"/>
    <n v="420"/>
    <n v="92.195121951219519"/>
  </r>
  <r>
    <x v="6"/>
    <s v="5229A7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1611.1111111111111"/>
    <n v="1460"/>
    <n v="90.620689655172413"/>
  </r>
  <r>
    <x v="6"/>
    <s v="5181AL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1577.7777777777778"/>
    <n v="1083.33332"/>
    <n v="68.661970985915488"/>
  </r>
  <r>
    <x v="6"/>
    <s v="5040AW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1615.5555555555554"/>
    <n v="1403.33332"/>
    <n v="86.863823108665756"/>
  </r>
  <r>
    <x v="6"/>
    <s v="5014AM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777.77777777777783"/>
    <n v="280"/>
    <n v="36"/>
  </r>
  <r>
    <x v="6"/>
    <s v="4337AT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1600"/>
    <n v="1503.33332"/>
    <n v="93.958332499999997"/>
  </r>
  <r>
    <x v="6"/>
    <s v="4279A7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1244.4444444444443"/>
    <n v="1140"/>
    <n v="91.607142857142861"/>
  </r>
  <r>
    <x v="6"/>
    <s v="4125AT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1594.4444444444443"/>
    <n v="1340"/>
    <n v="84.041811846689896"/>
  </r>
  <r>
    <x v="6"/>
    <s v="4083A6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1519.4444444444446"/>
    <n v="1320"/>
    <n v="86.873857404021919"/>
  </r>
  <r>
    <x v="6"/>
    <s v="4044AK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2156.6666666666665"/>
    <n v="1508.3332999999998"/>
    <n v="69.938174652241102"/>
  </r>
  <r>
    <x v="6"/>
    <s v="4013AY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2490.5555555555557"/>
    <n v="1844.9999800000001"/>
    <n v="74.079856435422712"/>
  </r>
  <r>
    <x v="6"/>
    <s v="3288AN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1105.5555555555557"/>
    <n v="740"/>
    <n v="66.934673366834161"/>
  </r>
  <r>
    <x v="6"/>
    <s v="3217AX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1073.3333333333335"/>
    <n v="0"/>
    <n v="0"/>
  </r>
  <r>
    <x v="6"/>
    <s v="3149AK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1422.7777777777778"/>
    <n v="1326.6666399999999"/>
    <n v="93.244824365482231"/>
  </r>
  <r>
    <x v="5"/>
    <s v="3098AR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1042.2222222222222"/>
    <n v="906.66664000000003"/>
    <n v="86.993600852878473"/>
  </r>
  <r>
    <x v="5"/>
    <s v="3009AR    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1079.4444444444443"/>
    <n v="0"/>
    <n v="0"/>
  </r>
  <r>
    <x v="5"/>
    <s v="2346AG    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538.88888888888891"/>
    <n v="386.66664000000003"/>
    <n v="71.752572371134022"/>
  </r>
  <r>
    <x v="5"/>
    <s v="2339AQ    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338.88888888888891"/>
    <n v="280"/>
    <n v="82.622950819672127"/>
  </r>
  <r>
    <x v="5"/>
    <s v="2312AL    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552.77777777777783"/>
    <n v="463.33332000000001"/>
    <n v="83.819093065326626"/>
  </r>
  <r>
    <x v="5"/>
    <s v="2285AR    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311.11111111111109"/>
    <n v="260"/>
    <n v="83.571428571428569"/>
  </r>
  <r>
    <x v="5"/>
    <s v="2248AY    "/>
    <n v="0"/>
    <n v="0"/>
    <n v="0"/>
    <n v="0.1"/>
    <n v="0.1"/>
    <n v="0"/>
    <n v="0"/>
    <n v="0.1"/>
    <n v="0.1"/>
    <n v="0.5"/>
    <n v="0.1"/>
    <n v="0"/>
    <n v="0"/>
    <n v="0"/>
    <n v="0"/>
    <n v="0"/>
    <s v="Good"/>
    <n v="10"/>
    <n v="588.88888888888891"/>
    <n v="443.33332000000001"/>
    <n v="75.283016603773589"/>
  </r>
  <r>
    <x v="7"/>
    <s v="5265CC"/>
    <n v="0"/>
    <n v="0"/>
    <n v="0"/>
    <n v="0"/>
    <n v="0"/>
    <n v="0.125"/>
    <n v="0.125"/>
    <n v="0.375"/>
    <n v="0.125"/>
    <n v="0"/>
    <n v="0"/>
    <n v="0.25"/>
    <n v="0"/>
    <n v="0"/>
    <n v="1"/>
    <n v="0"/>
    <s v="Good though sometimes shrinkage"/>
    <n v="8"/>
    <n v="469.44444444444446"/>
    <n v="360"/>
    <n v="76.68639053254438"/>
  </r>
  <r>
    <x v="8"/>
    <s v="5110A9"/>
    <n v="0"/>
    <n v="0"/>
    <n v="0"/>
    <n v="0"/>
    <n v="0"/>
    <n v="0.125"/>
    <n v="0.125"/>
    <n v="0.375"/>
    <n v="0.125"/>
    <n v="0"/>
    <n v="0"/>
    <n v="0.25"/>
    <n v="0"/>
    <n v="0"/>
    <n v="1"/>
    <n v="0"/>
    <s v="Good though sometimes shrinkage"/>
    <n v="8"/>
    <n v="2113.8888888888891"/>
    <n v="1004.9999799999999"/>
    <n v="47.542706018396835"/>
  </r>
  <r>
    <x v="7"/>
    <s v="4219AN"/>
    <n v="0"/>
    <n v="0"/>
    <n v="0"/>
    <n v="0"/>
    <n v="0"/>
    <n v="0.125"/>
    <n v="0.125"/>
    <n v="0.375"/>
    <n v="0.125"/>
    <n v="0"/>
    <n v="0"/>
    <n v="0.25"/>
    <n v="0"/>
    <n v="0"/>
    <n v="1"/>
    <n v="0"/>
    <s v="Good though sometimes shrinkage"/>
    <n v="8"/>
    <n v="1066.6666666666667"/>
    <n v="680"/>
    <n v="63.749999999999993"/>
  </r>
  <r>
    <x v="9"/>
    <s v="7198CM"/>
    <n v="0"/>
    <n v="0"/>
    <n v="0"/>
    <n v="0"/>
    <n v="0.16666666666666666"/>
    <n v="0"/>
    <n v="0.16666666666666666"/>
    <n v="0"/>
    <n v="0"/>
    <n v="0.33333333333333331"/>
    <n v="0.16666666666666666"/>
    <n v="0.16666666666666666"/>
    <n v="0"/>
    <n v="0"/>
    <n v="0"/>
    <n v="0"/>
    <s v="Good"/>
    <n v="6"/>
    <n v="2336.1111111111113"/>
    <n v="926.66663999999992"/>
    <n v="39.667061878715806"/>
  </r>
  <r>
    <x v="9"/>
    <s v="7136A4"/>
    <n v="0"/>
    <n v="0"/>
    <n v="0"/>
    <n v="0"/>
    <n v="0.16666666666666666"/>
    <n v="0"/>
    <n v="0.16666666666666666"/>
    <n v="0"/>
    <n v="0"/>
    <n v="0.33333333333333331"/>
    <n v="0.16666666666666666"/>
    <n v="0.16666666666666666"/>
    <n v="0"/>
    <n v="0"/>
    <n v="0"/>
    <n v="0"/>
    <s v="Good"/>
    <n v="6"/>
    <n v="1644.4444444444443"/>
    <n v="300"/>
    <n v="18.243243243243246"/>
  </r>
  <r>
    <x v="9"/>
    <s v="7086CD"/>
    <n v="0"/>
    <n v="0"/>
    <n v="0"/>
    <n v="0"/>
    <n v="0.16666666666666666"/>
    <n v="0"/>
    <n v="0.16666666666666666"/>
    <n v="0"/>
    <n v="0"/>
    <n v="0.33333333333333331"/>
    <n v="0.16666666666666666"/>
    <n v="0.16666666666666666"/>
    <n v="0"/>
    <n v="0"/>
    <n v="0"/>
    <n v="0"/>
    <s v="Good"/>
    <n v="6"/>
    <n v="1088.8888888888889"/>
    <n v="983.33331999999996"/>
    <n v="90.306121224489786"/>
  </r>
  <r>
    <x v="9"/>
    <s v="7011A3"/>
    <n v="0"/>
    <n v="0"/>
    <n v="0"/>
    <n v="0"/>
    <n v="0.16666666666666666"/>
    <n v="0"/>
    <n v="0.16666666666666666"/>
    <n v="0"/>
    <n v="0"/>
    <n v="0.33333333333333331"/>
    <n v="0.16666666666666666"/>
    <n v="0.16666666666666666"/>
    <n v="0"/>
    <n v="0"/>
    <n v="0"/>
    <n v="0"/>
    <s v="Good"/>
    <n v="6"/>
    <n v="1069.4444444444446"/>
    <n v="903.33331999999996"/>
    <n v="84.467531220779208"/>
  </r>
  <r>
    <x v="9"/>
    <s v="6292AP"/>
    <n v="0"/>
    <n v="0"/>
    <n v="0"/>
    <n v="0"/>
    <n v="0.16666666666666666"/>
    <n v="0"/>
    <n v="0.16666666666666666"/>
    <n v="0"/>
    <n v="0"/>
    <n v="0.33333333333333331"/>
    <n v="0.16666666666666666"/>
    <n v="0.16666666666666666"/>
    <n v="0"/>
    <n v="0"/>
    <n v="0"/>
    <n v="0"/>
    <s v="Good"/>
    <n v="6"/>
    <n v="1150"/>
    <n v="943.33331999999996"/>
    <n v="82.028984347826082"/>
  </r>
  <r>
    <x v="9"/>
    <s v="6270CE"/>
    <n v="0"/>
    <n v="0"/>
    <n v="0"/>
    <n v="0"/>
    <n v="0.16666666666666666"/>
    <n v="0"/>
    <n v="0.16666666666666666"/>
    <n v="0"/>
    <n v="0"/>
    <n v="0.33333333333333331"/>
    <n v="0.16666666666666666"/>
    <n v="0.16666666666666666"/>
    <n v="0"/>
    <n v="0"/>
    <n v="0"/>
    <n v="0"/>
    <s v="Good"/>
    <n v="6"/>
    <n v="1138.8888888888889"/>
    <n v="1036.6666"/>
    <n v="91.02438439024391"/>
  </r>
  <r>
    <x v="9"/>
    <s v="6193AR"/>
    <n v="0"/>
    <n v="0"/>
    <n v="0"/>
    <n v="0"/>
    <n v="0.16666666666666666"/>
    <n v="0"/>
    <n v="0.16666666666666666"/>
    <n v="0"/>
    <n v="0"/>
    <n v="0.33333333333333331"/>
    <n v="0.16666666666666666"/>
    <n v="0.16666666666666666"/>
    <n v="0"/>
    <n v="0"/>
    <n v="0"/>
    <n v="0"/>
    <s v="Good"/>
    <n v="6"/>
    <n v="1684.4444444444443"/>
    <n v="801.66665999999998"/>
    <n v="47.592347889182058"/>
  </r>
  <r>
    <x v="9"/>
    <s v="6144A7"/>
    <n v="0"/>
    <n v="0"/>
    <n v="0"/>
    <n v="0"/>
    <n v="0.16666666666666666"/>
    <n v="0"/>
    <n v="0.16666666666666666"/>
    <n v="0"/>
    <n v="0"/>
    <n v="0.33333333333333331"/>
    <n v="0.16666666666666666"/>
    <n v="0.16666666666666666"/>
    <n v="0"/>
    <n v="0"/>
    <n v="0"/>
    <n v="0"/>
    <s v="Good"/>
    <n v="6"/>
    <n v="1058.3333333333335"/>
    <n v="983.33331999999996"/>
    <n v="92.913384566929111"/>
  </r>
  <r>
    <x v="9"/>
    <s v="6109CC"/>
    <n v="0"/>
    <n v="0"/>
    <n v="0"/>
    <n v="0"/>
    <n v="0.16666666666666666"/>
    <n v="0"/>
    <n v="0.16666666666666666"/>
    <n v="0"/>
    <n v="0"/>
    <n v="0.33333333333333331"/>
    <n v="0.16666666666666666"/>
    <n v="0.16666666666666666"/>
    <n v="0"/>
    <n v="0"/>
    <n v="0"/>
    <n v="0"/>
    <s v="Good"/>
    <n v="6"/>
    <n v="1066.6666666666665"/>
    <n v="940"/>
    <n v="88.125000000000014"/>
  </r>
  <r>
    <x v="9"/>
    <s v="6033AX"/>
    <n v="0"/>
    <n v="0"/>
    <n v="0"/>
    <n v="0"/>
    <n v="0.16666666666666666"/>
    <n v="0"/>
    <n v="0.16666666666666666"/>
    <n v="0"/>
    <n v="0"/>
    <n v="0.33333333333333331"/>
    <n v="0.16666666666666666"/>
    <n v="0.16666666666666666"/>
    <n v="0"/>
    <n v="0"/>
    <n v="0"/>
    <n v="0"/>
    <s v="Good"/>
    <n v="6"/>
    <n v="1575"/>
    <n v="1193.3332800000001"/>
    <n v="75.76719238095238"/>
  </r>
  <r>
    <x v="9"/>
    <s v="5266AH"/>
    <n v="0"/>
    <n v="0"/>
    <n v="0"/>
    <n v="0"/>
    <n v="0.16666666666666666"/>
    <n v="0"/>
    <n v="0.16666666666666666"/>
    <n v="0"/>
    <n v="0"/>
    <n v="0.33333333333333331"/>
    <n v="0.16666666666666666"/>
    <n v="0.16666666666666666"/>
    <n v="0"/>
    <n v="0"/>
    <n v="0"/>
    <n v="0"/>
    <s v="Good"/>
    <n v="6"/>
    <n v="494.44444444444446"/>
    <n v="400"/>
    <n v="80.898876404494374"/>
  </r>
  <r>
    <x v="10"/>
    <s v="7114CA"/>
    <n v="0"/>
    <n v="0"/>
    <n v="0"/>
    <n v="0"/>
    <n v="0"/>
    <n v="8.3333333333333329E-2"/>
    <n v="0.16666666666666666"/>
    <n v="0.33333333333333331"/>
    <n v="8.3333333333333329E-2"/>
    <n v="0.25"/>
    <n v="8.3333333333333329E-2"/>
    <n v="0"/>
    <n v="0"/>
    <n v="0"/>
    <n v="0"/>
    <n v="0"/>
    <s v="Okay"/>
    <n v="12"/>
    <n v="1683.3333333333335"/>
    <n v="1489.9999600000001"/>
    <n v="88.51484910891088"/>
  </r>
  <r>
    <x v="11"/>
    <s v="8170R"/>
    <n v="0"/>
    <n v="0"/>
    <n v="0"/>
    <n v="0"/>
    <n v="0"/>
    <n v="0.14285714285714285"/>
    <n v="0.14285714285714285"/>
    <n v="0.14285714285714285"/>
    <n v="0.14285714285714285"/>
    <n v="0.2857142857142857"/>
    <n v="0.14285714285714285"/>
    <n v="0"/>
    <n v="0"/>
    <n v="0"/>
    <m/>
    <m/>
    <m/>
    <n v="7"/>
    <n v="1583.3333333333335"/>
    <n v="1363.33332"/>
    <n v="86.10526231578946"/>
  </r>
  <r>
    <x v="11"/>
    <s v="8093T"/>
    <n v="0"/>
    <n v="0"/>
    <n v="0"/>
    <n v="0"/>
    <n v="0"/>
    <n v="0.14285714285714285"/>
    <n v="0.14285714285714285"/>
    <n v="0.14285714285714285"/>
    <n v="0.14285714285714285"/>
    <n v="0.2857142857142857"/>
    <n v="0.14285714285714285"/>
    <n v="0"/>
    <n v="0"/>
    <n v="0"/>
    <m/>
    <m/>
    <m/>
    <n v="7"/>
    <n v="1730.5555555555554"/>
    <n v="1223.33332"/>
    <n v="70.690207897271279"/>
  </r>
  <r>
    <x v="11"/>
    <s v="8031Q"/>
    <n v="0"/>
    <n v="0"/>
    <n v="0"/>
    <n v="0"/>
    <n v="0"/>
    <n v="0.14285714285714285"/>
    <n v="0.14285714285714285"/>
    <n v="0.14285714285714285"/>
    <n v="0.14285714285714285"/>
    <n v="0.2857142857142857"/>
    <n v="0.14285714285714285"/>
    <n v="0"/>
    <n v="0"/>
    <n v="0"/>
    <m/>
    <m/>
    <m/>
    <n v="7"/>
    <n v="1605.5555555555554"/>
    <n v="824.99997999999994"/>
    <n v="51.384081799307957"/>
  </r>
  <r>
    <x v="12"/>
    <s v="90914"/>
    <n v="0"/>
    <n v="0"/>
    <n v="0"/>
    <n v="0"/>
    <n v="0.125"/>
    <n v="0"/>
    <n v="0.25"/>
    <n v="0.125"/>
    <n v="0.25"/>
    <n v="0.25"/>
    <n v="0"/>
    <n v="0"/>
    <n v="0"/>
    <n v="0"/>
    <m/>
    <m/>
    <m/>
    <n v="8"/>
    <n v="2216.6666666666665"/>
    <n v="1383.33332"/>
    <n v="62.406014436090231"/>
  </r>
  <r>
    <x v="12"/>
    <s v="8281V"/>
    <n v="0"/>
    <n v="0"/>
    <n v="0"/>
    <n v="0"/>
    <n v="0.125"/>
    <n v="0"/>
    <n v="0.25"/>
    <n v="0.125"/>
    <n v="0.25"/>
    <n v="0.25"/>
    <n v="0"/>
    <n v="0"/>
    <n v="0"/>
    <n v="0"/>
    <m/>
    <m/>
    <m/>
    <n v="8"/>
    <n v="1513.8888888888889"/>
    <n v="886.66663999999992"/>
    <n v="58.568805577981642"/>
  </r>
  <r>
    <x v="13"/>
    <s v="9287P"/>
    <n v="0"/>
    <n v="0"/>
    <n v="0"/>
    <n v="0"/>
    <n v="0"/>
    <n v="0"/>
    <n v="0.25"/>
    <n v="0.5"/>
    <n v="0"/>
    <n v="0.25"/>
    <n v="0"/>
    <n v="0"/>
    <n v="0"/>
    <n v="0"/>
    <m/>
    <m/>
    <m/>
    <n v="4"/>
    <n v="1722.2222222222222"/>
    <n v="0"/>
    <n v="0"/>
  </r>
  <r>
    <x v="13"/>
    <s v="9274M"/>
    <n v="0"/>
    <n v="0"/>
    <n v="0"/>
    <n v="0"/>
    <n v="0"/>
    <n v="0"/>
    <n v="0.25"/>
    <n v="0.5"/>
    <n v="0"/>
    <n v="0.25"/>
    <n v="0"/>
    <n v="0"/>
    <n v="0"/>
    <n v="0"/>
    <m/>
    <m/>
    <m/>
    <n v="4"/>
    <n v="2333.333333333333"/>
    <n v="0"/>
    <n v="0"/>
  </r>
  <r>
    <x v="13"/>
    <s v="9239T"/>
    <n v="0"/>
    <n v="0"/>
    <n v="0"/>
    <n v="0"/>
    <n v="0"/>
    <n v="0"/>
    <n v="0.25"/>
    <n v="0.5"/>
    <n v="0"/>
    <n v="0.25"/>
    <n v="0"/>
    <n v="0"/>
    <n v="0"/>
    <n v="0"/>
    <m/>
    <m/>
    <m/>
    <n v="4"/>
    <n v="1750.0000000000002"/>
    <n v="140"/>
    <n v="7.9999999999999991"/>
  </r>
  <r>
    <x v="13"/>
    <s v="9226R"/>
    <n v="0"/>
    <n v="0"/>
    <n v="0"/>
    <n v="0"/>
    <n v="0"/>
    <n v="0"/>
    <n v="0.25"/>
    <n v="0.5"/>
    <n v="0"/>
    <n v="0.25"/>
    <n v="0"/>
    <n v="0"/>
    <n v="0"/>
    <n v="0"/>
    <m/>
    <m/>
    <m/>
    <n v="4"/>
    <n v="1152.7777777777778"/>
    <n v="140"/>
    <n v="12.144578313253012"/>
  </r>
  <r>
    <x v="13"/>
    <s v="9156R"/>
    <n v="0"/>
    <n v="0"/>
    <n v="0"/>
    <n v="0"/>
    <n v="0"/>
    <n v="0"/>
    <n v="0.25"/>
    <n v="0.5"/>
    <n v="0"/>
    <n v="0.25"/>
    <n v="0"/>
    <n v="0"/>
    <n v="0"/>
    <n v="0"/>
    <m/>
    <m/>
    <m/>
    <n v="4"/>
    <n v="1650"/>
    <n v="580"/>
    <n v="35.151515151515149"/>
  </r>
  <r>
    <x v="13"/>
    <s v="9119Y"/>
    <n v="0"/>
    <n v="0"/>
    <n v="0"/>
    <n v="0"/>
    <n v="0"/>
    <n v="0"/>
    <n v="0.25"/>
    <n v="0.5"/>
    <n v="0"/>
    <n v="0.25"/>
    <n v="0"/>
    <n v="0"/>
    <n v="0"/>
    <n v="0"/>
    <m/>
    <m/>
    <m/>
    <n v="4"/>
    <n v="1672.2222222222224"/>
    <n v="1043.33332"/>
    <n v="62.392025780730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D16" firstHeaderRow="0" firstDataRow="1" firstDataCol="1"/>
  <pivotFields count="25">
    <pivotField axis="axisRow" showAll="0" defaultSubtotal="0">
      <items count="12">
        <item x="2"/>
        <item x="3"/>
        <item x="0"/>
        <item x="1"/>
        <item x="4"/>
        <item x="5"/>
        <item x="6"/>
        <item x="7"/>
        <item x="8"/>
        <item x="9"/>
        <item x="10"/>
        <item x="1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Yards Made" fld="21" baseField="0" baseItem="0"/>
    <dataField name="Sum of Yards Produced" fld="22" baseField="0" baseItem="0"/>
    <dataField name="Overall_Yield" fld="24" baseField="0" baseItem="0" numFmtId="2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D18" firstHeaderRow="0" firstDataRow="1" firstDataCol="1"/>
  <pivotFields count="24">
    <pivotField axis="axisRow" showAll="0" sortType="ascending">
      <items count="17">
        <item x="0"/>
        <item x="1"/>
        <item x="2"/>
        <item x="3"/>
        <item x="4"/>
        <item x="6"/>
        <item x="5"/>
        <item x="8"/>
        <item x="7"/>
        <item x="9"/>
        <item x="10"/>
        <item x="11"/>
        <item x="12"/>
        <item x="13"/>
        <item m="1" x="14"/>
        <item m="1"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dragToRow="0" dragToCol="0" dragToPage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Yards Made" fld="20" baseField="0" baseItem="0"/>
    <dataField name="Sum of Yards Produced" fld="21" baseField="0" baseItem="0"/>
    <dataField name="Average of Yield" fld="23" subtotal="average" baseField="0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AF30_ByRubLot" displayName="AF30_ByRubLot" ref="A1:X156" totalsRowShown="0" headerRowDxfId="23">
  <autoFilter ref="A1:X156"/>
  <tableColumns count="24">
    <tableColumn id="1" name="Rub Lot"/>
    <tableColumn id="2" name="AF-30 Lot" dataDxfId="22"/>
    <tableColumn id="3" name="0-10"/>
    <tableColumn id="4" name="11-20"/>
    <tableColumn id="5" name="21-30"/>
    <tableColumn id="6" name="31-40"/>
    <tableColumn id="7" name="41-50"/>
    <tableColumn id="8" name="51-60"/>
    <tableColumn id="9" name="61-70"/>
    <tableColumn id="10" name="71-80"/>
    <tableColumn id="11" name="81-90"/>
    <tableColumn id="12" name="91-100"/>
    <tableColumn id="13" name="101-110"/>
    <tableColumn id="14" name="111-120"/>
    <tableColumn id="15" name="121-130"/>
    <tableColumn id="16" name="131-140"/>
    <tableColumn id="17" name="Shrinkage"/>
    <tableColumn id="18" name="Pinholes"/>
    <tableColumn id="19" name="Comments"/>
    <tableColumn id="20" name="Total Charge"/>
    <tableColumn id="21" name="Color Grade" dataDxfId="21"/>
    <tableColumn id="22" name="Yards Made"/>
    <tableColumn id="23" name="Yards Produced"/>
    <tableColumn id="24" name="Yield [=] %">
      <calculatedColumnFormula>(W2/V2)*100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F30_ByRubLot3" displayName="AF30_ByRubLot3" ref="A1:Y156" totalsRowShown="0" headerRowDxfId="20">
  <autoFilter ref="A1:Y156"/>
  <tableColumns count="25">
    <tableColumn id="1" name="Rub Lot"/>
    <tableColumn id="2" name="AF-30 Lot" dataDxfId="19"/>
    <tableColumn id="3" name="0-10" dataDxfId="18">
      <calculatedColumnFormula>(AF30_ByRubLot[[#This Row],[0-10]]/AF30_ByRubLot3[[Total Charge]:[Total Charge]])</calculatedColumnFormula>
    </tableColumn>
    <tableColumn id="4" name="11-20">
      <calculatedColumnFormula>(AF30_ByRubLot[[#This Row],[11-20]]/AF30_ByRubLot3[[Total Charge]:[Total Charge]])</calculatedColumnFormula>
    </tableColumn>
    <tableColumn id="5" name="21-30">
      <calculatedColumnFormula>(AF30_ByRubLot[[#This Row],[21-30]]/AF30_ByRubLot3[[Total Charge]:[Total Charge]])</calculatedColumnFormula>
    </tableColumn>
    <tableColumn id="6" name="31-40">
      <calculatedColumnFormula>(AF30_ByRubLot[[#This Row],[31-40]]/AF30_ByRubLot3[[Total Charge]:[Total Charge]])</calculatedColumnFormula>
    </tableColumn>
    <tableColumn id="7" name="41-50">
      <calculatedColumnFormula>(AF30_ByRubLot[[#This Row],[41-50]]/AF30_ByRubLot3[[Total Charge]:[Total Charge]])</calculatedColumnFormula>
    </tableColumn>
    <tableColumn id="8" name="51-60">
      <calculatedColumnFormula>(AF30_ByRubLot[[#This Row],[51-60]]/AF30_ByRubLot3[[Total Charge]:[Total Charge]])</calculatedColumnFormula>
    </tableColumn>
    <tableColumn id="9" name="61-70">
      <calculatedColumnFormula>(AF30_ByRubLot[[#This Row],[61-70]]/AF30_ByRubLot3[[Total Charge]:[Total Charge]])</calculatedColumnFormula>
    </tableColumn>
    <tableColumn id="10" name="71-80">
      <calculatedColumnFormula>(AF30_ByRubLot[[#This Row],[71-80]]/AF30_ByRubLot3[[Total Charge]:[Total Charge]])</calculatedColumnFormula>
    </tableColumn>
    <tableColumn id="11" name="81-90">
      <calculatedColumnFormula>(AF30_ByRubLot[[#This Row],[81-90]]/AF30_ByRubLot3[[Total Charge]:[Total Charge]])</calculatedColumnFormula>
    </tableColumn>
    <tableColumn id="12" name="91-100">
      <calculatedColumnFormula>(AF30_ByRubLot[[#This Row],[91-100]]/AF30_ByRubLot3[[Total Charge]:[Total Charge]])</calculatedColumnFormula>
    </tableColumn>
    <tableColumn id="13" name="101-110">
      <calculatedColumnFormula>(AF30_ByRubLot[[#This Row],[101-110]]/AF30_ByRubLot3[[Total Charge]:[Total Charge]])</calculatedColumnFormula>
    </tableColumn>
    <tableColumn id="14" name="111-120">
      <calculatedColumnFormula>(AF30_ByRubLot[[#This Row],[111-120]]/AF30_ByRubLot3[[Total Charge]:[Total Charge]])</calculatedColumnFormula>
    </tableColumn>
    <tableColumn id="15" name="121-130">
      <calculatedColumnFormula>(AF30_ByRubLot[[#This Row],[121-130]]/AF30_ByRubLot3[[Total Charge]:[Total Charge]])</calculatedColumnFormula>
    </tableColumn>
    <tableColumn id="16" name="131-140">
      <calculatedColumnFormula>(AF30_ByRubLot[[#This Row],[131-140]]/AF30_ByRubLot3[[Total Charge]:[Total Charge]])</calculatedColumnFormula>
    </tableColumn>
    <tableColumn id="17" name="Shrinkage"/>
    <tableColumn id="18" name="Pinholes"/>
    <tableColumn id="19" name="Comments"/>
    <tableColumn id="20" name="Total Charge"/>
    <tableColumn id="21" name="Color Grade" dataDxfId="17"/>
    <tableColumn id="22" name="Yards Made"/>
    <tableColumn id="23" name="Yards Produced"/>
    <tableColumn id="24" name="Yield [=] %">
      <calculatedColumnFormula>(W2/V2)*100</calculatedColumnFormula>
    </tableColumn>
    <tableColumn id="25" name="Sum" dataDxfId="16">
      <calculatedColumnFormula>SUM(AF30_ByRubLot3[[#This Row],[0-10]:[131-140]])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AF30_ByRubLot34" displayName="AF30_ByRubLot34" ref="A1:AB156" totalsRowShown="0" headerRowDxfId="15">
  <autoFilter ref="A1:AB156"/>
  <sortState ref="A2:AB156">
    <sortCondition ref="E1:E156"/>
  </sortState>
  <tableColumns count="28">
    <tableColumn id="1" name="Rub Lot"/>
    <tableColumn id="2" name="AF-30 Lot" dataDxfId="14"/>
    <tableColumn id="27" name="Year of Production" dataDxfId="13">
      <calculatedColumnFormula>IF(#REF!=6,"2006")</calculatedColumnFormula>
    </tableColumn>
    <tableColumn id="28" name="Julian Date Jumbo Production" dataDxfId="12">
      <calculatedColumnFormula>MID(AF30_ByRubLot34[[#This Row],[AF-30 Lot]],2,3)</calculatedColumnFormula>
    </tableColumn>
    <tableColumn id="29" name="Run Order" dataDxfId="11">
      <calculatedColumnFormula>CONCATENATE(RIGHT(AF30_ByRubLot34[[#This Row],[Year of Production]],2),AF30_ByRubLot34[[#This Row],[Julian Date Jumbo Production]])</calculatedColumnFormula>
    </tableColumn>
    <tableColumn id="3" name="0-10" dataDxfId="10">
      <calculatedColumnFormula>(AF30_ByRubLot[[#This Row],[0-10]]/AF30_ByRubLot34[[Total Charge]:[Total Charge]])</calculatedColumnFormula>
    </tableColumn>
    <tableColumn id="4" name="11-20">
      <calculatedColumnFormula>(AF30_ByRubLot[[#This Row],[11-20]]/AF30_ByRubLot34[[Total Charge]:[Total Charge]])</calculatedColumnFormula>
    </tableColumn>
    <tableColumn id="5" name="21-30">
      <calculatedColumnFormula>(AF30_ByRubLot[[#This Row],[21-30]]/AF30_ByRubLot34[[Total Charge]:[Total Charge]])</calculatedColumnFormula>
    </tableColumn>
    <tableColumn id="6" name="31-40">
      <calculatedColumnFormula>(AF30_ByRubLot[[#This Row],[31-40]]/AF30_ByRubLot34[[Total Charge]:[Total Charge]])</calculatedColumnFormula>
    </tableColumn>
    <tableColumn id="7" name="41-50">
      <calculatedColumnFormula>(AF30_ByRubLot[[#This Row],[41-50]]/AF30_ByRubLot34[[Total Charge]:[Total Charge]])</calculatedColumnFormula>
    </tableColumn>
    <tableColumn id="8" name="51-60">
      <calculatedColumnFormula>(AF30_ByRubLot[[#This Row],[51-60]]/AF30_ByRubLot34[[Total Charge]:[Total Charge]])</calculatedColumnFormula>
    </tableColumn>
    <tableColumn id="9" name="61-70">
      <calculatedColumnFormula>(AF30_ByRubLot[[#This Row],[61-70]]/AF30_ByRubLot34[[Total Charge]:[Total Charge]])</calculatedColumnFormula>
    </tableColumn>
    <tableColumn id="10" name="71-80">
      <calculatedColumnFormula>(AF30_ByRubLot[[#This Row],[71-80]]/AF30_ByRubLot34[[Total Charge]:[Total Charge]])</calculatedColumnFormula>
    </tableColumn>
    <tableColumn id="11" name="81-90">
      <calculatedColumnFormula>(AF30_ByRubLot[[#This Row],[81-90]]/AF30_ByRubLot34[[Total Charge]:[Total Charge]])</calculatedColumnFormula>
    </tableColumn>
    <tableColumn id="12" name="91-100">
      <calculatedColumnFormula>(AF30_ByRubLot[[#This Row],[91-100]]/AF30_ByRubLot34[[Total Charge]:[Total Charge]])</calculatedColumnFormula>
    </tableColumn>
    <tableColumn id="13" name="101-110">
      <calculatedColumnFormula>(AF30_ByRubLot[[#This Row],[101-110]]/AF30_ByRubLot34[[Total Charge]:[Total Charge]])</calculatedColumnFormula>
    </tableColumn>
    <tableColumn id="14" name="111-120">
      <calculatedColumnFormula>(AF30_ByRubLot[[#This Row],[111-120]]/AF30_ByRubLot34[[Total Charge]:[Total Charge]])</calculatedColumnFormula>
    </tableColumn>
    <tableColumn id="15" name="121-130">
      <calculatedColumnFormula>(AF30_ByRubLot[[#This Row],[121-130]]/AF30_ByRubLot34[[Total Charge]:[Total Charge]])</calculatedColumnFormula>
    </tableColumn>
    <tableColumn id="16" name="131-140">
      <calculatedColumnFormula>(AF30_ByRubLot[[#This Row],[131-140]]/AF30_ByRubLot34[[Total Charge]:[Total Charge]])</calculatedColumnFormula>
    </tableColumn>
    <tableColumn id="17" name="Shrinkage"/>
    <tableColumn id="18" name="Pinholes"/>
    <tableColumn id="19" name="Comments"/>
    <tableColumn id="20" name="Total Charge"/>
    <tableColumn id="21" name="Color Grade" dataDxfId="9"/>
    <tableColumn id="22" name="Yards Made"/>
    <tableColumn id="23" name="Yards Produced"/>
    <tableColumn id="24" name="Yield [=] %">
      <calculatedColumnFormula>(Z2/Y2)*100</calculatedColumnFormula>
    </tableColumn>
    <tableColumn id="25" name="Sum" dataDxfId="8">
      <calculatedColumnFormula>SUM(AF30_ByRubLot34[[#This Row],[0-10]:[131-140]])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F32count" displayName="AF32count" ref="A1:W83" totalsRowShown="0" headerRowDxfId="7">
  <autoFilter ref="A1:W83"/>
  <tableColumns count="23">
    <tableColumn id="1" name="Rub Lot"/>
    <tableColumn id="2" name="AF-32 Lot" dataDxfId="6"/>
    <tableColumn id="3" name="0-10"/>
    <tableColumn id="4" name="11-20"/>
    <tableColumn id="5" name="21-30"/>
    <tableColumn id="6" name="31-40"/>
    <tableColumn id="7" name="41-50"/>
    <tableColumn id="8" name="51-60"/>
    <tableColumn id="9" name="61-70"/>
    <tableColumn id="10" name="71-80"/>
    <tableColumn id="11" name="81-90"/>
    <tableColumn id="12" name="91-100"/>
    <tableColumn id="13" name="101-110"/>
    <tableColumn id="14" name="111-120"/>
    <tableColumn id="15" name="121-130"/>
    <tableColumn id="16" name="131-140"/>
    <tableColumn id="17" name="Shrinkage"/>
    <tableColumn id="18" name="Pinholes"/>
    <tableColumn id="19" name="Comments"/>
    <tableColumn id="20" name="Total Charge"/>
    <tableColumn id="21" name="Yards Made" dataDxfId="5"/>
    <tableColumn id="22" name="Yards Produced" dataDxfId="4"/>
    <tableColumn id="23" name="Yield [=] %">
      <calculatedColumnFormula>(V2/U2)*100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AF32percent" displayName="AF32percent" ref="A1:W83" totalsRowShown="0" headerRowDxfId="3">
  <autoFilter ref="A1:W83"/>
  <tableColumns count="23">
    <tableColumn id="1" name="Rub Lot"/>
    <tableColumn id="2" name="AF-32 Lot" dataDxfId="2"/>
    <tableColumn id="3" name="0-10">
      <calculatedColumnFormula>(AF32count[[#This Row],[0-10]]/AF32percent[[Total Charge]:[Total Charge]])</calculatedColumnFormula>
    </tableColumn>
    <tableColumn id="4" name="11-20">
      <calculatedColumnFormula>(AF32count[[#This Row],[11-20]]/AF32percent[[Total Charge]:[Total Charge]])</calculatedColumnFormula>
    </tableColumn>
    <tableColumn id="5" name="21-30">
      <calculatedColumnFormula>(AF32count[[#This Row],[21-30]]/AF32percent[[Total Charge]:[Total Charge]])</calculatedColumnFormula>
    </tableColumn>
    <tableColumn id="6" name="31-40">
      <calculatedColumnFormula>(AF32count[[#This Row],[31-40]]/AF32percent[[Total Charge]:[Total Charge]])</calculatedColumnFormula>
    </tableColumn>
    <tableColumn id="7" name="41-50">
      <calculatedColumnFormula>(AF32count[[#This Row],[41-50]]/AF32percent[[Total Charge]:[Total Charge]])</calculatedColumnFormula>
    </tableColumn>
    <tableColumn id="8" name="51-60">
      <calculatedColumnFormula>(AF32count[[#This Row],[51-60]]/AF32percent[[Total Charge]:[Total Charge]])</calculatedColumnFormula>
    </tableColumn>
    <tableColumn id="9" name="61-70">
      <calculatedColumnFormula>(AF32count[[#This Row],[61-70]]/AF32percent[[Total Charge]:[Total Charge]])</calculatedColumnFormula>
    </tableColumn>
    <tableColumn id="10" name="71-80">
      <calculatedColumnFormula>(AF32count[[#This Row],[71-80]]/AF32percent[[Total Charge]:[Total Charge]])</calculatedColumnFormula>
    </tableColumn>
    <tableColumn id="11" name="81-90">
      <calculatedColumnFormula>(AF32count[[#This Row],[81-90]]/AF32percent[[Total Charge]:[Total Charge]])</calculatedColumnFormula>
    </tableColumn>
    <tableColumn id="12" name="91-100">
      <calculatedColumnFormula>(AF32count[[#This Row],[91-100]]/AF32percent[[Total Charge]:[Total Charge]])</calculatedColumnFormula>
    </tableColumn>
    <tableColumn id="13" name="101-110">
      <calculatedColumnFormula>(AF32count[[#This Row],[101-110]]/AF32percent[[Total Charge]:[Total Charge]])</calculatedColumnFormula>
    </tableColumn>
    <tableColumn id="14" name="111-120">
      <calculatedColumnFormula>(AF32count[[#This Row],[111-120]]/AF32percent[[Total Charge]:[Total Charge]])</calculatedColumnFormula>
    </tableColumn>
    <tableColumn id="15" name="121-130">
      <calculatedColumnFormula>(AF32count[[#This Row],[121-130]]/AF32percent[[Total Charge]:[Total Charge]])</calculatedColumnFormula>
    </tableColumn>
    <tableColumn id="16" name="131-140">
      <calculatedColumnFormula>(AF32count[[#This Row],[131-140]]/AF32percent[[Total Charge]:[Total Charge]])</calculatedColumnFormula>
    </tableColumn>
    <tableColumn id="17" name="Shrinkage"/>
    <tableColumn id="18" name="Pinholes"/>
    <tableColumn id="19" name="Comments"/>
    <tableColumn id="20" name="Total Charge"/>
    <tableColumn id="21" name="Yards Made" dataDxfId="1"/>
    <tableColumn id="22" name="Yards Produced" dataDxfId="0"/>
    <tableColumn id="23" name="Yield [=] %">
      <calculatedColumnFormula>(V2/U2)*100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52"/>
  <sheetViews>
    <sheetView showGridLines="0" topLeftCell="A55" zoomScale="80" zoomScaleNormal="80" workbookViewId="0">
      <selection activeCell="A97" sqref="A97"/>
    </sheetView>
  </sheetViews>
  <sheetFormatPr defaultRowHeight="15" x14ac:dyDescent="0.25"/>
  <cols>
    <col min="1" max="1" width="23.42578125" style="3" customWidth="1"/>
    <col min="2" max="2" width="9.140625" style="3"/>
    <col min="3" max="3" width="15.85546875" style="3" bestFit="1" customWidth="1"/>
    <col min="4" max="4" width="9.140625" style="3"/>
    <col min="5" max="5" width="6.7109375" style="3" customWidth="1"/>
    <col min="7" max="7" width="12.5703125" customWidth="1"/>
    <col min="12" max="14" width="10.42578125" customWidth="1"/>
    <col min="17" max="17" width="12.7109375" customWidth="1"/>
  </cols>
  <sheetData>
    <row r="1" spans="1:22" ht="18.75" x14ac:dyDescent="0.3">
      <c r="A1" s="153" t="s">
        <v>0</v>
      </c>
      <c r="B1" s="153"/>
      <c r="C1" s="153"/>
      <c r="D1" s="153"/>
      <c r="E1" s="1"/>
    </row>
    <row r="2" spans="1:22" x14ac:dyDescent="0.25">
      <c r="A2" s="154" t="s">
        <v>45</v>
      </c>
      <c r="B2" s="154"/>
      <c r="C2" s="154"/>
      <c r="D2" s="154"/>
      <c r="E2" s="2"/>
    </row>
    <row r="5" spans="1:22" x14ac:dyDescent="0.25">
      <c r="A5" s="4" t="s">
        <v>1</v>
      </c>
      <c r="B5" s="5" t="s">
        <v>2</v>
      </c>
      <c r="C5" s="6" t="s">
        <v>3</v>
      </c>
      <c r="D5" s="5" t="s">
        <v>4</v>
      </c>
      <c r="E5" s="7"/>
    </row>
    <row r="6" spans="1:22" x14ac:dyDescent="0.25">
      <c r="A6" s="8" t="s">
        <v>5</v>
      </c>
      <c r="B6" s="9">
        <v>620</v>
      </c>
      <c r="C6" s="10">
        <v>86.7</v>
      </c>
      <c r="D6" s="11">
        <v>43</v>
      </c>
      <c r="E6" s="12"/>
    </row>
    <row r="7" spans="1:22" x14ac:dyDescent="0.25">
      <c r="A7" s="13" t="s">
        <v>6</v>
      </c>
      <c r="B7" s="14">
        <v>621</v>
      </c>
      <c r="C7" s="15">
        <v>86.9</v>
      </c>
      <c r="D7" s="16">
        <v>38</v>
      </c>
      <c r="E7" s="12"/>
    </row>
    <row r="8" spans="1:22" x14ac:dyDescent="0.25">
      <c r="A8" s="13"/>
      <c r="B8" s="14">
        <v>625</v>
      </c>
      <c r="C8" s="15">
        <v>88</v>
      </c>
      <c r="D8" s="16">
        <v>44</v>
      </c>
      <c r="E8" s="12"/>
      <c r="J8" s="7"/>
      <c r="K8" s="7"/>
      <c r="Q8" s="17"/>
      <c r="R8" s="18"/>
      <c r="S8" s="19" t="s">
        <v>7</v>
      </c>
      <c r="T8" s="19" t="s">
        <v>8</v>
      </c>
      <c r="U8" s="20" t="s">
        <v>9</v>
      </c>
      <c r="V8" s="18"/>
    </row>
    <row r="9" spans="1:22" ht="15.75" thickBot="1" x14ac:dyDescent="0.3">
      <c r="B9" s="14">
        <v>628</v>
      </c>
      <c r="C9" s="15">
        <v>86.7</v>
      </c>
      <c r="D9" s="16">
        <v>104</v>
      </c>
      <c r="E9" s="12"/>
      <c r="J9" s="7"/>
      <c r="K9" s="7"/>
      <c r="M9" s="21" t="s">
        <v>10</v>
      </c>
      <c r="Q9" s="22" t="s">
        <v>11</v>
      </c>
      <c r="R9" s="23" t="s">
        <v>12</v>
      </c>
      <c r="S9" s="23" t="s">
        <v>4</v>
      </c>
      <c r="T9" s="23" t="s">
        <v>4</v>
      </c>
      <c r="U9" s="23" t="s">
        <v>13</v>
      </c>
      <c r="V9" s="23" t="s">
        <v>14</v>
      </c>
    </row>
    <row r="10" spans="1:22" x14ac:dyDescent="0.25">
      <c r="A10" s="13"/>
      <c r="B10" s="14">
        <v>629</v>
      </c>
      <c r="C10" s="15">
        <v>84.8</v>
      </c>
      <c r="D10" s="16">
        <v>117</v>
      </c>
      <c r="E10" s="12"/>
      <c r="J10" s="24"/>
      <c r="K10" s="24"/>
      <c r="M10" s="25">
        <v>74</v>
      </c>
      <c r="Q10" s="74" t="s">
        <v>5</v>
      </c>
      <c r="R10" s="75">
        <v>1440</v>
      </c>
      <c r="S10" s="76">
        <v>74</v>
      </c>
      <c r="T10" s="76">
        <v>77</v>
      </c>
      <c r="U10" s="77">
        <v>19</v>
      </c>
      <c r="V10" s="75">
        <v>-0.33100000000000002</v>
      </c>
    </row>
    <row r="11" spans="1:22" x14ac:dyDescent="0.25">
      <c r="A11" s="13"/>
      <c r="B11" s="14">
        <v>630</v>
      </c>
      <c r="C11" s="15">
        <v>85.5</v>
      </c>
      <c r="D11" s="16">
        <v>114</v>
      </c>
      <c r="E11" s="12"/>
      <c r="J11" s="24"/>
      <c r="K11" s="24"/>
      <c r="M11" s="25">
        <v>75</v>
      </c>
      <c r="N11" s="26" t="s">
        <v>15</v>
      </c>
      <c r="Q11" s="74" t="s">
        <v>16</v>
      </c>
      <c r="R11" s="75">
        <v>1660</v>
      </c>
      <c r="S11" s="76">
        <v>75</v>
      </c>
      <c r="T11" s="76">
        <v>70</v>
      </c>
      <c r="U11" s="77">
        <v>18.399999999999999</v>
      </c>
      <c r="V11" s="75">
        <v>-0.34300000000000003</v>
      </c>
    </row>
    <row r="12" spans="1:22" x14ac:dyDescent="0.25">
      <c r="B12" s="14">
        <v>631</v>
      </c>
      <c r="C12" s="15">
        <v>86.9</v>
      </c>
      <c r="D12" s="16">
        <v>64</v>
      </c>
      <c r="E12" s="12"/>
      <c r="J12" s="24"/>
      <c r="K12" s="24"/>
      <c r="M12" s="12">
        <v>71</v>
      </c>
      <c r="Q12" s="74" t="s">
        <v>17</v>
      </c>
      <c r="R12" s="75">
        <v>2380</v>
      </c>
      <c r="S12" s="78">
        <v>71</v>
      </c>
      <c r="T12" s="78">
        <v>66.2</v>
      </c>
      <c r="U12" s="79">
        <v>16.899999999999999</v>
      </c>
      <c r="V12" s="75">
        <v>-0.35799999999999998</v>
      </c>
    </row>
    <row r="13" spans="1:22" x14ac:dyDescent="0.25">
      <c r="A13" s="13"/>
      <c r="B13" s="14">
        <v>633</v>
      </c>
      <c r="C13" s="15">
        <v>86.9</v>
      </c>
      <c r="D13" s="16">
        <v>98</v>
      </c>
      <c r="E13" s="12"/>
      <c r="J13" s="24"/>
      <c r="K13" s="24"/>
      <c r="M13" s="12">
        <v>72.3</v>
      </c>
      <c r="Q13" s="70" t="s">
        <v>18</v>
      </c>
      <c r="R13" s="71">
        <v>940</v>
      </c>
      <c r="S13" s="72">
        <v>72.3</v>
      </c>
      <c r="T13" s="72">
        <v>59.9</v>
      </c>
      <c r="U13" s="73">
        <v>19.2</v>
      </c>
      <c r="V13" s="71">
        <v>-0.33700000000000002</v>
      </c>
    </row>
    <row r="14" spans="1:22" x14ac:dyDescent="0.25">
      <c r="A14" s="13"/>
      <c r="B14" s="14">
        <v>635</v>
      </c>
      <c r="C14" s="15">
        <v>86.4</v>
      </c>
      <c r="D14" s="16">
        <v>56</v>
      </c>
      <c r="E14" s="12"/>
      <c r="J14" s="24"/>
      <c r="K14" s="24"/>
      <c r="M14" s="12">
        <v>79.8</v>
      </c>
      <c r="Q14" s="70" t="s">
        <v>19</v>
      </c>
      <c r="R14" s="71">
        <v>2220</v>
      </c>
      <c r="S14" s="72">
        <v>79.8</v>
      </c>
      <c r="T14" s="72">
        <v>76.599999999999994</v>
      </c>
      <c r="U14" s="73" t="s">
        <v>20</v>
      </c>
      <c r="V14" s="71">
        <v>-0.32300000000000001</v>
      </c>
    </row>
    <row r="15" spans="1:22" x14ac:dyDescent="0.25">
      <c r="A15" s="13"/>
      <c r="B15" s="14">
        <v>638</v>
      </c>
      <c r="C15" s="15">
        <v>86.9</v>
      </c>
      <c r="D15" s="16">
        <v>53</v>
      </c>
      <c r="E15" s="12"/>
      <c r="J15" s="24"/>
      <c r="K15" s="24"/>
      <c r="M15" s="27">
        <v>78</v>
      </c>
      <c r="Q15" s="70" t="s">
        <v>21</v>
      </c>
      <c r="R15" s="71">
        <v>2110</v>
      </c>
      <c r="S15" s="72">
        <v>78</v>
      </c>
      <c r="T15" s="72">
        <v>72</v>
      </c>
      <c r="U15" s="73">
        <v>5.27</v>
      </c>
      <c r="V15" s="71">
        <v>-0.33600000000000002</v>
      </c>
    </row>
    <row r="16" spans="1:22" x14ac:dyDescent="0.25">
      <c r="A16" s="13"/>
      <c r="B16" s="14">
        <v>640</v>
      </c>
      <c r="C16" s="15">
        <v>86.6</v>
      </c>
      <c r="D16" s="16">
        <v>75</v>
      </c>
      <c r="E16" s="12"/>
      <c r="J16" s="24"/>
      <c r="K16" s="24"/>
      <c r="M16" s="3" t="s">
        <v>22</v>
      </c>
      <c r="Q16" s="74" t="s">
        <v>23</v>
      </c>
      <c r="R16" s="75">
        <v>2720</v>
      </c>
      <c r="S16" s="78">
        <v>72</v>
      </c>
      <c r="T16" s="78">
        <v>72.5</v>
      </c>
      <c r="U16" s="79">
        <v>5.25</v>
      </c>
      <c r="V16" s="75">
        <v>-0.33400000000000002</v>
      </c>
    </row>
    <row r="17" spans="1:24" x14ac:dyDescent="0.25">
      <c r="A17" s="13"/>
      <c r="B17" s="14">
        <v>641</v>
      </c>
      <c r="C17" s="15">
        <v>87</v>
      </c>
      <c r="D17" s="16">
        <v>96</v>
      </c>
      <c r="E17" s="12"/>
      <c r="J17" s="24"/>
      <c r="K17" s="28"/>
      <c r="Q17" s="74" t="s">
        <v>24</v>
      </c>
      <c r="R17" s="75">
        <v>2900</v>
      </c>
      <c r="S17" s="78">
        <v>74</v>
      </c>
      <c r="T17" s="78">
        <v>72.400000000000006</v>
      </c>
      <c r="U17" s="79">
        <v>5.24</v>
      </c>
      <c r="V17" s="75">
        <v>-0.34100000000000003</v>
      </c>
    </row>
    <row r="18" spans="1:24" x14ac:dyDescent="0.25">
      <c r="A18" s="29"/>
      <c r="B18" s="30">
        <v>642</v>
      </c>
      <c r="C18" s="15">
        <v>87.2</v>
      </c>
      <c r="D18" s="31">
        <v>111</v>
      </c>
      <c r="E18" s="12"/>
      <c r="Q18" s="32" t="s">
        <v>25</v>
      </c>
      <c r="R18" s="33">
        <v>6610</v>
      </c>
      <c r="S18" s="33">
        <v>71</v>
      </c>
      <c r="T18" s="34">
        <v>92.2</v>
      </c>
      <c r="U18" s="35">
        <v>5.38</v>
      </c>
      <c r="V18" s="33">
        <v>-0.29899999999999999</v>
      </c>
    </row>
    <row r="19" spans="1:24" x14ac:dyDescent="0.25">
      <c r="A19" s="13" t="s">
        <v>16</v>
      </c>
      <c r="B19" s="9">
        <v>649</v>
      </c>
      <c r="C19" s="10">
        <v>85.8</v>
      </c>
      <c r="D19" s="11">
        <v>100</v>
      </c>
      <c r="E19" s="12"/>
      <c r="Q19" s="36" t="s">
        <v>26</v>
      </c>
      <c r="R19" s="37">
        <v>2260</v>
      </c>
      <c r="S19" s="38">
        <v>76</v>
      </c>
      <c r="T19" s="38">
        <v>78</v>
      </c>
      <c r="U19" s="39">
        <v>5.3</v>
      </c>
      <c r="V19" s="40">
        <v>-0.32200000000000001</v>
      </c>
    </row>
    <row r="20" spans="1:24" x14ac:dyDescent="0.25">
      <c r="A20" s="13" t="s">
        <v>6</v>
      </c>
      <c r="B20" s="14">
        <v>650</v>
      </c>
      <c r="C20" s="15">
        <v>86.2</v>
      </c>
      <c r="D20" s="16">
        <v>93</v>
      </c>
      <c r="E20" s="12"/>
      <c r="Q20" s="41" t="s">
        <v>46</v>
      </c>
      <c r="R20" s="42">
        <v>1700</v>
      </c>
      <c r="S20" s="43">
        <v>76.3</v>
      </c>
      <c r="T20" s="43"/>
      <c r="U20" s="44"/>
      <c r="V20" s="42">
        <v>-0.33400000000000002</v>
      </c>
    </row>
    <row r="21" spans="1:24" x14ac:dyDescent="0.25">
      <c r="A21" s="13"/>
      <c r="B21" s="14">
        <v>651</v>
      </c>
      <c r="C21" s="15">
        <v>85.7</v>
      </c>
      <c r="D21" s="16">
        <v>60</v>
      </c>
      <c r="E21" s="12"/>
      <c r="Q21" s="41" t="s">
        <v>28</v>
      </c>
      <c r="R21" s="42">
        <v>2080</v>
      </c>
      <c r="S21" s="42">
        <v>78</v>
      </c>
      <c r="T21" s="43"/>
      <c r="U21" s="44"/>
      <c r="V21" s="42">
        <v>-0.33200000000000002</v>
      </c>
    </row>
    <row r="22" spans="1:24" x14ac:dyDescent="0.25">
      <c r="A22" s="13"/>
      <c r="B22" s="14">
        <v>652</v>
      </c>
      <c r="C22" s="15">
        <v>86</v>
      </c>
      <c r="D22" s="16">
        <v>107</v>
      </c>
      <c r="E22" s="12"/>
      <c r="K22">
        <f>MAX(D6:D18)</f>
        <v>117</v>
      </c>
      <c r="N22" s="45">
        <f>MAX(C6:C18)</f>
        <v>88</v>
      </c>
      <c r="Q22" s="41" t="s">
        <v>47</v>
      </c>
      <c r="R22" s="42">
        <v>2340</v>
      </c>
      <c r="S22" s="43">
        <v>79.7</v>
      </c>
      <c r="T22" s="43"/>
      <c r="U22" s="44"/>
      <c r="V22" s="82">
        <v>-0.32</v>
      </c>
    </row>
    <row r="23" spans="1:24" x14ac:dyDescent="0.25">
      <c r="A23" s="13"/>
      <c r="B23" s="14">
        <v>653</v>
      </c>
      <c r="C23" s="15">
        <v>86.8</v>
      </c>
      <c r="D23" s="16">
        <v>49</v>
      </c>
      <c r="E23" s="12"/>
      <c r="K23">
        <f>MIN(D6:D18)</f>
        <v>38</v>
      </c>
      <c r="N23" s="45">
        <f>MIN(C6:C18)</f>
        <v>84.8</v>
      </c>
      <c r="Q23" s="41" t="s">
        <v>29</v>
      </c>
      <c r="R23" s="42">
        <v>2340</v>
      </c>
      <c r="S23" s="46">
        <v>76</v>
      </c>
      <c r="T23" s="46"/>
      <c r="U23" s="47"/>
      <c r="V23" s="42">
        <v>-0.33400000000000002</v>
      </c>
    </row>
    <row r="24" spans="1:24" x14ac:dyDescent="0.25">
      <c r="A24" s="29"/>
      <c r="B24" s="30">
        <v>654</v>
      </c>
      <c r="C24" s="48">
        <v>86.7</v>
      </c>
      <c r="D24" s="31">
        <v>69</v>
      </c>
      <c r="E24" s="12"/>
    </row>
    <row r="25" spans="1:24" x14ac:dyDescent="0.25">
      <c r="A25" s="8" t="s">
        <v>17</v>
      </c>
      <c r="B25" s="9">
        <v>655</v>
      </c>
      <c r="C25" s="10">
        <v>61.9</v>
      </c>
      <c r="D25" s="11">
        <v>55</v>
      </c>
      <c r="E25" s="12"/>
      <c r="K25">
        <f>MAX(D19:D24)</f>
        <v>107</v>
      </c>
      <c r="N25" s="45">
        <f>MAX(C19:C24)</f>
        <v>86.8</v>
      </c>
    </row>
    <row r="26" spans="1:24" x14ac:dyDescent="0.25">
      <c r="A26" s="13" t="s">
        <v>6</v>
      </c>
      <c r="B26" s="14">
        <v>656</v>
      </c>
      <c r="C26" s="15">
        <v>86.97</v>
      </c>
      <c r="D26" s="16">
        <v>122</v>
      </c>
      <c r="E26" s="12"/>
      <c r="K26">
        <f>MIN(D19:D24)</f>
        <v>49</v>
      </c>
      <c r="N26" s="45">
        <f>MIN(C19:C24)</f>
        <v>85.7</v>
      </c>
    </row>
    <row r="27" spans="1:24" x14ac:dyDescent="0.25">
      <c r="A27" s="13"/>
      <c r="B27" s="14">
        <v>657</v>
      </c>
      <c r="C27" s="15">
        <v>86.93</v>
      </c>
      <c r="D27" s="16">
        <v>106</v>
      </c>
      <c r="E27" s="12"/>
      <c r="Q27" s="88"/>
      <c r="R27" s="93"/>
      <c r="S27" s="94" t="s">
        <v>4</v>
      </c>
      <c r="T27" s="94"/>
      <c r="U27" s="93"/>
      <c r="V27" s="94" t="s">
        <v>30</v>
      </c>
      <c r="W27" s="94"/>
      <c r="X27" s="97"/>
    </row>
    <row r="28" spans="1:24" ht="15.75" thickBot="1" x14ac:dyDescent="0.3">
      <c r="A28" s="13"/>
      <c r="B28" s="14">
        <v>658</v>
      </c>
      <c r="C28" s="15">
        <v>88.39</v>
      </c>
      <c r="D28" s="16">
        <v>101</v>
      </c>
      <c r="E28" s="12"/>
      <c r="K28">
        <f>MAX(D25:D34)</f>
        <v>122</v>
      </c>
      <c r="N28" s="45">
        <f>MAX(C25:C34)</f>
        <v>90.47</v>
      </c>
      <c r="Q28" s="89"/>
      <c r="R28" s="85" t="s">
        <v>31</v>
      </c>
      <c r="S28" s="83" t="s">
        <v>32</v>
      </c>
      <c r="T28" s="84" t="s">
        <v>33</v>
      </c>
      <c r="U28" s="95" t="s">
        <v>31</v>
      </c>
      <c r="V28" s="83" t="s">
        <v>32</v>
      </c>
      <c r="W28" s="84" t="s">
        <v>33</v>
      </c>
      <c r="X28" s="97"/>
    </row>
    <row r="29" spans="1:24" ht="15.75" thickTop="1" x14ac:dyDescent="0.25">
      <c r="A29" s="13"/>
      <c r="B29" s="14">
        <v>659</v>
      </c>
      <c r="C29" s="15">
        <v>86.27</v>
      </c>
      <c r="D29" s="16">
        <v>103</v>
      </c>
      <c r="E29" s="12"/>
      <c r="F29" s="49"/>
      <c r="K29">
        <f>MIN(D25:D34)</f>
        <v>28</v>
      </c>
      <c r="N29" s="45">
        <f>MIN(C25:C34)</f>
        <v>61.9</v>
      </c>
      <c r="Q29" s="90" t="s">
        <v>5</v>
      </c>
      <c r="R29" s="86">
        <f>AVERAGE(D6:D18)</f>
        <v>77.92307692307692</v>
      </c>
      <c r="S29" s="80">
        <f>K22-K23</f>
        <v>79</v>
      </c>
      <c r="T29" s="86">
        <f>STDEV(D6:D18)</f>
        <v>29.722218228292729</v>
      </c>
      <c r="U29" s="79">
        <f>AVERAGE(C6:C18)</f>
        <v>86.65384615384616</v>
      </c>
      <c r="V29" s="80">
        <f>N22-N23</f>
        <v>3.2000000000000028</v>
      </c>
      <c r="W29" s="86">
        <f>STDEV(C6:C18)</f>
        <v>0.78061448510707021</v>
      </c>
      <c r="X29" s="97"/>
    </row>
    <row r="30" spans="1:24" x14ac:dyDescent="0.25">
      <c r="A30" s="13"/>
      <c r="B30" s="14">
        <v>660</v>
      </c>
      <c r="C30" s="15">
        <v>81.81</v>
      </c>
      <c r="D30" s="16">
        <v>83</v>
      </c>
      <c r="E30" s="12"/>
      <c r="Q30" s="90" t="s">
        <v>16</v>
      </c>
      <c r="R30" s="86">
        <f>AVERAGE(D19:D24)</f>
        <v>79.666666666666671</v>
      </c>
      <c r="S30" s="80">
        <f>K25-K26</f>
        <v>58</v>
      </c>
      <c r="T30" s="86">
        <f>STDEV(D19:D24)</f>
        <v>23.576824779148424</v>
      </c>
      <c r="U30" s="79">
        <f>AVERAGE(C19:C24)</f>
        <v>86.2</v>
      </c>
      <c r="V30" s="80">
        <f>N25-N26</f>
        <v>1.0999999999999943</v>
      </c>
      <c r="W30" s="86">
        <f>STDEV(C19:C24)</f>
        <v>0.46043457732885329</v>
      </c>
      <c r="X30" s="97"/>
    </row>
    <row r="31" spans="1:24" x14ac:dyDescent="0.25">
      <c r="A31" s="13"/>
      <c r="B31" s="14">
        <v>661</v>
      </c>
      <c r="C31" s="15">
        <v>88.25</v>
      </c>
      <c r="D31" s="16">
        <v>121</v>
      </c>
      <c r="E31" s="12"/>
      <c r="K31">
        <f>MAX(D35:D39)</f>
        <v>83</v>
      </c>
      <c r="N31" s="45">
        <f>MAX(C35:C39)</f>
        <v>90.87</v>
      </c>
      <c r="Q31" s="90" t="s">
        <v>17</v>
      </c>
      <c r="R31" s="86">
        <f>AVERAGE(D25:D34)</f>
        <v>89.1</v>
      </c>
      <c r="S31" s="80">
        <f>K28-K29</f>
        <v>94</v>
      </c>
      <c r="T31" s="86">
        <f>STDEV(D25:D34)</f>
        <v>33.537541154155385</v>
      </c>
      <c r="U31" s="79">
        <f>AVERAGE(C25:C34)</f>
        <v>83.701999999999998</v>
      </c>
      <c r="V31" s="80">
        <f>N28-N29</f>
        <v>28.57</v>
      </c>
      <c r="W31" s="86">
        <f>STDEV(C25:C34)</f>
        <v>8.3076053509219303</v>
      </c>
      <c r="X31" s="97"/>
    </row>
    <row r="32" spans="1:24" x14ac:dyDescent="0.25">
      <c r="A32" s="13"/>
      <c r="B32" s="14">
        <v>662</v>
      </c>
      <c r="C32" s="15">
        <v>86.56</v>
      </c>
      <c r="D32" s="16">
        <v>121</v>
      </c>
      <c r="E32" s="12"/>
      <c r="K32">
        <f>MIN(D35:D39)</f>
        <v>67</v>
      </c>
      <c r="N32" s="45">
        <f>MIN(C35:C39)</f>
        <v>79.47</v>
      </c>
      <c r="Q32" s="91" t="s">
        <v>18</v>
      </c>
      <c r="R32" s="87">
        <f>AVERAGE(D35:D39)</f>
        <v>75.400000000000006</v>
      </c>
      <c r="S32" s="81">
        <f>K31-K32</f>
        <v>16</v>
      </c>
      <c r="T32" s="87">
        <f>STDEV(D35:D39)</f>
        <v>7.5365774725667087</v>
      </c>
      <c r="U32" s="73">
        <f>AVERAGE(C35:C39)</f>
        <v>86.805999999999997</v>
      </c>
      <c r="V32" s="81">
        <f>N31-N32</f>
        <v>11.400000000000006</v>
      </c>
      <c r="W32" s="87">
        <f>STDEV(C35:C39)</f>
        <v>4.5928074203040579</v>
      </c>
      <c r="X32" s="97"/>
    </row>
    <row r="33" spans="1:24" x14ac:dyDescent="0.25">
      <c r="A33" s="13"/>
      <c r="B33" s="14">
        <v>663</v>
      </c>
      <c r="C33" s="15">
        <v>79.47</v>
      </c>
      <c r="D33" s="16">
        <v>28</v>
      </c>
      <c r="E33" s="12"/>
      <c r="Q33" s="91" t="s">
        <v>19</v>
      </c>
      <c r="R33" s="87">
        <f>AVERAGE(D40:D45)</f>
        <v>89.666666666666671</v>
      </c>
      <c r="S33" s="81">
        <f>K34-K35</f>
        <v>63</v>
      </c>
      <c r="T33" s="87">
        <f>STDEV(D40:D45)</f>
        <v>23.568340346037672</v>
      </c>
      <c r="U33" s="73">
        <f>AVERAGE(C40:C45)</f>
        <v>85.39666666666669</v>
      </c>
      <c r="V33" s="81">
        <f>N34-N35</f>
        <v>3.4000000000000057</v>
      </c>
      <c r="W33" s="87">
        <f>STDEV(C40:C45)</f>
        <v>1.3819503126620267</v>
      </c>
      <c r="X33" s="97"/>
    </row>
    <row r="34" spans="1:24" x14ac:dyDescent="0.25">
      <c r="A34" s="29"/>
      <c r="B34" s="30">
        <v>664</v>
      </c>
      <c r="C34" s="48">
        <v>90.47</v>
      </c>
      <c r="D34" s="31">
        <v>51</v>
      </c>
      <c r="E34" s="12"/>
      <c r="K34">
        <f>MAX(D40:D45)</f>
        <v>124</v>
      </c>
      <c r="N34" s="45">
        <f>MAX(C40:C45)</f>
        <v>87.04</v>
      </c>
      <c r="Q34" s="91" t="s">
        <v>21</v>
      </c>
      <c r="R34" s="87">
        <f>AVERAGE(D46:D55)</f>
        <v>83.6</v>
      </c>
      <c r="S34" s="81">
        <f>K37-K38</f>
        <v>58</v>
      </c>
      <c r="T34" s="87">
        <f>STDEV(D46:D55)</f>
        <v>21.731697279933428</v>
      </c>
      <c r="U34" s="73">
        <f>AVERAGE(C47:C55)</f>
        <v>81.344444444444449</v>
      </c>
      <c r="V34" s="81">
        <f>N37-N38</f>
        <v>39.500000000000007</v>
      </c>
      <c r="W34" s="87">
        <f>STDEV(C47:C55)</f>
        <v>3.8949040781228232</v>
      </c>
      <c r="X34" s="97"/>
    </row>
    <row r="35" spans="1:24" x14ac:dyDescent="0.25">
      <c r="A35" s="8" t="s">
        <v>18</v>
      </c>
      <c r="B35" s="9">
        <v>672</v>
      </c>
      <c r="C35" s="10">
        <v>79.47</v>
      </c>
      <c r="D35" s="11">
        <v>75</v>
      </c>
      <c r="E35" s="12"/>
      <c r="K35">
        <f>MIN(D40:D45)</f>
        <v>61</v>
      </c>
      <c r="N35" s="45">
        <f>MIN(C40:C45)</f>
        <v>83.64</v>
      </c>
      <c r="Q35" s="90" t="s">
        <v>34</v>
      </c>
      <c r="R35" s="86">
        <f>AVERAGE(D56:D65)</f>
        <v>83.4</v>
      </c>
      <c r="S35" s="80">
        <f>K40-K41</f>
        <v>75</v>
      </c>
      <c r="T35" s="86">
        <f>STDEV(D56:D65)</f>
        <v>24.676574586707385</v>
      </c>
      <c r="U35" s="79">
        <f>AVERAGE(C65:C579)</f>
        <v>583.78898550724637</v>
      </c>
      <c r="V35" s="80">
        <f>N40-N41</f>
        <v>11</v>
      </c>
      <c r="W35" s="86">
        <f>STDEV(C56:C65)</f>
        <v>3.39934634239519</v>
      </c>
      <c r="X35" s="97"/>
    </row>
    <row r="36" spans="1:24" x14ac:dyDescent="0.25">
      <c r="A36" s="110" t="s">
        <v>77</v>
      </c>
      <c r="B36" s="14">
        <v>673</v>
      </c>
      <c r="C36" s="15">
        <v>86.09</v>
      </c>
      <c r="D36" s="16">
        <v>69</v>
      </c>
      <c r="E36" s="12"/>
      <c r="Q36" s="92" t="s">
        <v>26</v>
      </c>
      <c r="R36" s="24">
        <f>AVERAGE(D70:D77)</f>
        <v>82.125</v>
      </c>
      <c r="S36" s="50">
        <f>K43-K44</f>
        <v>59</v>
      </c>
      <c r="T36" s="24">
        <f>STDEV(D70:D77)</f>
        <v>20.704985596986745</v>
      </c>
      <c r="U36" s="96">
        <f>AVERAGE(C70:C77)</f>
        <v>83.875</v>
      </c>
      <c r="V36" s="50">
        <f>N43-N44</f>
        <v>6</v>
      </c>
      <c r="W36" s="24">
        <f>STDEV(C70:C77)</f>
        <v>2.1001700611413079</v>
      </c>
      <c r="X36" s="97"/>
    </row>
    <row r="37" spans="1:24" x14ac:dyDescent="0.25">
      <c r="A37" s="13"/>
      <c r="B37" s="14">
        <v>674</v>
      </c>
      <c r="C37" s="15">
        <v>87.13</v>
      </c>
      <c r="D37" s="16">
        <v>67</v>
      </c>
      <c r="E37" s="12"/>
      <c r="K37" s="49">
        <f>MAX(D46:D55)</f>
        <v>122</v>
      </c>
      <c r="N37" s="45">
        <f>MAX(C46:C55)</f>
        <v>86.9</v>
      </c>
      <c r="Q37" s="92" t="s">
        <v>27</v>
      </c>
      <c r="R37" s="24">
        <f>AVERAGE(D78:D89)</f>
        <v>79.75</v>
      </c>
      <c r="S37" s="50">
        <f>K46-K47</f>
        <v>55</v>
      </c>
      <c r="T37" s="24">
        <f>STDEV(D78:D89)</f>
        <v>15.661910948075734</v>
      </c>
      <c r="U37" s="96">
        <f>AVERAGE(C78:C89)</f>
        <v>86.481818181818184</v>
      </c>
      <c r="V37" s="50">
        <f>N46-N47</f>
        <v>6</v>
      </c>
      <c r="W37" s="24">
        <f>STDEV(C78:C89)</f>
        <v>1.7244234873244928</v>
      </c>
      <c r="X37" s="97"/>
    </row>
    <row r="38" spans="1:24" x14ac:dyDescent="0.25">
      <c r="A38" s="13"/>
      <c r="B38" s="14">
        <v>675</v>
      </c>
      <c r="C38" s="15">
        <v>90.87</v>
      </c>
      <c r="D38" s="16">
        <v>83</v>
      </c>
      <c r="E38" s="12"/>
      <c r="K38" s="49">
        <f>MIN(D46:D55)</f>
        <v>64</v>
      </c>
      <c r="N38" s="45">
        <f>MIN(C46:C55)</f>
        <v>47.4</v>
      </c>
      <c r="Q38" s="92" t="s">
        <v>28</v>
      </c>
      <c r="R38" s="24">
        <f>AVERAGE(D90:D96)</f>
        <v>90.01428571428572</v>
      </c>
      <c r="S38" s="50">
        <f>K49-K50</f>
        <v>67</v>
      </c>
      <c r="T38" s="24">
        <f>STDEV(D90:D96)</f>
        <v>23.35953970518457</v>
      </c>
      <c r="U38" s="96">
        <f>AVERAGE(C90:C96)</f>
        <v>87.15333333333335</v>
      </c>
      <c r="V38" s="50">
        <f>N49-N50</f>
        <v>0.79999999999999716</v>
      </c>
      <c r="W38" s="24">
        <f>STDEV(C90:C96)</f>
        <v>0.32041639575194319</v>
      </c>
      <c r="X38" s="97"/>
    </row>
    <row r="39" spans="1:24" x14ac:dyDescent="0.25">
      <c r="A39" s="29"/>
      <c r="B39" s="30">
        <v>676</v>
      </c>
      <c r="C39" s="48">
        <v>90.47</v>
      </c>
      <c r="D39" s="31">
        <v>83</v>
      </c>
      <c r="E39" s="12"/>
      <c r="Q39" s="92" t="s">
        <v>29</v>
      </c>
      <c r="R39" s="24">
        <f>AVERAGE(D97:D108)</f>
        <v>79.416666666666671</v>
      </c>
      <c r="S39" s="50">
        <f>K52-K53</f>
        <v>49</v>
      </c>
      <c r="T39" s="24">
        <f>STDEV(D97:D108)</f>
        <v>14.926841797935907</v>
      </c>
      <c r="U39" s="96">
        <f>AVERAGE(C97:C108)</f>
        <v>86.38000000000001</v>
      </c>
      <c r="V39" s="50">
        <f>N52-N53</f>
        <v>6</v>
      </c>
      <c r="W39" s="24">
        <f>STDEV(C97:C108)</f>
        <v>1.7731328207441206</v>
      </c>
      <c r="X39" s="97"/>
    </row>
    <row r="40" spans="1:24" x14ac:dyDescent="0.25">
      <c r="A40" s="8" t="s">
        <v>19</v>
      </c>
      <c r="B40" s="9">
        <v>677</v>
      </c>
      <c r="C40" s="10">
        <v>84.67</v>
      </c>
      <c r="D40" s="51">
        <v>69</v>
      </c>
      <c r="E40" s="52"/>
      <c r="K40" s="49">
        <f>MAX(D56:D65)</f>
        <v>109</v>
      </c>
      <c r="N40" s="45">
        <f>MAX(C56:C65)</f>
        <v>87</v>
      </c>
    </row>
    <row r="41" spans="1:24" x14ac:dyDescent="0.25">
      <c r="A41" s="13" t="s">
        <v>35</v>
      </c>
      <c r="B41" s="14">
        <v>678</v>
      </c>
      <c r="C41" s="15">
        <v>87.04</v>
      </c>
      <c r="D41" s="53">
        <v>90</v>
      </c>
      <c r="E41" s="52"/>
      <c r="K41" s="49">
        <f>MIN(D56:D65)</f>
        <v>34</v>
      </c>
      <c r="N41" s="45">
        <f>MIN(C56:C65)</f>
        <v>76</v>
      </c>
    </row>
    <row r="42" spans="1:24" x14ac:dyDescent="0.25">
      <c r="A42" s="13"/>
      <c r="B42" s="14">
        <v>679</v>
      </c>
      <c r="C42" s="15">
        <v>83.64</v>
      </c>
      <c r="D42" s="53">
        <v>86</v>
      </c>
      <c r="E42" s="52"/>
      <c r="Q42" t="s">
        <v>36</v>
      </c>
    </row>
    <row r="43" spans="1:24" x14ac:dyDescent="0.25">
      <c r="A43" s="13"/>
      <c r="B43" s="14">
        <v>680</v>
      </c>
      <c r="C43" s="15">
        <v>87.04</v>
      </c>
      <c r="D43" s="53">
        <v>61</v>
      </c>
      <c r="E43" s="52"/>
      <c r="K43" s="49">
        <f>MAX(D70:D77)</f>
        <v>111</v>
      </c>
      <c r="N43" s="45">
        <f>MAX(C70:C77)</f>
        <v>87</v>
      </c>
    </row>
    <row r="44" spans="1:24" x14ac:dyDescent="0.25">
      <c r="A44" s="13"/>
      <c r="B44" s="14">
        <v>681</v>
      </c>
      <c r="C44" s="15">
        <v>84.67</v>
      </c>
      <c r="D44" s="53">
        <v>124</v>
      </c>
      <c r="E44" s="52"/>
      <c r="K44" s="49">
        <f>MIN(D70:D77)</f>
        <v>52</v>
      </c>
      <c r="N44" s="45">
        <f>MIN(C70:C77)</f>
        <v>81</v>
      </c>
    </row>
    <row r="45" spans="1:24" x14ac:dyDescent="0.25">
      <c r="A45" s="29"/>
      <c r="B45" s="30">
        <v>682</v>
      </c>
      <c r="C45" s="48">
        <v>85.32</v>
      </c>
      <c r="D45" s="54">
        <v>108</v>
      </c>
      <c r="E45" s="52"/>
    </row>
    <row r="46" spans="1:24" x14ac:dyDescent="0.25">
      <c r="A46" s="8" t="s">
        <v>21</v>
      </c>
      <c r="B46" s="9">
        <v>683</v>
      </c>
      <c r="C46" s="55">
        <v>47.4</v>
      </c>
      <c r="D46" s="56">
        <v>122</v>
      </c>
      <c r="E46" s="15"/>
      <c r="G46" t="s">
        <v>37</v>
      </c>
      <c r="K46" s="49">
        <f>MAX(D78:D89)</f>
        <v>108</v>
      </c>
      <c r="N46" s="45">
        <f>MAX(C78:C89)</f>
        <v>88</v>
      </c>
    </row>
    <row r="47" spans="1:24" x14ac:dyDescent="0.25">
      <c r="A47" s="13" t="s">
        <v>38</v>
      </c>
      <c r="B47" s="14">
        <v>684</v>
      </c>
      <c r="C47" s="16">
        <v>76.3</v>
      </c>
      <c r="D47" s="57">
        <v>97</v>
      </c>
      <c r="E47" s="15"/>
      <c r="K47" s="49">
        <f>MIN(D78:D89)</f>
        <v>53</v>
      </c>
      <c r="N47" s="45">
        <f>MIN(C78:C89)</f>
        <v>82</v>
      </c>
    </row>
    <row r="48" spans="1:24" x14ac:dyDescent="0.25">
      <c r="A48" s="13"/>
      <c r="B48" s="14">
        <v>686</v>
      </c>
      <c r="C48" s="16">
        <v>80.900000000000006</v>
      </c>
      <c r="D48" s="57">
        <v>115</v>
      </c>
      <c r="E48" s="15"/>
    </row>
    <row r="49" spans="1:16" x14ac:dyDescent="0.25">
      <c r="A49" s="13"/>
      <c r="B49" s="14">
        <v>687</v>
      </c>
      <c r="C49" s="16">
        <v>83.1</v>
      </c>
      <c r="D49" s="57">
        <v>66</v>
      </c>
      <c r="E49" s="15"/>
      <c r="K49" s="49">
        <f>MAX(D90:D96)</f>
        <v>116</v>
      </c>
      <c r="N49" s="45">
        <f>MAX(C90:C96)</f>
        <v>87.8</v>
      </c>
    </row>
    <row r="50" spans="1:16" x14ac:dyDescent="0.25">
      <c r="A50" s="13"/>
      <c r="B50" s="14">
        <v>688</v>
      </c>
      <c r="C50" s="16">
        <v>75.599999999999994</v>
      </c>
      <c r="D50" s="57">
        <v>72</v>
      </c>
      <c r="E50" s="15"/>
      <c r="K50" s="49">
        <f>MIN(D90:D96)</f>
        <v>49</v>
      </c>
      <c r="N50" s="45">
        <f>MIN(C90:C96)</f>
        <v>87</v>
      </c>
    </row>
    <row r="51" spans="1:16" x14ac:dyDescent="0.25">
      <c r="A51" s="13"/>
      <c r="B51" s="14">
        <v>689</v>
      </c>
      <c r="C51" s="16">
        <v>79.099999999999994</v>
      </c>
      <c r="D51" s="57">
        <v>67</v>
      </c>
      <c r="E51" s="15"/>
    </row>
    <row r="52" spans="1:16" x14ac:dyDescent="0.25">
      <c r="A52" s="13"/>
      <c r="B52" s="14">
        <v>690</v>
      </c>
      <c r="C52" s="16">
        <v>84.5</v>
      </c>
      <c r="D52" s="57">
        <v>69</v>
      </c>
      <c r="E52" s="15"/>
      <c r="K52" s="49">
        <f>MAX(D97:D108)</f>
        <v>102</v>
      </c>
      <c r="N52" s="45">
        <f>MAX(C97:C108)</f>
        <v>88</v>
      </c>
    </row>
    <row r="53" spans="1:16" x14ac:dyDescent="0.25">
      <c r="A53" s="13"/>
      <c r="B53" s="14">
        <v>691</v>
      </c>
      <c r="C53" s="16">
        <v>86.9</v>
      </c>
      <c r="D53" s="57">
        <v>94</v>
      </c>
      <c r="E53" s="15"/>
      <c r="K53" s="49">
        <f>MIN(D97:D108)</f>
        <v>53</v>
      </c>
      <c r="N53" s="45">
        <f>MIN(C97:C108)</f>
        <v>82</v>
      </c>
      <c r="P53" s="58"/>
    </row>
    <row r="54" spans="1:16" x14ac:dyDescent="0.25">
      <c r="A54" s="13"/>
      <c r="B54" s="14">
        <v>692</v>
      </c>
      <c r="C54" s="16">
        <v>85</v>
      </c>
      <c r="D54" s="57">
        <v>64</v>
      </c>
      <c r="E54" s="15"/>
    </row>
    <row r="55" spans="1:16" x14ac:dyDescent="0.25">
      <c r="A55" s="29"/>
      <c r="B55" s="30">
        <v>693</v>
      </c>
      <c r="C55" s="31">
        <v>80.7</v>
      </c>
      <c r="D55" s="59">
        <v>70</v>
      </c>
      <c r="E55" s="15"/>
    </row>
    <row r="56" spans="1:16" x14ac:dyDescent="0.25">
      <c r="A56" s="9" t="s">
        <v>39</v>
      </c>
      <c r="B56" s="60">
        <v>695</v>
      </c>
      <c r="C56" s="61">
        <v>85</v>
      </c>
      <c r="D56" s="56">
        <v>74</v>
      </c>
      <c r="E56" s="15"/>
      <c r="G56" t="s">
        <v>40</v>
      </c>
    </row>
    <row r="57" spans="1:16" x14ac:dyDescent="0.25">
      <c r="A57" s="13" t="s">
        <v>6</v>
      </c>
      <c r="B57" s="60">
        <v>696</v>
      </c>
      <c r="C57" s="16">
        <v>80</v>
      </c>
      <c r="D57" s="57">
        <v>96</v>
      </c>
      <c r="E57" s="15"/>
    </row>
    <row r="58" spans="1:16" x14ac:dyDescent="0.25">
      <c r="B58" s="60">
        <v>697</v>
      </c>
      <c r="C58" s="16">
        <v>76</v>
      </c>
      <c r="D58" s="57">
        <v>96</v>
      </c>
      <c r="E58" s="15"/>
    </row>
    <row r="59" spans="1:16" x14ac:dyDescent="0.25">
      <c r="A59" s="13"/>
      <c r="B59" s="60">
        <v>698</v>
      </c>
      <c r="C59" s="16">
        <v>83</v>
      </c>
      <c r="D59" s="57">
        <v>100</v>
      </c>
      <c r="E59" s="15"/>
    </row>
    <row r="60" spans="1:16" x14ac:dyDescent="0.25">
      <c r="A60" s="13"/>
      <c r="B60" s="60">
        <v>699</v>
      </c>
      <c r="C60" s="16">
        <v>87</v>
      </c>
      <c r="D60" s="57">
        <v>84</v>
      </c>
      <c r="E60" s="15"/>
    </row>
    <row r="61" spans="1:16" x14ac:dyDescent="0.25">
      <c r="A61" s="13"/>
      <c r="B61" s="60">
        <v>700</v>
      </c>
      <c r="C61" s="16">
        <v>87</v>
      </c>
      <c r="D61" s="57">
        <v>109</v>
      </c>
      <c r="E61" s="15"/>
    </row>
    <row r="62" spans="1:16" x14ac:dyDescent="0.25">
      <c r="A62" s="13"/>
      <c r="B62" s="60">
        <v>703</v>
      </c>
      <c r="C62" s="16">
        <v>85</v>
      </c>
      <c r="D62" s="57">
        <v>95</v>
      </c>
      <c r="E62" s="15"/>
    </row>
    <row r="63" spans="1:16" x14ac:dyDescent="0.25">
      <c r="A63" s="13"/>
      <c r="B63" s="60">
        <v>704</v>
      </c>
      <c r="C63" s="16">
        <v>84</v>
      </c>
      <c r="D63" s="57">
        <v>47</v>
      </c>
      <c r="E63" s="15"/>
    </row>
    <row r="64" spans="1:16" x14ac:dyDescent="0.25">
      <c r="A64" s="13"/>
      <c r="B64" s="60">
        <v>705</v>
      </c>
      <c r="C64" s="16">
        <v>81</v>
      </c>
      <c r="D64" s="57">
        <v>99</v>
      </c>
      <c r="E64" s="15"/>
      <c r="J64" s="58"/>
      <c r="K64" s="58"/>
    </row>
    <row r="65" spans="1:14" x14ac:dyDescent="0.25">
      <c r="A65" s="13"/>
      <c r="B65" s="60">
        <v>707</v>
      </c>
      <c r="C65" s="31">
        <v>82</v>
      </c>
      <c r="D65" s="59">
        <v>34</v>
      </c>
      <c r="E65" s="15"/>
      <c r="J65" s="58"/>
      <c r="K65" s="58"/>
    </row>
    <row r="66" spans="1:14" x14ac:dyDescent="0.25">
      <c r="A66" s="9" t="s">
        <v>25</v>
      </c>
      <c r="B66" s="62">
        <v>701</v>
      </c>
      <c r="C66" s="11">
        <v>83</v>
      </c>
      <c r="D66" s="11">
        <v>98</v>
      </c>
      <c r="E66" s="12"/>
      <c r="G66" t="s">
        <v>41</v>
      </c>
      <c r="J66" s="58"/>
      <c r="K66" s="58"/>
    </row>
    <row r="67" spans="1:14" x14ac:dyDescent="0.25">
      <c r="A67" s="13" t="s">
        <v>6</v>
      </c>
      <c r="B67" s="60">
        <v>702</v>
      </c>
      <c r="C67" s="16">
        <v>85</v>
      </c>
      <c r="D67" s="16">
        <v>107</v>
      </c>
      <c r="E67" s="12"/>
      <c r="J67" s="58"/>
      <c r="K67" s="58"/>
      <c r="L67" t="s">
        <v>78</v>
      </c>
    </row>
    <row r="68" spans="1:14" x14ac:dyDescent="0.25">
      <c r="A68" s="13"/>
      <c r="B68" s="60">
        <v>706</v>
      </c>
      <c r="C68" s="16">
        <v>79</v>
      </c>
      <c r="D68" s="16">
        <v>106</v>
      </c>
      <c r="E68" s="12"/>
      <c r="J68" s="58"/>
      <c r="K68" s="58"/>
      <c r="L68" t="s">
        <v>48</v>
      </c>
      <c r="M68" t="s">
        <v>49</v>
      </c>
      <c r="N68" t="s">
        <v>50</v>
      </c>
    </row>
    <row r="69" spans="1:14" x14ac:dyDescent="0.25">
      <c r="A69" s="29"/>
      <c r="B69" s="63">
        <v>708</v>
      </c>
      <c r="C69" s="31">
        <v>81</v>
      </c>
      <c r="D69" s="31">
        <v>25</v>
      </c>
      <c r="E69" s="12"/>
      <c r="H69" s="58"/>
      <c r="J69" s="58"/>
      <c r="K69" s="58"/>
    </row>
    <row r="70" spans="1:14" x14ac:dyDescent="0.25">
      <c r="A70" s="9" t="s">
        <v>26</v>
      </c>
      <c r="B70" s="60">
        <v>709</v>
      </c>
      <c r="C70" s="61">
        <v>86</v>
      </c>
      <c r="D70" s="57">
        <v>76</v>
      </c>
      <c r="E70" s="15"/>
      <c r="L70" t="s">
        <v>51</v>
      </c>
      <c r="M70" t="s">
        <v>53</v>
      </c>
      <c r="N70" t="s">
        <v>54</v>
      </c>
    </row>
    <row r="71" spans="1:14" x14ac:dyDescent="0.25">
      <c r="A71" s="13" t="s">
        <v>6</v>
      </c>
      <c r="B71" s="60">
        <v>710</v>
      </c>
      <c r="C71" s="16">
        <v>82</v>
      </c>
      <c r="D71" s="57">
        <v>79</v>
      </c>
      <c r="E71" s="15"/>
    </row>
    <row r="72" spans="1:14" x14ac:dyDescent="0.25">
      <c r="A72" s="13" t="s">
        <v>71</v>
      </c>
      <c r="B72" s="60">
        <v>711</v>
      </c>
      <c r="C72" s="16">
        <v>84</v>
      </c>
      <c r="D72" s="57">
        <v>65</v>
      </c>
      <c r="E72" s="15"/>
      <c r="L72" t="s">
        <v>52</v>
      </c>
      <c r="M72" t="s">
        <v>55</v>
      </c>
      <c r="N72" t="s">
        <v>56</v>
      </c>
    </row>
    <row r="73" spans="1:14" x14ac:dyDescent="0.25">
      <c r="A73" s="13" t="s">
        <v>72</v>
      </c>
      <c r="B73" s="60">
        <v>712</v>
      </c>
      <c r="C73" s="16">
        <v>82</v>
      </c>
      <c r="D73" s="57">
        <v>75</v>
      </c>
      <c r="E73" s="15"/>
      <c r="J73" s="58"/>
      <c r="K73" s="58"/>
    </row>
    <row r="74" spans="1:14" x14ac:dyDescent="0.25">
      <c r="A74" s="13"/>
      <c r="B74" s="60">
        <v>713</v>
      </c>
      <c r="C74" s="16">
        <v>81</v>
      </c>
      <c r="D74" s="57">
        <v>52</v>
      </c>
      <c r="E74" s="15"/>
    </row>
    <row r="75" spans="1:14" x14ac:dyDescent="0.25">
      <c r="A75" s="13"/>
      <c r="B75" s="60">
        <v>714</v>
      </c>
      <c r="C75" s="16">
        <v>87</v>
      </c>
      <c r="D75" s="57">
        <v>88</v>
      </c>
      <c r="E75" s="15"/>
    </row>
    <row r="76" spans="1:14" x14ac:dyDescent="0.25">
      <c r="A76" s="13"/>
      <c r="B76" s="60">
        <v>715</v>
      </c>
      <c r="C76" s="16">
        <v>85</v>
      </c>
      <c r="D76" s="57">
        <v>111</v>
      </c>
      <c r="E76" s="15"/>
    </row>
    <row r="77" spans="1:14" x14ac:dyDescent="0.25">
      <c r="A77" s="29"/>
      <c r="B77" s="63">
        <v>716</v>
      </c>
      <c r="C77" s="31">
        <v>84</v>
      </c>
      <c r="D77" s="59">
        <v>111</v>
      </c>
      <c r="E77" s="15" t="s">
        <v>42</v>
      </c>
      <c r="H77" s="58"/>
      <c r="J77" s="58"/>
      <c r="K77" s="58"/>
    </row>
    <row r="78" spans="1:14" x14ac:dyDescent="0.25">
      <c r="A78" s="9" t="s">
        <v>43</v>
      </c>
      <c r="B78" s="60">
        <v>718</v>
      </c>
      <c r="C78" s="61">
        <v>82</v>
      </c>
      <c r="D78" s="57">
        <v>65</v>
      </c>
      <c r="E78" s="9">
        <v>0.5</v>
      </c>
    </row>
    <row r="79" spans="1:14" x14ac:dyDescent="0.25">
      <c r="A79" s="13"/>
      <c r="B79" s="60">
        <v>719</v>
      </c>
      <c r="C79" s="16">
        <v>87</v>
      </c>
      <c r="D79" s="57">
        <v>94</v>
      </c>
      <c r="E79" s="14">
        <v>0.5</v>
      </c>
    </row>
    <row r="80" spans="1:14" x14ac:dyDescent="0.25">
      <c r="A80" s="13" t="s">
        <v>73</v>
      </c>
      <c r="B80" s="60">
        <v>721</v>
      </c>
      <c r="C80" s="16">
        <v>87.4</v>
      </c>
      <c r="D80" s="57">
        <v>53</v>
      </c>
      <c r="E80" s="14">
        <v>0.5</v>
      </c>
    </row>
    <row r="81" spans="1:11" x14ac:dyDescent="0.25">
      <c r="A81" s="13"/>
      <c r="B81" s="60">
        <v>722</v>
      </c>
      <c r="C81" s="16">
        <v>86.5</v>
      </c>
      <c r="D81" s="57">
        <v>64</v>
      </c>
      <c r="E81" s="14">
        <v>0.5</v>
      </c>
      <c r="J81" s="58"/>
      <c r="K81" s="58"/>
    </row>
    <row r="82" spans="1:11" x14ac:dyDescent="0.25">
      <c r="A82" s="13"/>
      <c r="B82" s="60">
        <v>723</v>
      </c>
      <c r="C82" s="16">
        <v>87.8</v>
      </c>
      <c r="D82" s="57">
        <v>93</v>
      </c>
      <c r="E82" s="14">
        <v>0.5</v>
      </c>
    </row>
    <row r="83" spans="1:11" x14ac:dyDescent="0.25">
      <c r="A83" s="13"/>
      <c r="B83" s="60">
        <v>724</v>
      </c>
      <c r="C83" s="16">
        <v>87.3</v>
      </c>
      <c r="D83" s="57">
        <v>83</v>
      </c>
      <c r="E83" s="14">
        <v>0.5</v>
      </c>
    </row>
    <row r="84" spans="1:11" x14ac:dyDescent="0.25">
      <c r="A84" s="13"/>
      <c r="B84" s="60">
        <v>726</v>
      </c>
      <c r="C84" s="16">
        <v>87.5</v>
      </c>
      <c r="D84" s="57">
        <v>95</v>
      </c>
      <c r="E84" s="14">
        <v>0.5</v>
      </c>
    </row>
    <row r="85" spans="1:11" x14ac:dyDescent="0.25">
      <c r="A85" s="13"/>
      <c r="B85" s="60">
        <v>727</v>
      </c>
      <c r="C85" s="16">
        <v>85.1</v>
      </c>
      <c r="D85" s="57">
        <v>72</v>
      </c>
      <c r="E85" s="14">
        <v>0.5</v>
      </c>
      <c r="H85" s="58"/>
      <c r="J85" s="58"/>
      <c r="K85" s="58"/>
    </row>
    <row r="86" spans="1:11" x14ac:dyDescent="0.25">
      <c r="A86"/>
      <c r="B86" s="60">
        <v>728</v>
      </c>
      <c r="C86" s="16">
        <v>85.7</v>
      </c>
      <c r="D86" s="57">
        <v>75</v>
      </c>
      <c r="E86" s="14">
        <v>0.5</v>
      </c>
    </row>
    <row r="87" spans="1:11" x14ac:dyDescent="0.25">
      <c r="A87" s="13"/>
      <c r="B87" s="60">
        <v>730</v>
      </c>
      <c r="C87" s="16">
        <v>88</v>
      </c>
      <c r="D87" s="57">
        <v>76</v>
      </c>
      <c r="E87" s="14">
        <v>0.5</v>
      </c>
    </row>
    <row r="88" spans="1:11" x14ac:dyDescent="0.25">
      <c r="A88" s="13"/>
      <c r="B88" s="60">
        <v>731</v>
      </c>
      <c r="C88" s="64" t="s">
        <v>44</v>
      </c>
      <c r="D88" s="57">
        <v>79</v>
      </c>
      <c r="E88" s="14">
        <v>0.5</v>
      </c>
    </row>
    <row r="89" spans="1:11" x14ac:dyDescent="0.25">
      <c r="A89" s="13"/>
      <c r="B89" s="63">
        <v>735</v>
      </c>
      <c r="C89" s="31">
        <v>87</v>
      </c>
      <c r="D89" s="59">
        <v>108</v>
      </c>
      <c r="E89" s="14">
        <v>0.7</v>
      </c>
      <c r="J89" s="58"/>
      <c r="K89" s="58"/>
    </row>
    <row r="90" spans="1:11" x14ac:dyDescent="0.25">
      <c r="A90" s="9" t="s">
        <v>28</v>
      </c>
      <c r="B90" s="60">
        <v>717</v>
      </c>
      <c r="C90" s="61">
        <v>87</v>
      </c>
      <c r="D90" s="57">
        <v>97</v>
      </c>
      <c r="E90" s="65">
        <v>1</v>
      </c>
    </row>
    <row r="91" spans="1:11" x14ac:dyDescent="0.25">
      <c r="A91" s="13"/>
      <c r="B91" s="60">
        <v>720</v>
      </c>
      <c r="C91" s="16">
        <v>87</v>
      </c>
      <c r="D91" s="57">
        <v>69</v>
      </c>
      <c r="E91" s="66">
        <v>1</v>
      </c>
    </row>
    <row r="92" spans="1:11" x14ac:dyDescent="0.25">
      <c r="A92" s="13" t="s">
        <v>73</v>
      </c>
      <c r="B92" s="60">
        <v>723</v>
      </c>
      <c r="C92" s="16">
        <v>87.8</v>
      </c>
      <c r="D92" s="57">
        <v>91</v>
      </c>
      <c r="E92" s="66">
        <v>0.5</v>
      </c>
    </row>
    <row r="93" spans="1:11" x14ac:dyDescent="0.25">
      <c r="A93" s="13"/>
      <c r="B93" s="60">
        <v>725</v>
      </c>
      <c r="C93" s="16">
        <v>87.12</v>
      </c>
      <c r="D93" s="57">
        <v>100.1</v>
      </c>
      <c r="E93" s="66">
        <v>1</v>
      </c>
    </row>
    <row r="94" spans="1:11" x14ac:dyDescent="0.25">
      <c r="A94" s="13"/>
      <c r="B94" s="60">
        <v>729</v>
      </c>
      <c r="C94" s="16" t="s">
        <v>44</v>
      </c>
      <c r="D94" s="57">
        <v>49</v>
      </c>
      <c r="E94" s="66">
        <v>1</v>
      </c>
    </row>
    <row r="95" spans="1:11" x14ac:dyDescent="0.25">
      <c r="A95" s="13"/>
      <c r="B95" s="60">
        <v>732</v>
      </c>
      <c r="C95" s="16">
        <v>87</v>
      </c>
      <c r="D95" s="57">
        <v>116</v>
      </c>
      <c r="E95" s="66">
        <v>1</v>
      </c>
    </row>
    <row r="96" spans="1:11" x14ac:dyDescent="0.25">
      <c r="A96" s="13"/>
      <c r="B96" s="60">
        <v>735</v>
      </c>
      <c r="C96" s="16">
        <v>87</v>
      </c>
      <c r="D96" s="57">
        <v>108</v>
      </c>
      <c r="E96" s="67">
        <v>0.33</v>
      </c>
    </row>
    <row r="97" spans="1:11" x14ac:dyDescent="0.25">
      <c r="A97" s="9" t="s">
        <v>29</v>
      </c>
      <c r="B97" s="62">
        <v>718</v>
      </c>
      <c r="C97" s="61">
        <v>82</v>
      </c>
      <c r="D97" s="62">
        <v>65</v>
      </c>
      <c r="E97" s="65">
        <v>0.5</v>
      </c>
    </row>
    <row r="98" spans="1:11" x14ac:dyDescent="0.25">
      <c r="A98" s="13"/>
      <c r="B98" s="60">
        <v>719</v>
      </c>
      <c r="C98" s="16">
        <v>87</v>
      </c>
      <c r="D98" s="57">
        <v>94</v>
      </c>
      <c r="E98" s="68">
        <v>0.5</v>
      </c>
    </row>
    <row r="99" spans="1:11" x14ac:dyDescent="0.25">
      <c r="A99" s="13" t="s">
        <v>74</v>
      </c>
      <c r="B99" s="60">
        <v>721</v>
      </c>
      <c r="C99" s="16">
        <v>87.4</v>
      </c>
      <c r="D99" s="57">
        <v>53</v>
      </c>
      <c r="E99" s="68">
        <v>0.5</v>
      </c>
    </row>
    <row r="100" spans="1:11" x14ac:dyDescent="0.25">
      <c r="A100" s="13"/>
      <c r="B100" s="60">
        <v>722</v>
      </c>
      <c r="C100" s="16">
        <v>86.5</v>
      </c>
      <c r="D100" s="57">
        <v>64</v>
      </c>
      <c r="E100" s="68">
        <v>0.5</v>
      </c>
    </row>
    <row r="101" spans="1:11" x14ac:dyDescent="0.25">
      <c r="A101" s="13"/>
      <c r="B101" s="60">
        <v>724</v>
      </c>
      <c r="C101" s="16">
        <v>87.3</v>
      </c>
      <c r="D101" s="57">
        <v>83</v>
      </c>
      <c r="E101" s="68">
        <v>0.5</v>
      </c>
    </row>
    <row r="102" spans="1:11" x14ac:dyDescent="0.25">
      <c r="A102" s="13"/>
      <c r="B102" s="60">
        <v>726</v>
      </c>
      <c r="C102" s="16">
        <v>87.5</v>
      </c>
      <c r="D102" s="57">
        <v>95</v>
      </c>
      <c r="E102" s="68">
        <v>0.5</v>
      </c>
    </row>
    <row r="103" spans="1:11" x14ac:dyDescent="0.25">
      <c r="A103" s="13"/>
      <c r="B103" s="60">
        <v>727</v>
      </c>
      <c r="C103" s="16">
        <v>85.1</v>
      </c>
      <c r="D103" s="57">
        <v>72</v>
      </c>
      <c r="E103" s="68">
        <v>0.5</v>
      </c>
    </row>
    <row r="104" spans="1:11" x14ac:dyDescent="0.25">
      <c r="A104" s="13"/>
      <c r="B104" s="60">
        <v>728</v>
      </c>
      <c r="C104" s="16">
        <v>85.7</v>
      </c>
      <c r="D104" s="57">
        <v>75</v>
      </c>
      <c r="E104" s="68">
        <v>0.5</v>
      </c>
    </row>
    <row r="105" spans="1:11" x14ac:dyDescent="0.25">
      <c r="A105" s="13"/>
      <c r="B105" s="60">
        <v>730</v>
      </c>
      <c r="C105" s="16">
        <v>88</v>
      </c>
      <c r="D105" s="57">
        <v>76</v>
      </c>
      <c r="E105" s="68">
        <v>0.5</v>
      </c>
    </row>
    <row r="106" spans="1:11" x14ac:dyDescent="0.25">
      <c r="A106" s="13"/>
      <c r="B106" s="60">
        <v>731</v>
      </c>
      <c r="C106" s="16" t="s">
        <v>44</v>
      </c>
      <c r="D106" s="57">
        <v>79</v>
      </c>
      <c r="E106" s="68">
        <v>0.5</v>
      </c>
    </row>
    <row r="107" spans="1:11" x14ac:dyDescent="0.25">
      <c r="A107" s="13"/>
      <c r="B107" s="60">
        <v>733</v>
      </c>
      <c r="C107" s="16" t="s">
        <v>44</v>
      </c>
      <c r="D107" s="57">
        <v>95</v>
      </c>
      <c r="E107" s="68">
        <v>1</v>
      </c>
      <c r="H107" s="58"/>
      <c r="J107" s="58"/>
      <c r="K107" s="58"/>
    </row>
    <row r="108" spans="1:11" x14ac:dyDescent="0.25">
      <c r="A108" s="29"/>
      <c r="B108" s="63">
        <v>734</v>
      </c>
      <c r="C108" s="31">
        <v>87.3</v>
      </c>
      <c r="D108" s="59">
        <v>102</v>
      </c>
      <c r="E108" s="69">
        <v>1</v>
      </c>
    </row>
    <row r="109" spans="1:11" ht="15.75" thickBot="1" x14ac:dyDescent="0.3">
      <c r="A109" s="3" t="s">
        <v>65</v>
      </c>
    </row>
    <row r="110" spans="1:11" ht="31.5" thickTop="1" thickBot="1" x14ac:dyDescent="0.3">
      <c r="A110" s="98" t="s">
        <v>57</v>
      </c>
      <c r="B110" s="99" t="s">
        <v>4</v>
      </c>
      <c r="C110" s="99" t="s">
        <v>58</v>
      </c>
      <c r="D110" s="99" t="s">
        <v>59</v>
      </c>
    </row>
    <row r="111" spans="1:11" ht="47.25" thickTop="1" thickBot="1" x14ac:dyDescent="0.3">
      <c r="A111" s="100">
        <v>717</v>
      </c>
      <c r="B111" s="101">
        <v>97</v>
      </c>
      <c r="C111" s="101">
        <v>87</v>
      </c>
      <c r="D111" s="102" t="s">
        <v>60</v>
      </c>
    </row>
    <row r="112" spans="1:11" ht="46.5" thickBot="1" x14ac:dyDescent="0.3">
      <c r="A112" s="103">
        <v>720</v>
      </c>
      <c r="B112" s="101">
        <v>69</v>
      </c>
      <c r="C112" s="101">
        <v>87</v>
      </c>
      <c r="D112" s="102" t="s">
        <v>60</v>
      </c>
    </row>
    <row r="113" spans="1:6" ht="76.5" thickBot="1" x14ac:dyDescent="0.3">
      <c r="A113" s="103">
        <v>723</v>
      </c>
      <c r="B113" s="101">
        <v>91</v>
      </c>
      <c r="C113" s="101">
        <v>87.8</v>
      </c>
      <c r="D113" s="104" t="s">
        <v>61</v>
      </c>
    </row>
    <row r="114" spans="1:6" ht="46.5" thickBot="1" x14ac:dyDescent="0.3">
      <c r="A114" s="103">
        <v>725</v>
      </c>
      <c r="B114" s="101">
        <v>100.1</v>
      </c>
      <c r="C114" s="101">
        <v>87.12</v>
      </c>
      <c r="D114" s="104" t="s">
        <v>62</v>
      </c>
    </row>
    <row r="115" spans="1:6" ht="46.5" thickBot="1" x14ac:dyDescent="0.3">
      <c r="A115" s="103">
        <v>729</v>
      </c>
      <c r="B115" s="101">
        <v>49</v>
      </c>
      <c r="C115" s="101">
        <v>87</v>
      </c>
      <c r="D115" s="104" t="s">
        <v>63</v>
      </c>
    </row>
    <row r="116" spans="1:6" ht="46.5" thickBot="1" x14ac:dyDescent="0.3">
      <c r="A116" s="103">
        <v>732</v>
      </c>
      <c r="B116" s="101">
        <v>116</v>
      </c>
      <c r="C116" s="101">
        <v>87</v>
      </c>
      <c r="D116" s="104" t="s">
        <v>62</v>
      </c>
    </row>
    <row r="117" spans="1:6" ht="61.5" thickBot="1" x14ac:dyDescent="0.3">
      <c r="A117" s="103">
        <v>735</v>
      </c>
      <c r="B117" s="101">
        <v>108</v>
      </c>
      <c r="C117" s="101">
        <v>87</v>
      </c>
      <c r="D117" s="104" t="s">
        <v>64</v>
      </c>
    </row>
    <row r="120" spans="1:6" x14ac:dyDescent="0.25">
      <c r="A120" s="17" t="s">
        <v>66</v>
      </c>
      <c r="B120"/>
      <c r="C120"/>
      <c r="D120"/>
    </row>
    <row r="121" spans="1:6" x14ac:dyDescent="0.25">
      <c r="A121"/>
      <c r="B121"/>
      <c r="C121"/>
      <c r="D121"/>
    </row>
    <row r="122" spans="1:6" x14ac:dyDescent="0.25">
      <c r="A122" s="5" t="s">
        <v>57</v>
      </c>
      <c r="B122" s="5" t="s">
        <v>4</v>
      </c>
      <c r="C122" s="5" t="s">
        <v>12</v>
      </c>
      <c r="D122"/>
    </row>
    <row r="123" spans="1:6" x14ac:dyDescent="0.25">
      <c r="A123" s="5">
        <v>736</v>
      </c>
      <c r="B123" s="5">
        <v>107</v>
      </c>
      <c r="C123" s="5">
        <v>2479</v>
      </c>
      <c r="D123"/>
    </row>
    <row r="124" spans="1:6" x14ac:dyDescent="0.25">
      <c r="A124" s="5">
        <v>737</v>
      </c>
      <c r="B124" s="5">
        <v>99</v>
      </c>
      <c r="C124" s="5">
        <v>3439</v>
      </c>
      <c r="D124"/>
    </row>
    <row r="125" spans="1:6" x14ac:dyDescent="0.25">
      <c r="A125" s="5">
        <v>738</v>
      </c>
      <c r="B125" s="5">
        <v>87</v>
      </c>
      <c r="C125" s="5">
        <v>2519</v>
      </c>
      <c r="D125"/>
    </row>
    <row r="126" spans="1:6" x14ac:dyDescent="0.25">
      <c r="A126" s="5">
        <v>739</v>
      </c>
      <c r="B126" s="5">
        <v>93</v>
      </c>
      <c r="C126" s="5">
        <v>5819</v>
      </c>
      <c r="D126"/>
    </row>
    <row r="127" spans="1:6" x14ac:dyDescent="0.25">
      <c r="A127" s="5">
        <v>740</v>
      </c>
      <c r="B127" s="5">
        <v>69</v>
      </c>
      <c r="C127" s="5">
        <v>859</v>
      </c>
      <c r="D127"/>
    </row>
    <row r="128" spans="1:6" x14ac:dyDescent="0.25">
      <c r="A128" s="5">
        <v>741</v>
      </c>
      <c r="B128" s="5">
        <v>58</v>
      </c>
      <c r="C128" s="5">
        <v>1300</v>
      </c>
      <c r="D128"/>
      <c r="F128" t="s">
        <v>69</v>
      </c>
    </row>
    <row r="129" spans="1:6" x14ac:dyDescent="0.25">
      <c r="A129" s="5">
        <v>742</v>
      </c>
      <c r="B129" s="5">
        <v>72</v>
      </c>
      <c r="C129" s="5">
        <v>1540</v>
      </c>
      <c r="D129"/>
    </row>
    <row r="130" spans="1:6" x14ac:dyDescent="0.25">
      <c r="A130"/>
      <c r="B130"/>
      <c r="C130"/>
      <c r="D130"/>
      <c r="F130" t="s">
        <v>70</v>
      </c>
    </row>
    <row r="131" spans="1:6" ht="15.75" thickBot="1" x14ac:dyDescent="0.3">
      <c r="A131" t="s">
        <v>68</v>
      </c>
    </row>
    <row r="132" spans="1:6" ht="15.75" thickBot="1" x14ac:dyDescent="0.3">
      <c r="A132" s="105" t="s">
        <v>57</v>
      </c>
      <c r="B132" s="106" t="s">
        <v>4</v>
      </c>
      <c r="C132" s="106" t="s">
        <v>67</v>
      </c>
    </row>
    <row r="133" spans="1:6" ht="15.75" thickBot="1" x14ac:dyDescent="0.3">
      <c r="A133" s="107">
        <v>736</v>
      </c>
      <c r="B133" s="108">
        <v>107</v>
      </c>
      <c r="C133" s="108">
        <v>2479</v>
      </c>
    </row>
    <row r="134" spans="1:6" ht="15.75" thickBot="1" x14ac:dyDescent="0.3">
      <c r="A134" s="107">
        <v>737</v>
      </c>
      <c r="B134" s="108">
        <v>99</v>
      </c>
      <c r="C134" s="108">
        <v>3439</v>
      </c>
    </row>
    <row r="135" spans="1:6" ht="15.75" thickBot="1" x14ac:dyDescent="0.3">
      <c r="A135" s="107">
        <v>738</v>
      </c>
      <c r="B135" s="108">
        <v>87</v>
      </c>
      <c r="C135" s="108">
        <v>2519</v>
      </c>
    </row>
    <row r="136" spans="1:6" ht="15.75" thickBot="1" x14ac:dyDescent="0.3">
      <c r="A136" s="107">
        <v>739</v>
      </c>
      <c r="B136" s="108">
        <v>93</v>
      </c>
      <c r="C136" s="108">
        <v>5819</v>
      </c>
    </row>
    <row r="137" spans="1:6" ht="15.75" thickBot="1" x14ac:dyDescent="0.3">
      <c r="A137" s="107">
        <v>740</v>
      </c>
      <c r="B137" s="108">
        <v>69</v>
      </c>
      <c r="C137" s="108">
        <v>859</v>
      </c>
    </row>
    <row r="138" spans="1:6" ht="15.75" thickBot="1" x14ac:dyDescent="0.3">
      <c r="A138" s="107">
        <v>741</v>
      </c>
      <c r="B138" s="108">
        <v>58</v>
      </c>
      <c r="C138" s="108">
        <v>1300</v>
      </c>
    </row>
    <row r="139" spans="1:6" ht="15.75" thickBot="1" x14ac:dyDescent="0.3">
      <c r="A139" s="107">
        <v>742</v>
      </c>
      <c r="B139" s="108">
        <v>72</v>
      </c>
      <c r="C139" s="108">
        <v>1540</v>
      </c>
    </row>
    <row r="141" spans="1:6" x14ac:dyDescent="0.25">
      <c r="A141" s="109" t="s">
        <v>75</v>
      </c>
      <c r="D141" s="109" t="s">
        <v>76</v>
      </c>
    </row>
    <row r="142" spans="1:6" ht="15.75" thickBot="1" x14ac:dyDescent="0.3"/>
    <row r="143" spans="1:6" ht="34.5" thickBot="1" x14ac:dyDescent="0.3">
      <c r="A143" s="115" t="s">
        <v>100</v>
      </c>
      <c r="B143" s="116" t="s">
        <v>101</v>
      </c>
      <c r="C143" s="116" t="s">
        <v>102</v>
      </c>
      <c r="D143" s="116" t="s">
        <v>103</v>
      </c>
      <c r="E143" s="116" t="s">
        <v>104</v>
      </c>
      <c r="F143" s="116" t="s">
        <v>11</v>
      </c>
    </row>
    <row r="144" spans="1:6" x14ac:dyDescent="0.25">
      <c r="A144" s="117">
        <v>766</v>
      </c>
      <c r="B144" s="118">
        <v>77</v>
      </c>
      <c r="C144" s="119">
        <v>42.5</v>
      </c>
      <c r="D144" s="117">
        <v>2599</v>
      </c>
      <c r="E144" s="120">
        <v>0.81029672280203258</v>
      </c>
      <c r="F144" s="121" t="s">
        <v>99</v>
      </c>
    </row>
    <row r="145" spans="1:6" x14ac:dyDescent="0.25">
      <c r="A145" s="117">
        <v>767</v>
      </c>
      <c r="B145" s="118">
        <v>100</v>
      </c>
      <c r="C145" s="119">
        <v>42.5</v>
      </c>
      <c r="D145" s="117">
        <v>2320</v>
      </c>
      <c r="E145" s="120">
        <v>0.86799999999999999</v>
      </c>
      <c r="F145" s="121"/>
    </row>
    <row r="146" spans="1:6" x14ac:dyDescent="0.25">
      <c r="A146" s="117">
        <v>768</v>
      </c>
      <c r="B146" s="118">
        <v>66</v>
      </c>
      <c r="C146" s="119">
        <v>43.4</v>
      </c>
      <c r="D146" s="117">
        <v>2300</v>
      </c>
      <c r="E146" s="120">
        <v>0.87264334954238665</v>
      </c>
      <c r="F146" s="121"/>
    </row>
    <row r="147" spans="1:6" x14ac:dyDescent="0.25">
      <c r="A147" s="117">
        <v>769</v>
      </c>
      <c r="B147" s="118">
        <v>121</v>
      </c>
      <c r="C147" s="119">
        <v>43.4</v>
      </c>
      <c r="D147" s="117">
        <v>999999999</v>
      </c>
      <c r="E147" s="120">
        <v>0.80761558341779571</v>
      </c>
      <c r="F147" s="121"/>
    </row>
    <row r="148" spans="1:6" x14ac:dyDescent="0.25">
      <c r="A148" s="117">
        <v>771</v>
      </c>
      <c r="B148" s="118">
        <v>87</v>
      </c>
      <c r="C148" s="119">
        <v>42.7</v>
      </c>
      <c r="D148" s="117">
        <v>2859</v>
      </c>
      <c r="E148" s="120">
        <v>0.74744894979444099</v>
      </c>
      <c r="F148" s="121"/>
    </row>
    <row r="149" spans="1:6" x14ac:dyDescent="0.25">
      <c r="A149" s="117">
        <v>773</v>
      </c>
      <c r="B149" s="118">
        <v>56</v>
      </c>
      <c r="C149" s="119">
        <v>43</v>
      </c>
      <c r="D149" s="117" t="s">
        <v>105</v>
      </c>
      <c r="E149" s="120">
        <v>0.82348809235773435</v>
      </c>
      <c r="F149" s="121"/>
    </row>
    <row r="150" spans="1:6" x14ac:dyDescent="0.25">
      <c r="A150" s="117">
        <v>781</v>
      </c>
      <c r="B150" s="118">
        <v>64</v>
      </c>
      <c r="C150" s="119">
        <v>42.4</v>
      </c>
      <c r="D150" s="117">
        <v>1140</v>
      </c>
      <c r="E150" s="120">
        <v>0.68936323650093967</v>
      </c>
      <c r="F150" s="121"/>
    </row>
    <row r="151" spans="1:6" x14ac:dyDescent="0.25">
      <c r="A151" s="117">
        <v>782</v>
      </c>
      <c r="B151" s="118">
        <v>78</v>
      </c>
      <c r="C151" s="119">
        <v>42.6</v>
      </c>
      <c r="D151" s="117">
        <v>1960</v>
      </c>
      <c r="E151" s="120">
        <v>0.82296287271161195</v>
      </c>
      <c r="F151" s="121"/>
    </row>
    <row r="152" spans="1:6" x14ac:dyDescent="0.25">
      <c r="A152" s="117">
        <v>783</v>
      </c>
      <c r="B152" s="118">
        <v>63</v>
      </c>
      <c r="C152" s="119" t="s">
        <v>105</v>
      </c>
      <c r="D152" s="117" t="s">
        <v>105</v>
      </c>
      <c r="E152" s="120">
        <v>0.79607781530900024</v>
      </c>
      <c r="F152" s="121"/>
    </row>
  </sheetData>
  <mergeCells count="2">
    <mergeCell ref="A1:D1"/>
    <mergeCell ref="A2:D2"/>
  </mergeCells>
  <printOptions horizontalCentered="1"/>
  <pageMargins left="0.46" right="0.41" top="0.75" bottom="0.75" header="0.3" footer="0.3"/>
  <pageSetup scale="66" orientation="portrait" copies="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A15" sqref="A15:T15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11.7109375" customWidth="1"/>
    <col min="4" max="4" width="10.28515625" customWidth="1"/>
    <col min="5" max="5" width="10.5703125" customWidth="1"/>
    <col min="6" max="6" width="10.28515625" customWidth="1"/>
    <col min="7" max="7" width="11.28515625" customWidth="1"/>
    <col min="8" max="8" width="9.7109375" customWidth="1"/>
    <col min="9" max="9" width="11.85546875" customWidth="1"/>
    <col min="10" max="10" width="12.7109375" customWidth="1"/>
    <col min="13" max="13" width="10.85546875" customWidth="1"/>
    <col min="14" max="14" width="11.85546875" customWidth="1"/>
    <col min="15" max="15" width="11.5703125" customWidth="1"/>
    <col min="16" max="16" width="12" customWidth="1"/>
    <col min="17" max="17" width="11" customWidth="1"/>
    <col min="18" max="18" width="9.85546875" customWidth="1"/>
    <col min="19" max="19" width="15.85546875" customWidth="1"/>
    <col min="20" max="20" width="12" bestFit="1" customWidth="1"/>
    <col min="21" max="21" width="11.42578125" bestFit="1" customWidth="1"/>
    <col min="22" max="22" width="13.85546875" customWidth="1"/>
    <col min="23" max="23" width="19" customWidth="1"/>
  </cols>
  <sheetData>
    <row r="1" spans="1:23" s="17" customFormat="1" x14ac:dyDescent="0.25">
      <c r="A1" s="144" t="s">
        <v>79</v>
      </c>
      <c r="B1" s="144" t="s">
        <v>127</v>
      </c>
      <c r="C1" s="144" t="s">
        <v>80</v>
      </c>
      <c r="D1" s="144" t="s">
        <v>94</v>
      </c>
      <c r="E1" s="144" t="s">
        <v>81</v>
      </c>
      <c r="F1" s="144" t="s">
        <v>82</v>
      </c>
      <c r="G1" s="144" t="s">
        <v>83</v>
      </c>
      <c r="H1" s="144" t="s">
        <v>84</v>
      </c>
      <c r="I1" s="144" t="s">
        <v>85</v>
      </c>
      <c r="J1" s="144" t="s">
        <v>86</v>
      </c>
      <c r="K1" s="144" t="s">
        <v>87</v>
      </c>
      <c r="L1" s="144" t="s">
        <v>88</v>
      </c>
      <c r="M1" s="144" t="s">
        <v>89</v>
      </c>
      <c r="N1" s="144" t="s">
        <v>90</v>
      </c>
      <c r="O1" s="144" t="s">
        <v>91</v>
      </c>
      <c r="P1" s="144" t="s">
        <v>92</v>
      </c>
      <c r="Q1" s="144" t="s">
        <v>38</v>
      </c>
      <c r="R1" s="144" t="s">
        <v>93</v>
      </c>
      <c r="S1" s="144" t="s">
        <v>59</v>
      </c>
      <c r="T1" s="144" t="s">
        <v>95</v>
      </c>
      <c r="U1" s="144" t="s">
        <v>96</v>
      </c>
      <c r="V1" s="144" t="s">
        <v>124</v>
      </c>
      <c r="W1" s="144" t="s">
        <v>125</v>
      </c>
    </row>
    <row r="2" spans="1:23" x14ac:dyDescent="0.25">
      <c r="A2" t="str">
        <f>'Data From Lance'!$A$6</f>
        <v>1D6D527</v>
      </c>
      <c r="B2" s="145"/>
      <c r="C2">
        <v>0</v>
      </c>
      <c r="D2">
        <v>0</v>
      </c>
      <c r="E2">
        <v>0</v>
      </c>
      <c r="F2">
        <v>1</v>
      </c>
      <c r="G2">
        <v>2</v>
      </c>
      <c r="H2">
        <v>2</v>
      </c>
      <c r="I2">
        <v>1</v>
      </c>
      <c r="J2">
        <v>1</v>
      </c>
      <c r="K2">
        <v>0</v>
      </c>
      <c r="L2">
        <v>2</v>
      </c>
      <c r="M2">
        <v>1</v>
      </c>
      <c r="N2">
        <v>3</v>
      </c>
      <c r="O2">
        <v>0</v>
      </c>
      <c r="P2">
        <v>0</v>
      </c>
      <c r="Q2">
        <v>0</v>
      </c>
      <c r="R2">
        <v>0</v>
      </c>
      <c r="S2" t="s">
        <v>6</v>
      </c>
      <c r="T2">
        <f t="shared" ref="T2:T17" si="0">SUM(C2:P2)</f>
        <v>13</v>
      </c>
      <c r="U2" s="112"/>
      <c r="V2" s="145"/>
    </row>
    <row r="3" spans="1:23" x14ac:dyDescent="0.25">
      <c r="A3" t="str">
        <f>'Data From Lance'!$A$19</f>
        <v>1D6D528</v>
      </c>
      <c r="B3" s="145"/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  <c r="L3">
        <v>2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 t="s">
        <v>6</v>
      </c>
      <c r="T3">
        <f t="shared" si="0"/>
        <v>6</v>
      </c>
      <c r="U3" s="112"/>
      <c r="V3" s="145"/>
    </row>
    <row r="4" spans="1:23" x14ac:dyDescent="0.25">
      <c r="A4" t="str">
        <f>'Data From Lance'!$A$25</f>
        <v>1D08J82</v>
      </c>
      <c r="B4" s="145"/>
      <c r="C4">
        <v>0</v>
      </c>
      <c r="D4">
        <v>0</v>
      </c>
      <c r="E4">
        <v>1</v>
      </c>
      <c r="F4">
        <v>0</v>
      </c>
      <c r="G4">
        <v>0</v>
      </c>
      <c r="H4">
        <v>2</v>
      </c>
      <c r="I4">
        <v>0</v>
      </c>
      <c r="J4">
        <v>0</v>
      </c>
      <c r="K4">
        <v>1</v>
      </c>
      <c r="L4">
        <v>0</v>
      </c>
      <c r="M4">
        <v>3</v>
      </c>
      <c r="N4">
        <v>0</v>
      </c>
      <c r="O4">
        <v>3</v>
      </c>
      <c r="P4">
        <v>0</v>
      </c>
      <c r="Q4">
        <v>0</v>
      </c>
      <c r="R4">
        <v>0</v>
      </c>
      <c r="S4" t="s">
        <v>6</v>
      </c>
      <c r="T4">
        <f t="shared" si="0"/>
        <v>10</v>
      </c>
      <c r="U4" s="112"/>
      <c r="V4" s="145"/>
    </row>
    <row r="5" spans="1:23" x14ac:dyDescent="0.25">
      <c r="A5" t="str">
        <f>'Data From Lance'!$A$35</f>
        <v>1D09L01</v>
      </c>
      <c r="B5" s="14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 t="str">
        <f>'Data From Lance'!$A$36</f>
        <v>Holes and shrinkage</v>
      </c>
      <c r="T5">
        <f t="shared" si="0"/>
        <v>5</v>
      </c>
      <c r="U5" s="113"/>
      <c r="V5" s="145"/>
    </row>
    <row r="6" spans="1:23" x14ac:dyDescent="0.25">
      <c r="A6" t="str">
        <f>'Data From Lance'!$A$40</f>
        <v>1D10L58</v>
      </c>
      <c r="B6" s="145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2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  <c r="S6" t="str">
        <f>'Data From Lance'!$A$41</f>
        <v>Too hard</v>
      </c>
      <c r="T6">
        <f t="shared" si="0"/>
        <v>6</v>
      </c>
      <c r="U6" s="114"/>
      <c r="V6" s="145"/>
    </row>
    <row r="7" spans="1:23" x14ac:dyDescent="0.25">
      <c r="A7" t="str">
        <f>'Data From Lance'!$A$46</f>
        <v>1D11J22</v>
      </c>
      <c r="B7" s="145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5</v>
      </c>
      <c r="J7">
        <v>1</v>
      </c>
      <c r="K7">
        <v>0</v>
      </c>
      <c r="L7">
        <v>2</v>
      </c>
      <c r="M7">
        <v>0</v>
      </c>
      <c r="N7">
        <v>1</v>
      </c>
      <c r="O7">
        <v>1</v>
      </c>
      <c r="P7">
        <v>0</v>
      </c>
      <c r="Q7">
        <v>1</v>
      </c>
      <c r="R7">
        <v>0</v>
      </c>
      <c r="S7" t="str">
        <f>'Data From Lance'!$A$47</f>
        <v>Shrinkage</v>
      </c>
      <c r="T7">
        <f t="shared" si="0"/>
        <v>10</v>
      </c>
      <c r="U7" s="114"/>
      <c r="V7" s="145"/>
    </row>
    <row r="8" spans="1:23" x14ac:dyDescent="0.25">
      <c r="A8" t="str">
        <f>'Data From Lance'!$A$56</f>
        <v>1D12F32/F33</v>
      </c>
      <c r="B8" s="145"/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5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 t="str">
        <f>'Data From Lance'!$A$57</f>
        <v>Good</v>
      </c>
      <c r="T8">
        <f t="shared" si="0"/>
        <v>10</v>
      </c>
      <c r="U8" s="112"/>
      <c r="V8" s="145"/>
    </row>
    <row r="9" spans="1:23" x14ac:dyDescent="0.25">
      <c r="A9" t="str">
        <f>'Data From Lance'!$A$66</f>
        <v>1D12F34</v>
      </c>
      <c r="B9" s="145"/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 t="str">
        <f>'Data From Lance'!$A$67</f>
        <v>Good</v>
      </c>
      <c r="T9">
        <f t="shared" si="0"/>
        <v>4</v>
      </c>
      <c r="U9" s="112"/>
      <c r="V9" s="145"/>
    </row>
    <row r="10" spans="1:23" x14ac:dyDescent="0.25">
      <c r="A10" t="str">
        <f>'Data From Lance'!$A$70</f>
        <v>1D14A22</v>
      </c>
      <c r="B10" s="145"/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3</v>
      </c>
      <c r="K10">
        <v>1</v>
      </c>
      <c r="L10">
        <v>0</v>
      </c>
      <c r="M10">
        <v>0</v>
      </c>
      <c r="N10">
        <v>2</v>
      </c>
      <c r="O10">
        <v>0</v>
      </c>
      <c r="P10">
        <v>0</v>
      </c>
      <c r="Q10">
        <v>1</v>
      </c>
      <c r="R10">
        <v>0</v>
      </c>
      <c r="S10" t="s">
        <v>97</v>
      </c>
      <c r="T10">
        <f t="shared" si="0"/>
        <v>8</v>
      </c>
      <c r="U10" s="114"/>
      <c r="V10" s="145"/>
    </row>
    <row r="11" spans="1:23" x14ac:dyDescent="0.25">
      <c r="A11" t="str">
        <f>'Data From Lance'!$A$78</f>
        <v>1D15L11/1D15L13</v>
      </c>
      <c r="B11" s="145"/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2</v>
      </c>
      <c r="J11">
        <v>4</v>
      </c>
      <c r="K11">
        <v>1</v>
      </c>
      <c r="L11">
        <v>3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 t="str">
        <f>'Data From Lance'!$A$80</f>
        <v>good</v>
      </c>
      <c r="T11">
        <f t="shared" si="0"/>
        <v>12</v>
      </c>
      <c r="U11" s="112"/>
      <c r="V11" s="145"/>
    </row>
    <row r="12" spans="1:23" x14ac:dyDescent="0.25">
      <c r="A12" t="str">
        <f>'Data From Lance'!$A$90</f>
        <v>1D15L12</v>
      </c>
      <c r="B12" s="145"/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2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 t="str">
        <f>'Data From Lance'!$A$92</f>
        <v>good</v>
      </c>
      <c r="T12">
        <f t="shared" si="0"/>
        <v>6</v>
      </c>
      <c r="U12" s="112"/>
      <c r="V12" s="145"/>
    </row>
    <row r="13" spans="1:23" x14ac:dyDescent="0.25">
      <c r="A13" t="str">
        <f>'Data From Lance'!$A$97</f>
        <v>1D15L14</v>
      </c>
      <c r="B13" s="145"/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4</v>
      </c>
      <c r="K13">
        <v>1</v>
      </c>
      <c r="L13">
        <v>3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98</v>
      </c>
      <c r="T13">
        <f t="shared" si="0"/>
        <v>12</v>
      </c>
      <c r="U13" s="112"/>
      <c r="V13" s="145"/>
    </row>
    <row r="14" spans="1:23" x14ac:dyDescent="0.25">
      <c r="A14" t="s">
        <v>99</v>
      </c>
      <c r="B14" s="145"/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3</v>
      </c>
      <c r="J14">
        <v>2</v>
      </c>
      <c r="K14">
        <v>1</v>
      </c>
      <c r="L14">
        <v>1</v>
      </c>
      <c r="M14">
        <v>0</v>
      </c>
      <c r="N14">
        <v>0</v>
      </c>
      <c r="O14">
        <v>1</v>
      </c>
      <c r="P14">
        <v>0</v>
      </c>
      <c r="S14" t="s">
        <v>106</v>
      </c>
      <c r="T14">
        <f t="shared" si="0"/>
        <v>9</v>
      </c>
      <c r="V14" s="145"/>
    </row>
    <row r="15" spans="1:23" x14ac:dyDescent="0.25">
      <c r="A15" t="s">
        <v>120</v>
      </c>
      <c r="B15" s="145"/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2</v>
      </c>
      <c r="M15">
        <v>1</v>
      </c>
      <c r="N15">
        <v>0</v>
      </c>
      <c r="O15">
        <v>0</v>
      </c>
      <c r="P15">
        <v>0</v>
      </c>
      <c r="T15">
        <f t="shared" si="0"/>
        <v>7</v>
      </c>
      <c r="V15" s="145"/>
    </row>
    <row r="16" spans="1:23" x14ac:dyDescent="0.25">
      <c r="A16" t="s">
        <v>122</v>
      </c>
      <c r="B16" s="145"/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1</v>
      </c>
      <c r="K16">
        <v>2</v>
      </c>
      <c r="L16">
        <v>2</v>
      </c>
      <c r="M16">
        <v>0</v>
      </c>
      <c r="N16">
        <v>0</v>
      </c>
      <c r="O16">
        <v>0</v>
      </c>
      <c r="P16">
        <v>0</v>
      </c>
      <c r="T16">
        <f t="shared" si="0"/>
        <v>8</v>
      </c>
      <c r="V16" s="145"/>
    </row>
    <row r="17" spans="1:22" x14ac:dyDescent="0.25">
      <c r="A17" t="s">
        <v>123</v>
      </c>
      <c r="B17" s="145"/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2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T17">
        <f t="shared" si="0"/>
        <v>4</v>
      </c>
      <c r="V17" s="145"/>
    </row>
    <row r="18" spans="1:22" x14ac:dyDescent="0.25">
      <c r="V18" s="145"/>
    </row>
  </sheetData>
  <autoFilter ref="A1:W1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"/>
  <sheetViews>
    <sheetView workbookViewId="0">
      <selection activeCell="A2" sqref="A2:A11"/>
    </sheetView>
  </sheetViews>
  <sheetFormatPr defaultRowHeight="15" x14ac:dyDescent="0.25"/>
  <cols>
    <col min="1" max="1" width="9.85546875" bestFit="1" customWidth="1"/>
    <col min="2" max="2" width="11.28515625" customWidth="1"/>
    <col min="13" max="16" width="9.85546875" customWidth="1"/>
    <col min="17" max="17" width="11.85546875" customWidth="1"/>
    <col min="18" max="18" width="10.85546875" customWidth="1"/>
    <col min="19" max="19" width="12.7109375" customWidth="1"/>
    <col min="20" max="20" width="14.140625" customWidth="1"/>
    <col min="21" max="21" width="13.5703125" customWidth="1"/>
    <col min="22" max="22" width="16.85546875" customWidth="1"/>
    <col min="23" max="23" width="12.5703125" customWidth="1"/>
  </cols>
  <sheetData>
    <row r="1" spans="1:23" x14ac:dyDescent="0.25">
      <c r="A1" s="144" t="s">
        <v>207</v>
      </c>
      <c r="B1" s="144" t="s">
        <v>127</v>
      </c>
      <c r="C1" s="144" t="s">
        <v>80</v>
      </c>
      <c r="D1" s="144" t="s">
        <v>94</v>
      </c>
      <c r="E1" s="144" t="s">
        <v>81</v>
      </c>
      <c r="F1" s="144" t="s">
        <v>82</v>
      </c>
      <c r="G1" s="144" t="s">
        <v>83</v>
      </c>
      <c r="H1" s="144" t="s">
        <v>84</v>
      </c>
      <c r="I1" s="144" t="s">
        <v>85</v>
      </c>
      <c r="J1" s="144" t="s">
        <v>86</v>
      </c>
      <c r="K1" s="144" t="s">
        <v>87</v>
      </c>
      <c r="L1" s="144" t="s">
        <v>88</v>
      </c>
      <c r="M1" s="144" t="s">
        <v>89</v>
      </c>
      <c r="N1" s="144" t="s">
        <v>90</v>
      </c>
      <c r="O1" s="144" t="s">
        <v>91</v>
      </c>
      <c r="P1" s="144" t="s">
        <v>92</v>
      </c>
      <c r="Q1" s="144" t="s">
        <v>38</v>
      </c>
      <c r="R1" s="144" t="s">
        <v>93</v>
      </c>
      <c r="S1" s="144" t="s">
        <v>59</v>
      </c>
      <c r="T1" s="144" t="s">
        <v>95</v>
      </c>
      <c r="U1" s="144" t="s">
        <v>155</v>
      </c>
      <c r="V1" s="144" t="s">
        <v>156</v>
      </c>
      <c r="W1" s="144" t="s">
        <v>124</v>
      </c>
    </row>
    <row r="2" spans="1:23" x14ac:dyDescent="0.25">
      <c r="A2" t="s">
        <v>386</v>
      </c>
      <c r="B2" s="146" t="s">
        <v>297</v>
      </c>
      <c r="C2">
        <v>0</v>
      </c>
      <c r="D2">
        <v>0</v>
      </c>
      <c r="E2">
        <v>0</v>
      </c>
      <c r="F2">
        <v>1</v>
      </c>
      <c r="G2">
        <v>2</v>
      </c>
      <c r="H2">
        <v>2</v>
      </c>
      <c r="I2">
        <v>1</v>
      </c>
      <c r="J2">
        <v>1</v>
      </c>
      <c r="K2">
        <v>0</v>
      </c>
      <c r="L2">
        <v>2</v>
      </c>
      <c r="M2">
        <v>1</v>
      </c>
      <c r="N2">
        <v>3</v>
      </c>
      <c r="O2">
        <v>0</v>
      </c>
      <c r="P2">
        <v>0</v>
      </c>
      <c r="Q2">
        <v>0</v>
      </c>
      <c r="R2">
        <v>0</v>
      </c>
      <c r="S2" t="s">
        <v>6</v>
      </c>
      <c r="T2">
        <v>13</v>
      </c>
      <c r="U2">
        <v>898.33333333333326</v>
      </c>
      <c r="V2">
        <v>520</v>
      </c>
      <c r="W2">
        <f>(V2/U2)*100</f>
        <v>57.884972170686467</v>
      </c>
    </row>
    <row r="3" spans="1:23" x14ac:dyDescent="0.25">
      <c r="A3" t="s">
        <v>386</v>
      </c>
      <c r="B3" s="146" t="s">
        <v>298</v>
      </c>
      <c r="C3">
        <v>0</v>
      </c>
      <c r="D3">
        <v>0</v>
      </c>
      <c r="E3">
        <v>0</v>
      </c>
      <c r="F3">
        <v>1</v>
      </c>
      <c r="G3">
        <v>2</v>
      </c>
      <c r="H3">
        <v>2</v>
      </c>
      <c r="I3">
        <v>1</v>
      </c>
      <c r="J3">
        <v>1</v>
      </c>
      <c r="K3">
        <v>0</v>
      </c>
      <c r="L3">
        <v>2</v>
      </c>
      <c r="M3">
        <v>1</v>
      </c>
      <c r="N3">
        <v>3</v>
      </c>
      <c r="O3">
        <v>0</v>
      </c>
      <c r="P3">
        <v>0</v>
      </c>
      <c r="Q3">
        <v>0</v>
      </c>
      <c r="R3">
        <v>0</v>
      </c>
      <c r="S3" t="s">
        <v>6</v>
      </c>
      <c r="T3">
        <v>13</v>
      </c>
      <c r="U3">
        <v>755.55555555555554</v>
      </c>
      <c r="V3">
        <v>740</v>
      </c>
      <c r="W3">
        <f t="shared" ref="W3:W25" si="0">(V3/U3)*100</f>
        <v>97.941176470588232</v>
      </c>
    </row>
    <row r="4" spans="1:23" x14ac:dyDescent="0.25">
      <c r="A4" t="s">
        <v>386</v>
      </c>
      <c r="B4" s="146" t="s">
        <v>299</v>
      </c>
      <c r="C4">
        <v>0</v>
      </c>
      <c r="D4">
        <v>0</v>
      </c>
      <c r="E4">
        <v>0</v>
      </c>
      <c r="F4">
        <v>1</v>
      </c>
      <c r="G4">
        <v>2</v>
      </c>
      <c r="H4">
        <v>2</v>
      </c>
      <c r="I4">
        <v>1</v>
      </c>
      <c r="J4">
        <v>1</v>
      </c>
      <c r="K4">
        <v>0</v>
      </c>
      <c r="L4">
        <v>2</v>
      </c>
      <c r="M4">
        <v>1</v>
      </c>
      <c r="N4">
        <v>3</v>
      </c>
      <c r="O4">
        <v>0</v>
      </c>
      <c r="P4">
        <v>0</v>
      </c>
      <c r="Q4">
        <v>0</v>
      </c>
      <c r="R4">
        <v>0</v>
      </c>
      <c r="S4" t="s">
        <v>6</v>
      </c>
      <c r="T4">
        <v>13</v>
      </c>
      <c r="U4">
        <v>794.44444444444446</v>
      </c>
      <c r="V4">
        <v>0</v>
      </c>
      <c r="W4">
        <f t="shared" si="0"/>
        <v>0</v>
      </c>
    </row>
    <row r="5" spans="1:23" x14ac:dyDescent="0.25">
      <c r="A5" t="s">
        <v>386</v>
      </c>
      <c r="B5" s="146" t="s">
        <v>300</v>
      </c>
      <c r="C5">
        <v>0</v>
      </c>
      <c r="D5">
        <v>0</v>
      </c>
      <c r="E5">
        <v>0</v>
      </c>
      <c r="F5">
        <v>1</v>
      </c>
      <c r="G5">
        <v>2</v>
      </c>
      <c r="H5">
        <v>2</v>
      </c>
      <c r="I5">
        <v>1</v>
      </c>
      <c r="J5">
        <v>1</v>
      </c>
      <c r="K5">
        <v>0</v>
      </c>
      <c r="L5">
        <v>2</v>
      </c>
      <c r="M5">
        <v>1</v>
      </c>
      <c r="N5">
        <v>3</v>
      </c>
      <c r="O5">
        <v>0</v>
      </c>
      <c r="P5">
        <v>0</v>
      </c>
      <c r="Q5">
        <v>0</v>
      </c>
      <c r="R5">
        <v>0</v>
      </c>
      <c r="S5" t="s">
        <v>6</v>
      </c>
      <c r="T5">
        <v>13</v>
      </c>
      <c r="U5">
        <v>994.44444444444457</v>
      </c>
      <c r="V5">
        <v>0</v>
      </c>
      <c r="W5">
        <f t="shared" si="0"/>
        <v>0</v>
      </c>
    </row>
    <row r="6" spans="1:23" x14ac:dyDescent="0.25">
      <c r="A6" t="s">
        <v>386</v>
      </c>
      <c r="B6" s="146" t="s">
        <v>301</v>
      </c>
      <c r="C6">
        <v>0</v>
      </c>
      <c r="D6">
        <v>0</v>
      </c>
      <c r="E6">
        <v>0</v>
      </c>
      <c r="F6">
        <v>1</v>
      </c>
      <c r="G6">
        <v>2</v>
      </c>
      <c r="H6">
        <v>2</v>
      </c>
      <c r="I6">
        <v>1</v>
      </c>
      <c r="J6">
        <v>1</v>
      </c>
      <c r="K6">
        <v>0</v>
      </c>
      <c r="L6">
        <v>2</v>
      </c>
      <c r="M6">
        <v>1</v>
      </c>
      <c r="N6">
        <v>3</v>
      </c>
      <c r="O6">
        <v>0</v>
      </c>
      <c r="P6">
        <v>0</v>
      </c>
      <c r="Q6">
        <v>0</v>
      </c>
      <c r="R6">
        <v>0</v>
      </c>
      <c r="S6" t="s">
        <v>6</v>
      </c>
      <c r="T6">
        <v>13</v>
      </c>
      <c r="U6">
        <v>868.88888888888891</v>
      </c>
      <c r="V6">
        <v>0</v>
      </c>
      <c r="W6">
        <f t="shared" si="0"/>
        <v>0</v>
      </c>
    </row>
    <row r="7" spans="1:23" x14ac:dyDescent="0.25">
      <c r="A7" t="s">
        <v>386</v>
      </c>
      <c r="B7" s="146" t="s">
        <v>302</v>
      </c>
      <c r="C7">
        <v>0</v>
      </c>
      <c r="D7">
        <v>0</v>
      </c>
      <c r="E7">
        <v>0</v>
      </c>
      <c r="F7">
        <v>1</v>
      </c>
      <c r="G7">
        <v>2</v>
      </c>
      <c r="H7">
        <v>2</v>
      </c>
      <c r="I7">
        <v>1</v>
      </c>
      <c r="J7">
        <v>1</v>
      </c>
      <c r="K7">
        <v>0</v>
      </c>
      <c r="L7">
        <v>2</v>
      </c>
      <c r="M7">
        <v>1</v>
      </c>
      <c r="N7">
        <v>3</v>
      </c>
      <c r="O7">
        <v>0</v>
      </c>
      <c r="P7">
        <v>0</v>
      </c>
      <c r="Q7">
        <v>0</v>
      </c>
      <c r="R7">
        <v>0</v>
      </c>
      <c r="S7" t="s">
        <v>6</v>
      </c>
      <c r="T7">
        <v>13</v>
      </c>
      <c r="U7">
        <v>913.33333333333326</v>
      </c>
      <c r="V7">
        <v>0</v>
      </c>
      <c r="W7">
        <f t="shared" si="0"/>
        <v>0</v>
      </c>
    </row>
    <row r="8" spans="1:23" x14ac:dyDescent="0.25">
      <c r="A8" t="s">
        <v>386</v>
      </c>
      <c r="B8" s="146" t="s">
        <v>303</v>
      </c>
      <c r="C8">
        <v>0</v>
      </c>
      <c r="D8">
        <v>0</v>
      </c>
      <c r="E8">
        <v>0</v>
      </c>
      <c r="F8">
        <v>1</v>
      </c>
      <c r="G8">
        <v>2</v>
      </c>
      <c r="H8">
        <v>2</v>
      </c>
      <c r="I8">
        <v>1</v>
      </c>
      <c r="J8">
        <v>1</v>
      </c>
      <c r="K8">
        <v>0</v>
      </c>
      <c r="L8">
        <v>2</v>
      </c>
      <c r="M8">
        <v>1</v>
      </c>
      <c r="N8">
        <v>3</v>
      </c>
      <c r="O8">
        <v>0</v>
      </c>
      <c r="P8">
        <v>0</v>
      </c>
      <c r="Q8">
        <v>0</v>
      </c>
      <c r="R8">
        <v>0</v>
      </c>
      <c r="S8" t="s">
        <v>6</v>
      </c>
      <c r="T8">
        <v>13</v>
      </c>
      <c r="U8">
        <v>788.88888888888891</v>
      </c>
      <c r="V8">
        <v>160</v>
      </c>
      <c r="W8">
        <f t="shared" si="0"/>
        <v>20.281690140845072</v>
      </c>
    </row>
    <row r="9" spans="1:23" x14ac:dyDescent="0.25">
      <c r="A9" t="s">
        <v>387</v>
      </c>
      <c r="B9" s="146" t="s">
        <v>304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2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 t="s">
        <v>6</v>
      </c>
      <c r="T9">
        <v>6</v>
      </c>
      <c r="U9" s="146">
        <v>1045.5555555555557</v>
      </c>
      <c r="V9" s="146">
        <v>0</v>
      </c>
      <c r="W9">
        <f t="shared" si="0"/>
        <v>0</v>
      </c>
    </row>
    <row r="10" spans="1:23" x14ac:dyDescent="0.25">
      <c r="A10" t="s">
        <v>387</v>
      </c>
      <c r="B10" s="146" t="s">
        <v>305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2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6</v>
      </c>
      <c r="T10">
        <v>6</v>
      </c>
      <c r="U10" s="146">
        <v>1480.5555555555557</v>
      </c>
      <c r="V10" s="146">
        <v>20</v>
      </c>
      <c r="W10">
        <f t="shared" si="0"/>
        <v>1.3508442776735459</v>
      </c>
    </row>
    <row r="11" spans="1:23" x14ac:dyDescent="0.25">
      <c r="A11" t="s">
        <v>387</v>
      </c>
      <c r="B11" s="146" t="s">
        <v>306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0</v>
      </c>
      <c r="K11">
        <v>0</v>
      </c>
      <c r="L11">
        <v>2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6</v>
      </c>
      <c r="T11">
        <v>6</v>
      </c>
      <c r="U11" s="146">
        <v>980.55555555555554</v>
      </c>
      <c r="V11" s="146">
        <v>0</v>
      </c>
      <c r="W11">
        <f t="shared" si="0"/>
        <v>0</v>
      </c>
    </row>
    <row r="12" spans="1:23" x14ac:dyDescent="0.25">
      <c r="A12" t="s">
        <v>307</v>
      </c>
      <c r="B12" s="146" t="s">
        <v>308</v>
      </c>
      <c r="C12">
        <v>0</v>
      </c>
      <c r="D12">
        <v>0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1</v>
      </c>
      <c r="L12">
        <v>0</v>
      </c>
      <c r="M12">
        <v>3</v>
      </c>
      <c r="N12">
        <v>0</v>
      </c>
      <c r="O12">
        <v>3</v>
      </c>
      <c r="P12">
        <v>0</v>
      </c>
      <c r="Q12">
        <v>0</v>
      </c>
      <c r="R12">
        <v>0</v>
      </c>
      <c r="S12" t="s">
        <v>6</v>
      </c>
      <c r="T12">
        <v>10</v>
      </c>
      <c r="U12" s="146">
        <v>799.44444444444434</v>
      </c>
      <c r="V12" s="146">
        <v>660</v>
      </c>
      <c r="W12">
        <f t="shared" si="0"/>
        <v>82.557331480194591</v>
      </c>
    </row>
    <row r="13" spans="1:23" x14ac:dyDescent="0.25">
      <c r="A13" t="s">
        <v>307</v>
      </c>
      <c r="B13" s="146" t="s">
        <v>309</v>
      </c>
      <c r="C13">
        <v>0</v>
      </c>
      <c r="D13">
        <v>0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</v>
      </c>
      <c r="L13">
        <v>0</v>
      </c>
      <c r="M13">
        <v>3</v>
      </c>
      <c r="N13">
        <v>0</v>
      </c>
      <c r="O13">
        <v>3</v>
      </c>
      <c r="P13">
        <v>0</v>
      </c>
      <c r="Q13">
        <v>0</v>
      </c>
      <c r="R13">
        <v>0</v>
      </c>
      <c r="S13" t="s">
        <v>6</v>
      </c>
      <c r="T13">
        <v>10</v>
      </c>
      <c r="U13" s="146">
        <v>977.77777777777783</v>
      </c>
      <c r="V13" s="146">
        <v>720</v>
      </c>
      <c r="W13">
        <f t="shared" si="0"/>
        <v>73.636363636363626</v>
      </c>
    </row>
    <row r="14" spans="1:23" x14ac:dyDescent="0.25">
      <c r="A14" t="s">
        <v>307</v>
      </c>
      <c r="B14" s="146" t="s">
        <v>310</v>
      </c>
      <c r="C14">
        <v>0</v>
      </c>
      <c r="D14">
        <v>0</v>
      </c>
      <c r="E14">
        <v>1</v>
      </c>
      <c r="F14">
        <v>0</v>
      </c>
      <c r="G14">
        <v>0</v>
      </c>
      <c r="H14">
        <v>2</v>
      </c>
      <c r="I14">
        <v>0</v>
      </c>
      <c r="J14">
        <v>0</v>
      </c>
      <c r="K14">
        <v>1</v>
      </c>
      <c r="L14">
        <v>0</v>
      </c>
      <c r="M14">
        <v>3</v>
      </c>
      <c r="N14">
        <v>0</v>
      </c>
      <c r="O14">
        <v>3</v>
      </c>
      <c r="P14">
        <v>0</v>
      </c>
      <c r="Q14">
        <v>0</v>
      </c>
      <c r="R14">
        <v>0</v>
      </c>
      <c r="S14" t="s">
        <v>6</v>
      </c>
      <c r="T14">
        <v>10</v>
      </c>
      <c r="U14" s="146">
        <v>577.22222222222217</v>
      </c>
      <c r="V14" s="146">
        <v>493.33327999999995</v>
      </c>
      <c r="W14">
        <f t="shared" si="0"/>
        <v>85.466785755534175</v>
      </c>
    </row>
    <row r="15" spans="1:23" x14ac:dyDescent="0.25">
      <c r="A15" t="s">
        <v>307</v>
      </c>
      <c r="B15" s="146" t="s">
        <v>311</v>
      </c>
      <c r="C15">
        <v>0</v>
      </c>
      <c r="D15">
        <v>0</v>
      </c>
      <c r="E15">
        <v>1</v>
      </c>
      <c r="F15">
        <v>0</v>
      </c>
      <c r="G15">
        <v>0</v>
      </c>
      <c r="H15">
        <v>2</v>
      </c>
      <c r="I15">
        <v>0</v>
      </c>
      <c r="J15">
        <v>0</v>
      </c>
      <c r="K15">
        <v>1</v>
      </c>
      <c r="L15">
        <v>0</v>
      </c>
      <c r="M15">
        <v>3</v>
      </c>
      <c r="N15">
        <v>0</v>
      </c>
      <c r="O15">
        <v>3</v>
      </c>
      <c r="P15">
        <v>0</v>
      </c>
      <c r="Q15">
        <v>0</v>
      </c>
      <c r="R15">
        <v>0</v>
      </c>
      <c r="S15" t="s">
        <v>6</v>
      </c>
      <c r="T15">
        <v>10</v>
      </c>
      <c r="U15" s="146">
        <v>883.33333333333326</v>
      </c>
      <c r="V15" s="146">
        <v>420</v>
      </c>
      <c r="W15">
        <f t="shared" si="0"/>
        <v>47.547169811320764</v>
      </c>
    </row>
    <row r="16" spans="1:23" x14ac:dyDescent="0.25">
      <c r="A16" t="s">
        <v>307</v>
      </c>
      <c r="B16" s="146" t="s">
        <v>312</v>
      </c>
      <c r="C16">
        <v>0</v>
      </c>
      <c r="D16">
        <v>0</v>
      </c>
      <c r="E16">
        <v>1</v>
      </c>
      <c r="F16">
        <v>0</v>
      </c>
      <c r="G16">
        <v>0</v>
      </c>
      <c r="H16">
        <v>2</v>
      </c>
      <c r="I16">
        <v>0</v>
      </c>
      <c r="J16">
        <v>0</v>
      </c>
      <c r="K16">
        <v>1</v>
      </c>
      <c r="L16">
        <v>0</v>
      </c>
      <c r="M16">
        <v>3</v>
      </c>
      <c r="N16">
        <v>0</v>
      </c>
      <c r="O16">
        <v>3</v>
      </c>
      <c r="P16">
        <v>0</v>
      </c>
      <c r="Q16">
        <v>0</v>
      </c>
      <c r="R16">
        <v>0</v>
      </c>
      <c r="S16" t="s">
        <v>6</v>
      </c>
      <c r="T16">
        <v>10</v>
      </c>
      <c r="U16" s="146">
        <v>477.77777777777777</v>
      </c>
      <c r="V16" s="146">
        <v>423.33332000000001</v>
      </c>
      <c r="W16">
        <f t="shared" si="0"/>
        <v>88.604648372093038</v>
      </c>
    </row>
    <row r="17" spans="1:23" x14ac:dyDescent="0.25">
      <c r="A17" t="s">
        <v>307</v>
      </c>
      <c r="B17" s="146" t="s">
        <v>313</v>
      </c>
      <c r="C17">
        <v>0</v>
      </c>
      <c r="D17">
        <v>0</v>
      </c>
      <c r="E17">
        <v>1</v>
      </c>
      <c r="F17">
        <v>0</v>
      </c>
      <c r="G17">
        <v>0</v>
      </c>
      <c r="H17">
        <v>2</v>
      </c>
      <c r="I17">
        <v>0</v>
      </c>
      <c r="J17">
        <v>0</v>
      </c>
      <c r="K17">
        <v>1</v>
      </c>
      <c r="L17">
        <v>0</v>
      </c>
      <c r="M17">
        <v>3</v>
      </c>
      <c r="N17">
        <v>0</v>
      </c>
      <c r="O17">
        <v>3</v>
      </c>
      <c r="P17">
        <v>0</v>
      </c>
      <c r="Q17">
        <v>0</v>
      </c>
      <c r="R17">
        <v>0</v>
      </c>
      <c r="S17" t="s">
        <v>6</v>
      </c>
      <c r="T17">
        <v>10</v>
      </c>
      <c r="U17" s="146">
        <v>733.33333333333337</v>
      </c>
      <c r="V17" s="146">
        <v>660</v>
      </c>
      <c r="W17">
        <f t="shared" si="0"/>
        <v>89.999999999999986</v>
      </c>
    </row>
    <row r="18" spans="1:23" x14ac:dyDescent="0.25">
      <c r="A18" t="s">
        <v>307</v>
      </c>
      <c r="B18" s="146" t="s">
        <v>314</v>
      </c>
      <c r="C18">
        <v>0</v>
      </c>
      <c r="D18">
        <v>0</v>
      </c>
      <c r="E18">
        <v>1</v>
      </c>
      <c r="F18">
        <v>0</v>
      </c>
      <c r="G18">
        <v>0</v>
      </c>
      <c r="H18">
        <v>2</v>
      </c>
      <c r="I18">
        <v>0</v>
      </c>
      <c r="J18">
        <v>0</v>
      </c>
      <c r="K18">
        <v>1</v>
      </c>
      <c r="L18">
        <v>0</v>
      </c>
      <c r="M18">
        <v>3</v>
      </c>
      <c r="N18">
        <v>0</v>
      </c>
      <c r="O18">
        <v>3</v>
      </c>
      <c r="P18">
        <v>0</v>
      </c>
      <c r="Q18">
        <v>0</v>
      </c>
      <c r="R18">
        <v>0</v>
      </c>
      <c r="S18" t="s">
        <v>6</v>
      </c>
      <c r="T18">
        <v>10</v>
      </c>
      <c r="U18" s="146">
        <v>888.88888888888891</v>
      </c>
      <c r="V18" s="146">
        <v>480</v>
      </c>
      <c r="W18">
        <f t="shared" si="0"/>
        <v>54</v>
      </c>
    </row>
    <row r="19" spans="1:23" x14ac:dyDescent="0.25">
      <c r="A19" t="s">
        <v>307</v>
      </c>
      <c r="B19" s="146" t="s">
        <v>315</v>
      </c>
      <c r="C19">
        <v>0</v>
      </c>
      <c r="D19">
        <v>0</v>
      </c>
      <c r="E19">
        <v>1</v>
      </c>
      <c r="F19">
        <v>0</v>
      </c>
      <c r="G19">
        <v>0</v>
      </c>
      <c r="H19">
        <v>2</v>
      </c>
      <c r="I19">
        <v>0</v>
      </c>
      <c r="J19">
        <v>0</v>
      </c>
      <c r="K19">
        <v>1</v>
      </c>
      <c r="L19">
        <v>0</v>
      </c>
      <c r="M19">
        <v>3</v>
      </c>
      <c r="N19">
        <v>0</v>
      </c>
      <c r="O19">
        <v>3</v>
      </c>
      <c r="P19">
        <v>0</v>
      </c>
      <c r="Q19">
        <v>0</v>
      </c>
      <c r="R19">
        <v>0</v>
      </c>
      <c r="S19" t="s">
        <v>6</v>
      </c>
      <c r="T19">
        <v>10</v>
      </c>
      <c r="U19" s="146">
        <v>897.22222222222229</v>
      </c>
      <c r="V19" s="146">
        <v>720</v>
      </c>
      <c r="W19">
        <f t="shared" si="0"/>
        <v>80.24767801857584</v>
      </c>
    </row>
    <row r="20" spans="1:23" x14ac:dyDescent="0.25">
      <c r="A20" t="s">
        <v>307</v>
      </c>
      <c r="B20" s="146" t="s">
        <v>316</v>
      </c>
      <c r="C20">
        <v>0</v>
      </c>
      <c r="D20">
        <v>0</v>
      </c>
      <c r="E20">
        <v>1</v>
      </c>
      <c r="F20">
        <v>0</v>
      </c>
      <c r="G20">
        <v>0</v>
      </c>
      <c r="H20">
        <v>2</v>
      </c>
      <c r="I20">
        <v>0</v>
      </c>
      <c r="J20">
        <v>0</v>
      </c>
      <c r="K20">
        <v>1</v>
      </c>
      <c r="L20">
        <v>0</v>
      </c>
      <c r="M20">
        <v>3</v>
      </c>
      <c r="N20">
        <v>0</v>
      </c>
      <c r="O20">
        <v>3</v>
      </c>
      <c r="P20">
        <v>0</v>
      </c>
      <c r="Q20">
        <v>0</v>
      </c>
      <c r="R20">
        <v>0</v>
      </c>
      <c r="S20" t="s">
        <v>6</v>
      </c>
      <c r="T20">
        <v>10</v>
      </c>
      <c r="U20" s="146">
        <v>994.44444444444457</v>
      </c>
      <c r="V20" s="146">
        <v>853.33327999999983</v>
      </c>
      <c r="W20">
        <f t="shared" si="0"/>
        <v>85.810050502793274</v>
      </c>
    </row>
    <row r="21" spans="1:23" x14ac:dyDescent="0.25">
      <c r="A21" t="s">
        <v>307</v>
      </c>
      <c r="B21" s="146" t="s">
        <v>317</v>
      </c>
      <c r="C21">
        <v>0</v>
      </c>
      <c r="D21">
        <v>0</v>
      </c>
      <c r="E21">
        <v>1</v>
      </c>
      <c r="F21">
        <v>0</v>
      </c>
      <c r="G21">
        <v>0</v>
      </c>
      <c r="H21">
        <v>2</v>
      </c>
      <c r="I21">
        <v>0</v>
      </c>
      <c r="J21">
        <v>0</v>
      </c>
      <c r="K21">
        <v>1</v>
      </c>
      <c r="L21">
        <v>0</v>
      </c>
      <c r="M21">
        <v>3</v>
      </c>
      <c r="N21">
        <v>0</v>
      </c>
      <c r="O21">
        <v>3</v>
      </c>
      <c r="P21">
        <v>0</v>
      </c>
      <c r="Q21">
        <v>0</v>
      </c>
      <c r="R21">
        <v>0</v>
      </c>
      <c r="S21" t="s">
        <v>6</v>
      </c>
      <c r="T21">
        <v>10</v>
      </c>
      <c r="U21" s="146">
        <v>522.22222222222217</v>
      </c>
      <c r="V21" s="146">
        <v>463.33332000000001</v>
      </c>
      <c r="W21">
        <f t="shared" si="0"/>
        <v>88.723401702127674</v>
      </c>
    </row>
    <row r="22" spans="1:23" x14ac:dyDescent="0.25">
      <c r="A22" t="s">
        <v>307</v>
      </c>
      <c r="B22" s="146" t="s">
        <v>318</v>
      </c>
      <c r="C22">
        <v>0</v>
      </c>
      <c r="D22">
        <v>0</v>
      </c>
      <c r="E22">
        <v>1</v>
      </c>
      <c r="F22">
        <v>0</v>
      </c>
      <c r="G22">
        <v>0</v>
      </c>
      <c r="H22">
        <v>2</v>
      </c>
      <c r="I22">
        <v>0</v>
      </c>
      <c r="J22">
        <v>0</v>
      </c>
      <c r="K22">
        <v>1</v>
      </c>
      <c r="L22">
        <v>0</v>
      </c>
      <c r="M22">
        <v>3</v>
      </c>
      <c r="N22">
        <v>0</v>
      </c>
      <c r="O22">
        <v>3</v>
      </c>
      <c r="P22">
        <v>0</v>
      </c>
      <c r="Q22">
        <v>0</v>
      </c>
      <c r="R22">
        <v>0</v>
      </c>
      <c r="S22" t="s">
        <v>6</v>
      </c>
      <c r="T22">
        <v>10</v>
      </c>
      <c r="U22" s="146">
        <v>1241.6666666666667</v>
      </c>
      <c r="V22" s="146">
        <v>1103.33332</v>
      </c>
      <c r="W22">
        <f t="shared" si="0"/>
        <v>88.859059328859047</v>
      </c>
    </row>
    <row r="23" spans="1:23" x14ac:dyDescent="0.25">
      <c r="A23" t="s">
        <v>307</v>
      </c>
      <c r="B23" s="146" t="s">
        <v>319</v>
      </c>
      <c r="C23">
        <v>0</v>
      </c>
      <c r="D23">
        <v>0</v>
      </c>
      <c r="E23">
        <v>1</v>
      </c>
      <c r="F23">
        <v>0</v>
      </c>
      <c r="G23">
        <v>0</v>
      </c>
      <c r="H23">
        <v>2</v>
      </c>
      <c r="I23">
        <v>0</v>
      </c>
      <c r="J23">
        <v>0</v>
      </c>
      <c r="K23">
        <v>1</v>
      </c>
      <c r="L23">
        <v>0</v>
      </c>
      <c r="M23">
        <v>3</v>
      </c>
      <c r="N23">
        <v>0</v>
      </c>
      <c r="O23">
        <v>3</v>
      </c>
      <c r="P23">
        <v>0</v>
      </c>
      <c r="Q23">
        <v>0</v>
      </c>
      <c r="R23">
        <v>0</v>
      </c>
      <c r="S23" t="s">
        <v>6</v>
      </c>
      <c r="T23">
        <v>10</v>
      </c>
      <c r="U23" s="146">
        <v>694.44444444444446</v>
      </c>
      <c r="V23" s="146">
        <v>460</v>
      </c>
      <c r="W23">
        <f t="shared" si="0"/>
        <v>66.239999999999995</v>
      </c>
    </row>
    <row r="24" spans="1:23" x14ac:dyDescent="0.25">
      <c r="A24" t="s">
        <v>307</v>
      </c>
      <c r="B24" s="146" t="s">
        <v>320</v>
      </c>
      <c r="C24">
        <v>0</v>
      </c>
      <c r="D24">
        <v>0</v>
      </c>
      <c r="E24">
        <v>1</v>
      </c>
      <c r="F24">
        <v>0</v>
      </c>
      <c r="G24">
        <v>0</v>
      </c>
      <c r="H24">
        <v>2</v>
      </c>
      <c r="I24">
        <v>0</v>
      </c>
      <c r="J24">
        <v>0</v>
      </c>
      <c r="K24">
        <v>1</v>
      </c>
      <c r="L24">
        <v>0</v>
      </c>
      <c r="M24">
        <v>3</v>
      </c>
      <c r="N24">
        <v>0</v>
      </c>
      <c r="O24">
        <v>3</v>
      </c>
      <c r="P24">
        <v>0</v>
      </c>
      <c r="Q24">
        <v>0</v>
      </c>
      <c r="R24">
        <v>0</v>
      </c>
      <c r="S24" t="s">
        <v>6</v>
      </c>
      <c r="T24">
        <v>10</v>
      </c>
      <c r="U24" s="146">
        <v>552.77777777777783</v>
      </c>
      <c r="V24" s="146">
        <v>520</v>
      </c>
      <c r="W24">
        <f t="shared" si="0"/>
        <v>94.070351758793961</v>
      </c>
    </row>
    <row r="25" spans="1:23" x14ac:dyDescent="0.25">
      <c r="A25" t="s">
        <v>321</v>
      </c>
      <c r="B25" s="146" t="s">
        <v>322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1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 t="s">
        <v>77</v>
      </c>
      <c r="T25">
        <v>5</v>
      </c>
      <c r="U25" s="146">
        <v>2270</v>
      </c>
      <c r="V25" s="146">
        <v>0</v>
      </c>
      <c r="W25">
        <f t="shared" si="0"/>
        <v>0</v>
      </c>
    </row>
    <row r="26" spans="1:23" x14ac:dyDescent="0.25">
      <c r="A26" t="s">
        <v>321</v>
      </c>
      <c r="B26" s="146" t="s">
        <v>323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1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 t="s">
        <v>77</v>
      </c>
      <c r="T26">
        <v>5</v>
      </c>
      <c r="U26" s="146">
        <v>2291.666666666667</v>
      </c>
      <c r="V26" s="146">
        <v>901.66665999999998</v>
      </c>
      <c r="W26">
        <f>(V26/U26)*100</f>
        <v>39.345454254545444</v>
      </c>
    </row>
    <row r="27" spans="1:23" x14ac:dyDescent="0.25">
      <c r="A27" t="s">
        <v>321</v>
      </c>
      <c r="B27" s="146" t="s">
        <v>324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 t="s">
        <v>77</v>
      </c>
      <c r="T27">
        <v>5</v>
      </c>
      <c r="U27" s="146">
        <v>2433.3333333333335</v>
      </c>
      <c r="V27" s="146">
        <v>20</v>
      </c>
      <c r="W27">
        <f t="shared" ref="W25:W30" si="1">(V27/U27)*100</f>
        <v>0.82191780821917804</v>
      </c>
    </row>
    <row r="28" spans="1:23" x14ac:dyDescent="0.25">
      <c r="A28" t="s">
        <v>321</v>
      </c>
      <c r="B28" s="146" t="s">
        <v>325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 t="s">
        <v>77</v>
      </c>
      <c r="T28">
        <v>5</v>
      </c>
      <c r="U28" s="146">
        <v>1797.2222222222222</v>
      </c>
      <c r="V28" s="146">
        <v>640</v>
      </c>
      <c r="W28">
        <f t="shared" si="1"/>
        <v>35.610510046367857</v>
      </c>
    </row>
    <row r="29" spans="1:23" x14ac:dyDescent="0.25">
      <c r="A29" t="s">
        <v>321</v>
      </c>
      <c r="B29" s="146" t="s">
        <v>326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1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 t="s">
        <v>77</v>
      </c>
      <c r="T29">
        <v>5</v>
      </c>
      <c r="U29" s="146">
        <v>825</v>
      </c>
      <c r="V29" s="146">
        <v>80</v>
      </c>
      <c r="W29">
        <f t="shared" si="1"/>
        <v>9.6969696969696972</v>
      </c>
    </row>
    <row r="30" spans="1:23" x14ac:dyDescent="0.25">
      <c r="A30" t="s">
        <v>327</v>
      </c>
      <c r="B30" s="146" t="s">
        <v>328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5</v>
      </c>
      <c r="J30">
        <v>1</v>
      </c>
      <c r="K30">
        <v>0</v>
      </c>
      <c r="L30">
        <v>2</v>
      </c>
      <c r="M30">
        <v>0</v>
      </c>
      <c r="N30">
        <v>1</v>
      </c>
      <c r="O30">
        <v>1</v>
      </c>
      <c r="P30">
        <v>0</v>
      </c>
      <c r="Q30">
        <v>1</v>
      </c>
      <c r="R30">
        <v>0</v>
      </c>
      <c r="S30" t="s">
        <v>38</v>
      </c>
      <c r="T30">
        <v>10</v>
      </c>
      <c r="U30" s="146">
        <v>1538.8888888888889</v>
      </c>
      <c r="V30" s="146">
        <v>1180</v>
      </c>
      <c r="W30">
        <f t="shared" si="1"/>
        <v>76.678700361010826</v>
      </c>
    </row>
    <row r="31" spans="1:23" x14ac:dyDescent="0.25">
      <c r="A31" t="s">
        <v>327</v>
      </c>
      <c r="B31" s="146" t="s">
        <v>329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5</v>
      </c>
      <c r="J31">
        <v>1</v>
      </c>
      <c r="K31">
        <v>0</v>
      </c>
      <c r="L31">
        <v>2</v>
      </c>
      <c r="M31">
        <v>0</v>
      </c>
      <c r="N31">
        <v>1</v>
      </c>
      <c r="O31">
        <v>1</v>
      </c>
      <c r="P31">
        <v>0</v>
      </c>
      <c r="Q31">
        <v>1</v>
      </c>
      <c r="R31">
        <v>0</v>
      </c>
      <c r="S31" t="s">
        <v>38</v>
      </c>
      <c r="T31">
        <v>10</v>
      </c>
      <c r="U31" s="146">
        <v>891.66666666666663</v>
      </c>
      <c r="V31" s="146">
        <v>680</v>
      </c>
      <c r="W31">
        <f t="shared" ref="W30:W34" si="2">(V31/U31)*100</f>
        <v>76.261682242990659</v>
      </c>
    </row>
    <row r="32" spans="1:23" x14ac:dyDescent="0.25">
      <c r="A32" t="s">
        <v>327</v>
      </c>
      <c r="B32" s="146" t="s">
        <v>330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5</v>
      </c>
      <c r="J32">
        <v>1</v>
      </c>
      <c r="K32">
        <v>0</v>
      </c>
      <c r="L32">
        <v>2</v>
      </c>
      <c r="M32">
        <v>0</v>
      </c>
      <c r="N32">
        <v>1</v>
      </c>
      <c r="O32">
        <v>1</v>
      </c>
      <c r="P32">
        <v>0</v>
      </c>
      <c r="Q32">
        <v>1</v>
      </c>
      <c r="R32">
        <v>0</v>
      </c>
      <c r="S32" t="s">
        <v>38</v>
      </c>
      <c r="T32">
        <v>10</v>
      </c>
      <c r="U32" s="146">
        <v>812.22222222222229</v>
      </c>
      <c r="V32" s="146">
        <v>623.33331999999996</v>
      </c>
      <c r="W32">
        <f t="shared" si="2"/>
        <v>76.744184404924752</v>
      </c>
    </row>
    <row r="33" spans="1:23" x14ac:dyDescent="0.25">
      <c r="A33" t="s">
        <v>327</v>
      </c>
      <c r="B33" s="146" t="s">
        <v>331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5</v>
      </c>
      <c r="J33">
        <v>1</v>
      </c>
      <c r="K33">
        <v>0</v>
      </c>
      <c r="L33">
        <v>2</v>
      </c>
      <c r="M33">
        <v>0</v>
      </c>
      <c r="N33">
        <v>1</v>
      </c>
      <c r="O33">
        <v>1</v>
      </c>
      <c r="P33">
        <v>0</v>
      </c>
      <c r="Q33">
        <v>1</v>
      </c>
      <c r="R33">
        <v>0</v>
      </c>
      <c r="S33" t="s">
        <v>38</v>
      </c>
      <c r="T33">
        <v>10</v>
      </c>
      <c r="U33" s="146">
        <v>1716.6666666666667</v>
      </c>
      <c r="V33" s="146">
        <v>120</v>
      </c>
      <c r="W33">
        <f t="shared" si="2"/>
        <v>6.9902912621359228</v>
      </c>
    </row>
    <row r="34" spans="1:23" x14ac:dyDescent="0.25">
      <c r="A34" t="s">
        <v>327</v>
      </c>
      <c r="B34" s="146" t="s">
        <v>332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5</v>
      </c>
      <c r="J34">
        <v>1</v>
      </c>
      <c r="K34">
        <v>0</v>
      </c>
      <c r="L34">
        <v>2</v>
      </c>
      <c r="M34">
        <v>0</v>
      </c>
      <c r="N34">
        <v>1</v>
      </c>
      <c r="O34">
        <v>1</v>
      </c>
      <c r="P34">
        <v>0</v>
      </c>
      <c r="Q34">
        <v>1</v>
      </c>
      <c r="R34">
        <v>0</v>
      </c>
      <c r="S34" t="s">
        <v>38</v>
      </c>
      <c r="T34">
        <v>10</v>
      </c>
      <c r="U34" s="146">
        <v>1694.4444444444443</v>
      </c>
      <c r="V34" s="146">
        <v>1460</v>
      </c>
      <c r="W34">
        <f t="shared" si="2"/>
        <v>86.163934426229517</v>
      </c>
    </row>
    <row r="35" spans="1:23" x14ac:dyDescent="0.25">
      <c r="A35" t="s">
        <v>327</v>
      </c>
      <c r="B35" s="146" t="s">
        <v>333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5</v>
      </c>
      <c r="J35">
        <v>1</v>
      </c>
      <c r="K35">
        <v>0</v>
      </c>
      <c r="L35">
        <v>2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 t="s">
        <v>38</v>
      </c>
      <c r="T35">
        <v>10</v>
      </c>
      <c r="U35" s="146">
        <v>1133.3333333333333</v>
      </c>
      <c r="V35" s="146">
        <v>883.33323999999982</v>
      </c>
      <c r="W35">
        <f t="shared" ref="W35:W36" si="3">(V35/U35)*100</f>
        <v>77.941168235294114</v>
      </c>
    </row>
    <row r="36" spans="1:23" x14ac:dyDescent="0.25">
      <c r="A36" t="s">
        <v>327</v>
      </c>
      <c r="B36" s="146" t="s">
        <v>334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5</v>
      </c>
      <c r="J36">
        <v>1</v>
      </c>
      <c r="K36">
        <v>0</v>
      </c>
      <c r="L36">
        <v>2</v>
      </c>
      <c r="M36">
        <v>0</v>
      </c>
      <c r="N36">
        <v>1</v>
      </c>
      <c r="O36">
        <v>1</v>
      </c>
      <c r="P36">
        <v>0</v>
      </c>
      <c r="Q36">
        <v>1</v>
      </c>
      <c r="R36">
        <v>0</v>
      </c>
      <c r="S36" t="s">
        <v>38</v>
      </c>
      <c r="T36">
        <v>10</v>
      </c>
      <c r="U36" s="146">
        <v>641.66666666666674</v>
      </c>
      <c r="V36" s="146">
        <v>520</v>
      </c>
      <c r="W36">
        <f t="shared" si="3"/>
        <v>81.038961038961034</v>
      </c>
    </row>
    <row r="37" spans="1:23" x14ac:dyDescent="0.25">
      <c r="A37" t="s">
        <v>335</v>
      </c>
      <c r="B37" s="146" t="s">
        <v>336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  <c r="K37">
        <v>1</v>
      </c>
      <c r="L37">
        <v>5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 t="s">
        <v>6</v>
      </c>
      <c r="T37">
        <v>10</v>
      </c>
      <c r="U37" s="146">
        <v>455.55555555555554</v>
      </c>
      <c r="V37" s="146">
        <v>420</v>
      </c>
      <c r="W37">
        <f t="shared" ref="W37:W39" si="4">(V37/U37)*100</f>
        <v>92.195121951219519</v>
      </c>
    </row>
    <row r="38" spans="1:23" x14ac:dyDescent="0.25">
      <c r="A38" t="s">
        <v>24</v>
      </c>
      <c r="B38" s="146" t="s">
        <v>337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1</v>
      </c>
      <c r="L38">
        <v>5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 t="s">
        <v>6</v>
      </c>
      <c r="T38">
        <v>10</v>
      </c>
      <c r="U38" s="146">
        <v>1611.1111111111111</v>
      </c>
      <c r="V38" s="146">
        <v>1460</v>
      </c>
      <c r="W38">
        <f t="shared" si="4"/>
        <v>90.620689655172413</v>
      </c>
    </row>
    <row r="39" spans="1:23" x14ac:dyDescent="0.25">
      <c r="A39" t="s">
        <v>24</v>
      </c>
      <c r="B39" s="146" t="s">
        <v>338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5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 t="s">
        <v>6</v>
      </c>
      <c r="T39">
        <v>10</v>
      </c>
      <c r="U39" s="146">
        <v>1577.7777777777778</v>
      </c>
      <c r="V39" s="146">
        <v>1083.33332</v>
      </c>
      <c r="W39">
        <f t="shared" si="4"/>
        <v>68.661970985915488</v>
      </c>
    </row>
    <row r="40" spans="1:23" x14ac:dyDescent="0.25">
      <c r="A40" t="s">
        <v>24</v>
      </c>
      <c r="B40" s="146" t="s">
        <v>339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  <c r="K40">
        <v>1</v>
      </c>
      <c r="L40">
        <v>5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 t="s">
        <v>6</v>
      </c>
      <c r="T40">
        <v>10</v>
      </c>
      <c r="U40" s="146">
        <v>1615.5555555555554</v>
      </c>
      <c r="V40" s="146">
        <v>1403.33332</v>
      </c>
      <c r="W40">
        <f t="shared" ref="W40:W43" si="5">(V40/U40)*100</f>
        <v>86.863823108665756</v>
      </c>
    </row>
    <row r="41" spans="1:23" x14ac:dyDescent="0.25">
      <c r="A41" t="s">
        <v>24</v>
      </c>
      <c r="B41" s="146" t="s">
        <v>340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  <c r="K41">
        <v>1</v>
      </c>
      <c r="L41">
        <v>5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 t="s">
        <v>6</v>
      </c>
      <c r="T41">
        <v>10</v>
      </c>
      <c r="U41" s="146">
        <v>777.77777777777783</v>
      </c>
      <c r="V41" s="146">
        <v>280</v>
      </c>
      <c r="W41">
        <f t="shared" si="5"/>
        <v>36</v>
      </c>
    </row>
    <row r="42" spans="1:23" x14ac:dyDescent="0.25">
      <c r="A42" t="s">
        <v>24</v>
      </c>
      <c r="B42" s="146" t="s">
        <v>341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1</v>
      </c>
      <c r="L42">
        <v>5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 t="s">
        <v>6</v>
      </c>
      <c r="T42">
        <v>10</v>
      </c>
      <c r="U42" s="146">
        <v>1600</v>
      </c>
      <c r="V42" s="146">
        <v>1503.33332</v>
      </c>
      <c r="W42">
        <f t="shared" si="5"/>
        <v>93.958332499999997</v>
      </c>
    </row>
    <row r="43" spans="1:23" x14ac:dyDescent="0.25">
      <c r="A43" t="s">
        <v>24</v>
      </c>
      <c r="B43" s="146" t="s">
        <v>342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5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 t="s">
        <v>6</v>
      </c>
      <c r="T43">
        <v>10</v>
      </c>
      <c r="U43" s="146">
        <v>1244.4444444444443</v>
      </c>
      <c r="V43" s="146">
        <v>1140</v>
      </c>
      <c r="W43">
        <f t="shared" si="5"/>
        <v>91.607142857142861</v>
      </c>
    </row>
    <row r="44" spans="1:23" x14ac:dyDescent="0.25">
      <c r="A44" t="s">
        <v>24</v>
      </c>
      <c r="B44" s="146" t="s">
        <v>343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  <c r="K44">
        <v>1</v>
      </c>
      <c r="L44">
        <v>5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 t="s">
        <v>6</v>
      </c>
      <c r="T44">
        <v>10</v>
      </c>
      <c r="U44" s="146">
        <v>1594.4444444444443</v>
      </c>
      <c r="V44" s="146">
        <v>1340</v>
      </c>
      <c r="W44">
        <f t="shared" ref="W44:W57" si="6">(V44/U44)*100</f>
        <v>84.041811846689896</v>
      </c>
    </row>
    <row r="45" spans="1:23" x14ac:dyDescent="0.25">
      <c r="A45" t="s">
        <v>24</v>
      </c>
      <c r="B45" s="146" t="s">
        <v>344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5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 t="s">
        <v>6</v>
      </c>
      <c r="T45">
        <v>10</v>
      </c>
      <c r="U45" s="146">
        <v>1519.4444444444446</v>
      </c>
      <c r="V45" s="146">
        <v>1320</v>
      </c>
      <c r="W45">
        <f t="shared" si="6"/>
        <v>86.873857404021919</v>
      </c>
    </row>
    <row r="46" spans="1:23" x14ac:dyDescent="0.25">
      <c r="A46" t="s">
        <v>24</v>
      </c>
      <c r="B46" s="146" t="s">
        <v>345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5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 t="s">
        <v>6</v>
      </c>
      <c r="T46">
        <v>10</v>
      </c>
      <c r="U46" s="146">
        <v>2156.6666666666665</v>
      </c>
      <c r="V46" s="146">
        <v>1508.3332999999998</v>
      </c>
      <c r="W46">
        <f t="shared" si="6"/>
        <v>69.938174652241102</v>
      </c>
    </row>
    <row r="47" spans="1:23" x14ac:dyDescent="0.25">
      <c r="A47" t="s">
        <v>24</v>
      </c>
      <c r="B47" s="146" t="s">
        <v>346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  <c r="K47">
        <v>1</v>
      </c>
      <c r="L47">
        <v>5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 t="s">
        <v>6</v>
      </c>
      <c r="T47">
        <v>10</v>
      </c>
      <c r="U47" s="146">
        <v>2490.5555555555557</v>
      </c>
      <c r="V47" s="146">
        <v>1844.9999800000001</v>
      </c>
      <c r="W47">
        <f t="shared" si="6"/>
        <v>74.079856435422712</v>
      </c>
    </row>
    <row r="48" spans="1:23" x14ac:dyDescent="0.25">
      <c r="A48" t="s">
        <v>24</v>
      </c>
      <c r="B48" s="146" t="s">
        <v>347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5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 t="s">
        <v>6</v>
      </c>
      <c r="T48">
        <v>10</v>
      </c>
      <c r="U48" s="146">
        <v>1105.5555555555557</v>
      </c>
      <c r="V48" s="146">
        <v>740</v>
      </c>
      <c r="W48">
        <f t="shared" si="6"/>
        <v>66.934673366834161</v>
      </c>
    </row>
    <row r="49" spans="1:23" x14ac:dyDescent="0.25">
      <c r="A49" t="s">
        <v>24</v>
      </c>
      <c r="B49" s="146" t="s">
        <v>348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  <c r="K49">
        <v>1</v>
      </c>
      <c r="L49">
        <v>5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 t="s">
        <v>6</v>
      </c>
      <c r="T49">
        <v>10</v>
      </c>
      <c r="U49" s="146">
        <v>1073.3333333333335</v>
      </c>
      <c r="V49" s="146">
        <v>0</v>
      </c>
      <c r="W49">
        <f t="shared" si="6"/>
        <v>0</v>
      </c>
    </row>
    <row r="50" spans="1:23" x14ac:dyDescent="0.25">
      <c r="A50" t="s">
        <v>24</v>
      </c>
      <c r="B50" s="146" t="s">
        <v>349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  <c r="K50">
        <v>1</v>
      </c>
      <c r="L50">
        <v>5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 t="s">
        <v>6</v>
      </c>
      <c r="T50">
        <v>10</v>
      </c>
      <c r="U50" s="146">
        <v>1422.7777777777778</v>
      </c>
      <c r="V50" s="146">
        <v>1326.6666399999999</v>
      </c>
      <c r="W50">
        <f t="shared" si="6"/>
        <v>93.244824365482231</v>
      </c>
    </row>
    <row r="51" spans="1:23" x14ac:dyDescent="0.25">
      <c r="A51" t="s">
        <v>335</v>
      </c>
      <c r="B51" s="146" t="s">
        <v>350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  <c r="K51">
        <v>1</v>
      </c>
      <c r="L51">
        <v>5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 t="s">
        <v>6</v>
      </c>
      <c r="T51">
        <v>10</v>
      </c>
      <c r="U51" s="146">
        <v>1042.2222222222222</v>
      </c>
      <c r="V51" s="146">
        <v>906.66664000000003</v>
      </c>
      <c r="W51">
        <f t="shared" si="6"/>
        <v>86.993600852878473</v>
      </c>
    </row>
    <row r="52" spans="1:23" x14ac:dyDescent="0.25">
      <c r="A52" t="s">
        <v>335</v>
      </c>
      <c r="B52" s="146" t="s">
        <v>351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  <c r="K52">
        <v>1</v>
      </c>
      <c r="L52">
        <v>5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 t="s">
        <v>6</v>
      </c>
      <c r="T52">
        <v>10</v>
      </c>
      <c r="U52" s="146">
        <v>1079.4444444444443</v>
      </c>
      <c r="V52" s="146">
        <v>0</v>
      </c>
      <c r="W52">
        <f t="shared" si="6"/>
        <v>0</v>
      </c>
    </row>
    <row r="53" spans="1:23" x14ac:dyDescent="0.25">
      <c r="A53" t="s">
        <v>335</v>
      </c>
      <c r="B53" s="146" t="s">
        <v>352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5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 t="s">
        <v>6</v>
      </c>
      <c r="T53">
        <v>10</v>
      </c>
      <c r="U53" s="146">
        <v>538.88888888888891</v>
      </c>
      <c r="V53" s="146">
        <v>386.66664000000003</v>
      </c>
      <c r="W53">
        <f t="shared" si="6"/>
        <v>71.752572371134022</v>
      </c>
    </row>
    <row r="54" spans="1:23" x14ac:dyDescent="0.25">
      <c r="A54" t="s">
        <v>335</v>
      </c>
      <c r="B54" s="146" t="s">
        <v>353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  <c r="K54">
        <v>1</v>
      </c>
      <c r="L54">
        <v>5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 t="s">
        <v>6</v>
      </c>
      <c r="T54">
        <v>10</v>
      </c>
      <c r="U54" s="146">
        <v>338.88888888888891</v>
      </c>
      <c r="V54" s="146">
        <v>280</v>
      </c>
      <c r="W54">
        <f t="shared" si="6"/>
        <v>82.622950819672127</v>
      </c>
    </row>
    <row r="55" spans="1:23" x14ac:dyDescent="0.25">
      <c r="A55" t="s">
        <v>335</v>
      </c>
      <c r="B55" s="146" t="s">
        <v>354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5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 t="s">
        <v>6</v>
      </c>
      <c r="T55">
        <v>10</v>
      </c>
      <c r="U55" s="146">
        <v>552.77777777777783</v>
      </c>
      <c r="V55" s="146">
        <v>463.33332000000001</v>
      </c>
      <c r="W55">
        <f t="shared" si="6"/>
        <v>83.819093065326626</v>
      </c>
    </row>
    <row r="56" spans="1:23" x14ac:dyDescent="0.25">
      <c r="A56" t="s">
        <v>335</v>
      </c>
      <c r="B56" s="146" t="s">
        <v>355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5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 t="s">
        <v>6</v>
      </c>
      <c r="T56">
        <v>10</v>
      </c>
      <c r="U56" s="146">
        <v>311.11111111111109</v>
      </c>
      <c r="V56" s="146">
        <v>260</v>
      </c>
      <c r="W56">
        <f t="shared" si="6"/>
        <v>83.571428571428569</v>
      </c>
    </row>
    <row r="57" spans="1:23" x14ac:dyDescent="0.25">
      <c r="A57" t="s">
        <v>335</v>
      </c>
      <c r="B57" s="146" t="s">
        <v>356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  <c r="K57">
        <v>1</v>
      </c>
      <c r="L57">
        <v>5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 t="s">
        <v>6</v>
      </c>
      <c r="T57">
        <v>10</v>
      </c>
      <c r="U57" s="146">
        <v>588.88888888888891</v>
      </c>
      <c r="V57" s="146">
        <v>443.33332000000001</v>
      </c>
      <c r="W57">
        <f t="shared" si="6"/>
        <v>75.283016603773589</v>
      </c>
    </row>
    <row r="58" spans="1:23" x14ac:dyDescent="0.25">
      <c r="A58" t="s">
        <v>357</v>
      </c>
      <c r="B58" s="146" t="s">
        <v>358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3</v>
      </c>
      <c r="K58">
        <v>1</v>
      </c>
      <c r="L58">
        <v>0</v>
      </c>
      <c r="M58">
        <v>0</v>
      </c>
      <c r="N58">
        <v>2</v>
      </c>
      <c r="O58">
        <v>0</v>
      </c>
      <c r="P58">
        <v>0</v>
      </c>
      <c r="Q58">
        <v>1</v>
      </c>
      <c r="R58">
        <v>0</v>
      </c>
      <c r="S58" t="s">
        <v>97</v>
      </c>
      <c r="T58">
        <v>8</v>
      </c>
      <c r="U58" s="146">
        <v>469.44444444444446</v>
      </c>
      <c r="V58" s="146">
        <v>360</v>
      </c>
      <c r="W58">
        <f>(V58/U58)*100</f>
        <v>76.68639053254438</v>
      </c>
    </row>
    <row r="59" spans="1:23" x14ac:dyDescent="0.25">
      <c r="A59" t="s">
        <v>26</v>
      </c>
      <c r="B59" s="146" t="s">
        <v>359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3</v>
      </c>
      <c r="K59">
        <v>1</v>
      </c>
      <c r="L59">
        <v>0</v>
      </c>
      <c r="M59">
        <v>0</v>
      </c>
      <c r="N59">
        <v>2</v>
      </c>
      <c r="O59">
        <v>0</v>
      </c>
      <c r="P59">
        <v>0</v>
      </c>
      <c r="Q59">
        <v>1</v>
      </c>
      <c r="R59">
        <v>0</v>
      </c>
      <c r="S59" t="s">
        <v>97</v>
      </c>
      <c r="T59">
        <v>8</v>
      </c>
      <c r="U59" s="146">
        <v>2113.8888888888891</v>
      </c>
      <c r="V59" s="146">
        <v>1004.9999799999999</v>
      </c>
      <c r="W59">
        <f>(V59/U59)*100</f>
        <v>47.542706018396835</v>
      </c>
    </row>
    <row r="60" spans="1:23" x14ac:dyDescent="0.25">
      <c r="A60" t="s">
        <v>357</v>
      </c>
      <c r="B60" s="146" t="s">
        <v>360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3</v>
      </c>
      <c r="K60">
        <v>1</v>
      </c>
      <c r="L60">
        <v>0</v>
      </c>
      <c r="M60">
        <v>0</v>
      </c>
      <c r="N60">
        <v>2</v>
      </c>
      <c r="O60">
        <v>0</v>
      </c>
      <c r="P60">
        <v>0</v>
      </c>
      <c r="Q60">
        <v>1</v>
      </c>
      <c r="R60">
        <v>0</v>
      </c>
      <c r="S60" t="s">
        <v>97</v>
      </c>
      <c r="T60">
        <v>8</v>
      </c>
      <c r="U60" s="146">
        <v>1066.6666666666667</v>
      </c>
      <c r="V60" s="146">
        <v>680</v>
      </c>
      <c r="W60">
        <f>(V60/U60)*100</f>
        <v>63.749999999999993</v>
      </c>
    </row>
    <row r="61" spans="1:23" x14ac:dyDescent="0.25">
      <c r="A61" t="s">
        <v>361</v>
      </c>
      <c r="B61" s="146" t="s">
        <v>362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2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 t="s">
        <v>73</v>
      </c>
      <c r="T61">
        <v>6</v>
      </c>
      <c r="U61" s="146">
        <v>2336.1111111111113</v>
      </c>
      <c r="V61" s="146">
        <v>926.66663999999992</v>
      </c>
      <c r="W61">
        <f t="shared" ref="W61:W62" si="7">(V61/U61)*100</f>
        <v>39.667061878715806</v>
      </c>
    </row>
    <row r="62" spans="1:23" x14ac:dyDescent="0.25">
      <c r="A62" t="s">
        <v>361</v>
      </c>
      <c r="B62" s="146" t="s">
        <v>363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1</v>
      </c>
      <c r="J62">
        <v>0</v>
      </c>
      <c r="K62">
        <v>0</v>
      </c>
      <c r="L62">
        <v>2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 t="s">
        <v>73</v>
      </c>
      <c r="T62">
        <v>6</v>
      </c>
      <c r="U62" s="146">
        <v>1644.4444444444443</v>
      </c>
      <c r="V62" s="146">
        <v>300</v>
      </c>
      <c r="W62">
        <f t="shared" si="7"/>
        <v>18.243243243243246</v>
      </c>
    </row>
    <row r="63" spans="1:23" x14ac:dyDescent="0.25">
      <c r="A63" t="s">
        <v>361</v>
      </c>
      <c r="B63" s="146" t="s">
        <v>364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v>2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 t="s">
        <v>73</v>
      </c>
      <c r="T63">
        <v>6</v>
      </c>
      <c r="U63" s="146">
        <v>1088.8888888888889</v>
      </c>
      <c r="V63" s="146">
        <v>983.33331999999996</v>
      </c>
      <c r="W63">
        <f t="shared" ref="W63:W69" si="8">(V63/U63)*100</f>
        <v>90.306121224489786</v>
      </c>
    </row>
    <row r="64" spans="1:23" x14ac:dyDescent="0.25">
      <c r="A64" t="s">
        <v>361</v>
      </c>
      <c r="B64" s="146" t="s">
        <v>365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  <c r="L64">
        <v>2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 t="s">
        <v>73</v>
      </c>
      <c r="T64">
        <v>6</v>
      </c>
      <c r="U64" s="146">
        <v>1069.4444444444446</v>
      </c>
      <c r="V64" s="146">
        <v>903.33331999999996</v>
      </c>
      <c r="W64">
        <f t="shared" si="8"/>
        <v>84.467531220779208</v>
      </c>
    </row>
    <row r="65" spans="1:23" x14ac:dyDescent="0.25">
      <c r="A65" t="s">
        <v>361</v>
      </c>
      <c r="B65" s="146" t="s">
        <v>366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1</v>
      </c>
      <c r="J65">
        <v>0</v>
      </c>
      <c r="K65">
        <v>0</v>
      </c>
      <c r="L65">
        <v>2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 t="s">
        <v>73</v>
      </c>
      <c r="T65">
        <v>6</v>
      </c>
      <c r="U65" s="146">
        <v>1150</v>
      </c>
      <c r="V65" s="146">
        <v>943.33331999999996</v>
      </c>
      <c r="W65">
        <f t="shared" si="8"/>
        <v>82.028984347826082</v>
      </c>
    </row>
    <row r="66" spans="1:23" x14ac:dyDescent="0.25">
      <c r="A66" t="s">
        <v>361</v>
      </c>
      <c r="B66" s="146" t="s">
        <v>367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0</v>
      </c>
      <c r="L66">
        <v>2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 t="s">
        <v>73</v>
      </c>
      <c r="T66">
        <v>6</v>
      </c>
      <c r="U66" s="146">
        <v>1138.8888888888889</v>
      </c>
      <c r="V66" s="146">
        <v>1036.6666</v>
      </c>
      <c r="W66">
        <f t="shared" si="8"/>
        <v>91.02438439024391</v>
      </c>
    </row>
    <row r="67" spans="1:23" x14ac:dyDescent="0.25">
      <c r="A67" t="s">
        <v>361</v>
      </c>
      <c r="B67" s="146" t="s">
        <v>368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1</v>
      </c>
      <c r="J67">
        <v>0</v>
      </c>
      <c r="K67">
        <v>0</v>
      </c>
      <c r="L67">
        <v>2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 t="s">
        <v>73</v>
      </c>
      <c r="T67">
        <v>6</v>
      </c>
      <c r="U67" s="146">
        <v>1684.4444444444443</v>
      </c>
      <c r="V67" s="146">
        <v>801.66665999999998</v>
      </c>
      <c r="W67">
        <f t="shared" si="8"/>
        <v>47.592347889182058</v>
      </c>
    </row>
    <row r="68" spans="1:23" x14ac:dyDescent="0.25">
      <c r="A68" t="s">
        <v>361</v>
      </c>
      <c r="B68" s="146" t="s">
        <v>369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0</v>
      </c>
      <c r="L68">
        <v>2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 t="s">
        <v>73</v>
      </c>
      <c r="T68">
        <v>6</v>
      </c>
      <c r="U68" s="146">
        <v>1058.3333333333335</v>
      </c>
      <c r="V68" s="146">
        <v>983.33331999999996</v>
      </c>
      <c r="W68">
        <f t="shared" si="8"/>
        <v>92.913384566929111</v>
      </c>
    </row>
    <row r="69" spans="1:23" x14ac:dyDescent="0.25">
      <c r="A69" t="s">
        <v>361</v>
      </c>
      <c r="B69" s="146" t="s">
        <v>370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  <c r="J69">
        <v>0</v>
      </c>
      <c r="K69">
        <v>0</v>
      </c>
      <c r="L69">
        <v>2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 t="s">
        <v>73</v>
      </c>
      <c r="T69">
        <v>6</v>
      </c>
      <c r="U69" s="146">
        <v>1066.6666666666665</v>
      </c>
      <c r="V69" s="146">
        <v>940</v>
      </c>
      <c r="W69">
        <f t="shared" si="8"/>
        <v>88.125000000000014</v>
      </c>
    </row>
    <row r="70" spans="1:23" x14ac:dyDescent="0.25">
      <c r="A70" t="s">
        <v>361</v>
      </c>
      <c r="B70" s="146" t="s">
        <v>371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2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 t="s">
        <v>73</v>
      </c>
      <c r="T70">
        <v>6</v>
      </c>
      <c r="U70" s="146">
        <v>1575</v>
      </c>
      <c r="V70" s="146">
        <v>1193.3332800000001</v>
      </c>
      <c r="W70">
        <f t="shared" ref="W70:W71" si="9">(V70/U70)*100</f>
        <v>75.76719238095238</v>
      </c>
    </row>
    <row r="71" spans="1:23" x14ac:dyDescent="0.25">
      <c r="A71" t="s">
        <v>361</v>
      </c>
      <c r="B71" s="146" t="s">
        <v>372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1</v>
      </c>
      <c r="J71">
        <v>0</v>
      </c>
      <c r="K71">
        <v>0</v>
      </c>
      <c r="L71">
        <v>2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 t="s">
        <v>73</v>
      </c>
      <c r="T71">
        <v>6</v>
      </c>
      <c r="U71" s="146">
        <v>494.44444444444446</v>
      </c>
      <c r="V71" s="146">
        <v>400</v>
      </c>
      <c r="W71">
        <f t="shared" si="9"/>
        <v>80.898876404494374</v>
      </c>
    </row>
    <row r="72" spans="1:23" x14ac:dyDescent="0.25">
      <c r="A72" t="s">
        <v>117</v>
      </c>
      <c r="B72" s="146" t="s">
        <v>373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2</v>
      </c>
      <c r="J72">
        <v>4</v>
      </c>
      <c r="K72">
        <v>1</v>
      </c>
      <c r="L72">
        <v>3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 t="s">
        <v>98</v>
      </c>
      <c r="T72">
        <v>12</v>
      </c>
      <c r="U72" s="146">
        <v>1683.3333333333335</v>
      </c>
      <c r="V72" s="146">
        <v>1489.9999600000001</v>
      </c>
      <c r="W72">
        <f>(V72/U72)*100</f>
        <v>88.51484910891088</v>
      </c>
    </row>
    <row r="73" spans="1:23" x14ac:dyDescent="0.25">
      <c r="A73" t="s">
        <v>120</v>
      </c>
      <c r="B73" s="146" t="s">
        <v>374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  <c r="K73">
        <v>1</v>
      </c>
      <c r="L73">
        <v>2</v>
      </c>
      <c r="M73">
        <v>1</v>
      </c>
      <c r="N73">
        <v>0</v>
      </c>
      <c r="O73">
        <v>0</v>
      </c>
      <c r="P73">
        <v>0</v>
      </c>
      <c r="T73">
        <v>7</v>
      </c>
      <c r="U73" s="146">
        <v>1583.3333333333335</v>
      </c>
      <c r="V73" s="146">
        <v>1363.33332</v>
      </c>
      <c r="W73">
        <f t="shared" ref="W73:W75" si="10">(V73/U73)*100</f>
        <v>86.10526231578946</v>
      </c>
    </row>
    <row r="74" spans="1:23" x14ac:dyDescent="0.25">
      <c r="A74" t="s">
        <v>120</v>
      </c>
      <c r="B74" s="146" t="s">
        <v>375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  <c r="K74">
        <v>1</v>
      </c>
      <c r="L74">
        <v>2</v>
      </c>
      <c r="M74">
        <v>1</v>
      </c>
      <c r="N74">
        <v>0</v>
      </c>
      <c r="O74">
        <v>0</v>
      </c>
      <c r="P74">
        <v>0</v>
      </c>
      <c r="T74">
        <v>7</v>
      </c>
      <c r="U74" s="146">
        <v>1730.5555555555554</v>
      </c>
      <c r="V74" s="146">
        <v>1223.33332</v>
      </c>
      <c r="W74">
        <f t="shared" si="10"/>
        <v>70.690207897271279</v>
      </c>
    </row>
    <row r="75" spans="1:23" x14ac:dyDescent="0.25">
      <c r="A75" t="s">
        <v>120</v>
      </c>
      <c r="B75" s="146" t="s">
        <v>376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1</v>
      </c>
      <c r="K75">
        <v>1</v>
      </c>
      <c r="L75">
        <v>2</v>
      </c>
      <c r="M75">
        <v>1</v>
      </c>
      <c r="N75">
        <v>0</v>
      </c>
      <c r="O75">
        <v>0</v>
      </c>
      <c r="P75">
        <v>0</v>
      </c>
      <c r="T75">
        <v>7</v>
      </c>
      <c r="U75" s="146">
        <v>1605.5555555555554</v>
      </c>
      <c r="V75" s="146">
        <v>824.99997999999994</v>
      </c>
      <c r="W75">
        <f t="shared" si="10"/>
        <v>51.384081799307957</v>
      </c>
    </row>
    <row r="76" spans="1:23" x14ac:dyDescent="0.25">
      <c r="A76" t="s">
        <v>122</v>
      </c>
      <c r="B76" s="146" t="s">
        <v>377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2</v>
      </c>
      <c r="J76">
        <v>1</v>
      </c>
      <c r="K76">
        <v>2</v>
      </c>
      <c r="L76">
        <v>2</v>
      </c>
      <c r="M76">
        <v>0</v>
      </c>
      <c r="N76">
        <v>0</v>
      </c>
      <c r="O76">
        <v>0</v>
      </c>
      <c r="P76">
        <v>0</v>
      </c>
      <c r="T76">
        <v>8</v>
      </c>
      <c r="U76" s="146">
        <v>2216.6666666666665</v>
      </c>
      <c r="V76" s="146">
        <v>1383.33332</v>
      </c>
      <c r="W76">
        <f>(V76/U76)*100</f>
        <v>62.406014436090231</v>
      </c>
    </row>
    <row r="77" spans="1:23" x14ac:dyDescent="0.25">
      <c r="A77" t="s">
        <v>122</v>
      </c>
      <c r="B77" s="146" t="s">
        <v>378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2</v>
      </c>
      <c r="J77">
        <v>1</v>
      </c>
      <c r="K77">
        <v>2</v>
      </c>
      <c r="L77">
        <v>2</v>
      </c>
      <c r="M77">
        <v>0</v>
      </c>
      <c r="N77">
        <v>0</v>
      </c>
      <c r="O77">
        <v>0</v>
      </c>
      <c r="P77">
        <v>0</v>
      </c>
      <c r="T77">
        <v>8</v>
      </c>
      <c r="U77" s="146">
        <v>1513.8888888888889</v>
      </c>
      <c r="V77" s="146">
        <v>886.66663999999992</v>
      </c>
      <c r="W77">
        <f>(V77/U77)*100</f>
        <v>58.568805577981642</v>
      </c>
    </row>
    <row r="78" spans="1:23" x14ac:dyDescent="0.25">
      <c r="A78" t="s">
        <v>123</v>
      </c>
      <c r="B78" s="146" t="s">
        <v>379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2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T78">
        <v>4</v>
      </c>
      <c r="U78" s="146">
        <v>1722.2222222222222</v>
      </c>
      <c r="V78" s="146">
        <v>0</v>
      </c>
      <c r="W78">
        <f>(V78/U78)*100</f>
        <v>0</v>
      </c>
    </row>
    <row r="79" spans="1:23" x14ac:dyDescent="0.25">
      <c r="A79" t="s">
        <v>123</v>
      </c>
      <c r="B79" s="146" t="s">
        <v>380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2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T79">
        <v>4</v>
      </c>
      <c r="U79" s="146">
        <v>2333.333333333333</v>
      </c>
      <c r="V79" s="146">
        <v>0</v>
      </c>
      <c r="W79">
        <f t="shared" ref="W79:W80" si="11">(V79/U79)*100</f>
        <v>0</v>
      </c>
    </row>
    <row r="80" spans="1:23" x14ac:dyDescent="0.25">
      <c r="A80" t="s">
        <v>123</v>
      </c>
      <c r="B80" s="146" t="s">
        <v>381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2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T80">
        <v>4</v>
      </c>
      <c r="U80" s="146">
        <v>1750.0000000000002</v>
      </c>
      <c r="V80" s="146">
        <v>140</v>
      </c>
      <c r="W80">
        <f t="shared" si="11"/>
        <v>7.9999999999999991</v>
      </c>
    </row>
    <row r="81" spans="1:23" x14ac:dyDescent="0.25">
      <c r="A81" t="s">
        <v>123</v>
      </c>
      <c r="B81" s="146" t="s">
        <v>382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2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T81">
        <v>4</v>
      </c>
      <c r="U81" s="146">
        <v>1152.7777777777778</v>
      </c>
      <c r="V81" s="146">
        <v>140</v>
      </c>
      <c r="W81">
        <f>(V81/U81)*100</f>
        <v>12.144578313253012</v>
      </c>
    </row>
    <row r="82" spans="1:23" x14ac:dyDescent="0.25">
      <c r="A82" t="s">
        <v>123</v>
      </c>
      <c r="B82" s="146" t="s">
        <v>383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2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T82">
        <v>4</v>
      </c>
      <c r="U82" s="146">
        <v>1650</v>
      </c>
      <c r="V82" s="146">
        <v>580</v>
      </c>
      <c r="W82">
        <f>(V82/U82)*100</f>
        <v>35.151515151515149</v>
      </c>
    </row>
    <row r="83" spans="1:23" x14ac:dyDescent="0.25">
      <c r="A83" t="s">
        <v>123</v>
      </c>
      <c r="B83" s="146" t="s">
        <v>384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2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T83">
        <v>4</v>
      </c>
      <c r="U83" s="146">
        <v>1672.2222222222224</v>
      </c>
      <c r="V83" s="146">
        <v>1043.33332</v>
      </c>
      <c r="W83">
        <f>(V83/U83)*100</f>
        <v>62.39202578073089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"/>
  <sheetViews>
    <sheetView tabSelected="1" workbookViewId="0">
      <selection activeCell="AC11" sqref="AC11"/>
    </sheetView>
  </sheetViews>
  <sheetFormatPr defaultRowHeight="15" x14ac:dyDescent="0.25"/>
  <cols>
    <col min="1" max="1" width="9.85546875" bestFit="1" customWidth="1"/>
    <col min="2" max="2" width="11.42578125" bestFit="1" customWidth="1"/>
    <col min="3" max="3" width="7.7109375" bestFit="1" customWidth="1"/>
    <col min="4" max="4" width="8" bestFit="1" customWidth="1"/>
  </cols>
  <sheetData>
    <row r="1" spans="1:23" x14ac:dyDescent="0.25">
      <c r="A1" s="144" t="s">
        <v>207</v>
      </c>
      <c r="B1" s="144" t="s">
        <v>127</v>
      </c>
      <c r="C1" s="144" t="s">
        <v>80</v>
      </c>
      <c r="D1" s="144" t="s">
        <v>94</v>
      </c>
      <c r="E1" s="144" t="s">
        <v>81</v>
      </c>
      <c r="F1" s="144" t="s">
        <v>82</v>
      </c>
      <c r="G1" s="144" t="s">
        <v>83</v>
      </c>
      <c r="H1" s="144" t="s">
        <v>84</v>
      </c>
      <c r="I1" s="144" t="s">
        <v>85</v>
      </c>
      <c r="J1" s="144" t="s">
        <v>86</v>
      </c>
      <c r="K1" s="144" t="s">
        <v>87</v>
      </c>
      <c r="L1" s="144" t="s">
        <v>88</v>
      </c>
      <c r="M1" s="144" t="s">
        <v>89</v>
      </c>
      <c r="N1" s="144" t="s">
        <v>90</v>
      </c>
      <c r="O1" s="144" t="s">
        <v>91</v>
      </c>
      <c r="P1" s="144" t="s">
        <v>92</v>
      </c>
      <c r="Q1" s="144" t="s">
        <v>38</v>
      </c>
      <c r="R1" s="144" t="s">
        <v>93</v>
      </c>
      <c r="S1" s="144" t="s">
        <v>59</v>
      </c>
      <c r="T1" s="144" t="s">
        <v>95</v>
      </c>
      <c r="U1" s="144" t="s">
        <v>155</v>
      </c>
      <c r="V1" s="144" t="s">
        <v>156</v>
      </c>
      <c r="W1" s="144" t="s">
        <v>124</v>
      </c>
    </row>
    <row r="2" spans="1:23" x14ac:dyDescent="0.25">
      <c r="A2" t="s">
        <v>386</v>
      </c>
      <c r="B2" s="146" t="s">
        <v>297</v>
      </c>
      <c r="C2">
        <f>(AF32count[[#This Row],[0-10]]/AF32percent[[Total Charge]:[Total Charge]])</f>
        <v>0</v>
      </c>
      <c r="D2">
        <f>(AF32count[[#This Row],[11-20]]/AF32percent[[Total Charge]:[Total Charge]])</f>
        <v>0</v>
      </c>
      <c r="E2">
        <f>(AF32count[[#This Row],[21-30]]/AF32percent[[Total Charge]:[Total Charge]])</f>
        <v>0</v>
      </c>
      <c r="F2">
        <f>(AF32count[[#This Row],[31-40]]/AF32percent[[Total Charge]:[Total Charge]])</f>
        <v>7.6923076923076927E-2</v>
      </c>
      <c r="G2">
        <f>(AF32count[[#This Row],[41-50]]/AF32percent[[Total Charge]:[Total Charge]])</f>
        <v>0.15384615384615385</v>
      </c>
      <c r="H2">
        <f>(AF32count[[#This Row],[51-60]]/AF32percent[[Total Charge]:[Total Charge]])</f>
        <v>0.15384615384615385</v>
      </c>
      <c r="I2">
        <f>(AF32count[[#This Row],[61-70]]/AF32percent[[Total Charge]:[Total Charge]])</f>
        <v>7.6923076923076927E-2</v>
      </c>
      <c r="J2">
        <f>(AF32count[[#This Row],[71-80]]/AF32percent[[Total Charge]:[Total Charge]])</f>
        <v>7.6923076923076927E-2</v>
      </c>
      <c r="K2">
        <f>(AF32count[[#This Row],[81-90]]/AF32percent[[Total Charge]:[Total Charge]])</f>
        <v>0</v>
      </c>
      <c r="L2">
        <f>(AF32count[[#This Row],[91-100]]/AF32percent[[Total Charge]:[Total Charge]])</f>
        <v>0.15384615384615385</v>
      </c>
      <c r="M2">
        <f>(AF32count[[#This Row],[101-110]]/AF32percent[[Total Charge]:[Total Charge]])</f>
        <v>7.6923076923076927E-2</v>
      </c>
      <c r="N2">
        <f>(AF32count[[#This Row],[111-120]]/AF32percent[[Total Charge]:[Total Charge]])</f>
        <v>0.23076923076923078</v>
      </c>
      <c r="O2">
        <f>(AF32count[[#This Row],[121-130]]/AF32percent[[Total Charge]:[Total Charge]])</f>
        <v>0</v>
      </c>
      <c r="P2">
        <f>(AF32count[[#This Row],[131-140]]/AF32percent[[Total Charge]:[Total Charge]])</f>
        <v>0</v>
      </c>
      <c r="Q2">
        <v>0</v>
      </c>
      <c r="R2">
        <v>0</v>
      </c>
      <c r="S2" t="s">
        <v>6</v>
      </c>
      <c r="T2">
        <v>13</v>
      </c>
      <c r="U2">
        <v>898.33333333333326</v>
      </c>
      <c r="V2">
        <v>520</v>
      </c>
      <c r="W2">
        <f>(V2/U2)*100</f>
        <v>57.884972170686467</v>
      </c>
    </row>
    <row r="3" spans="1:23" x14ac:dyDescent="0.25">
      <c r="A3" t="s">
        <v>386</v>
      </c>
      <c r="B3" s="146" t="s">
        <v>298</v>
      </c>
      <c r="C3">
        <f>(AF32count[[#This Row],[0-10]]/AF32percent[[Total Charge]:[Total Charge]])</f>
        <v>0</v>
      </c>
      <c r="D3">
        <f>(AF32count[[#This Row],[11-20]]/AF32percent[[Total Charge]:[Total Charge]])</f>
        <v>0</v>
      </c>
      <c r="E3">
        <f>(AF32count[[#This Row],[21-30]]/AF32percent[[Total Charge]:[Total Charge]])</f>
        <v>0</v>
      </c>
      <c r="F3">
        <f>(AF32count[[#This Row],[31-40]]/AF32percent[[Total Charge]:[Total Charge]])</f>
        <v>7.6923076923076927E-2</v>
      </c>
      <c r="G3">
        <f>(AF32count[[#This Row],[41-50]]/AF32percent[[Total Charge]:[Total Charge]])</f>
        <v>0.15384615384615385</v>
      </c>
      <c r="H3">
        <f>(AF32count[[#This Row],[51-60]]/AF32percent[[Total Charge]:[Total Charge]])</f>
        <v>0.15384615384615385</v>
      </c>
      <c r="I3">
        <f>(AF32count[[#This Row],[61-70]]/AF32percent[[Total Charge]:[Total Charge]])</f>
        <v>7.6923076923076927E-2</v>
      </c>
      <c r="J3">
        <f>(AF32count[[#This Row],[71-80]]/AF32percent[[Total Charge]:[Total Charge]])</f>
        <v>7.6923076923076927E-2</v>
      </c>
      <c r="K3">
        <f>(AF32count[[#This Row],[81-90]]/AF32percent[[Total Charge]:[Total Charge]])</f>
        <v>0</v>
      </c>
      <c r="L3">
        <f>(AF32count[[#This Row],[91-100]]/AF32percent[[Total Charge]:[Total Charge]])</f>
        <v>0.15384615384615385</v>
      </c>
      <c r="M3">
        <f>(AF32count[[#This Row],[101-110]]/AF32percent[[Total Charge]:[Total Charge]])</f>
        <v>7.6923076923076927E-2</v>
      </c>
      <c r="N3">
        <f>(AF32count[[#This Row],[111-120]]/AF32percent[[Total Charge]:[Total Charge]])</f>
        <v>0.23076923076923078</v>
      </c>
      <c r="O3">
        <f>(AF32count[[#This Row],[121-130]]/AF32percent[[Total Charge]:[Total Charge]])</f>
        <v>0</v>
      </c>
      <c r="P3">
        <f>(AF32count[[#This Row],[131-140]]/AF32percent[[Total Charge]:[Total Charge]])</f>
        <v>0</v>
      </c>
      <c r="Q3">
        <v>0</v>
      </c>
      <c r="R3">
        <v>0</v>
      </c>
      <c r="S3" t="s">
        <v>6</v>
      </c>
      <c r="T3">
        <v>13</v>
      </c>
      <c r="U3">
        <v>755.55555555555554</v>
      </c>
      <c r="V3">
        <v>740</v>
      </c>
      <c r="W3">
        <f t="shared" ref="W3:W25" si="0">(V3/U3)*100</f>
        <v>97.941176470588232</v>
      </c>
    </row>
    <row r="4" spans="1:23" x14ac:dyDescent="0.25">
      <c r="A4" t="s">
        <v>386</v>
      </c>
      <c r="B4" s="146" t="s">
        <v>299</v>
      </c>
      <c r="C4">
        <f>(AF32count[[#This Row],[0-10]]/AF32percent[[Total Charge]:[Total Charge]])</f>
        <v>0</v>
      </c>
      <c r="D4">
        <f>(AF32count[[#This Row],[11-20]]/AF32percent[[Total Charge]:[Total Charge]])</f>
        <v>0</v>
      </c>
      <c r="E4">
        <f>(AF32count[[#This Row],[21-30]]/AF32percent[[Total Charge]:[Total Charge]])</f>
        <v>0</v>
      </c>
      <c r="F4">
        <f>(AF32count[[#This Row],[31-40]]/AF32percent[[Total Charge]:[Total Charge]])</f>
        <v>7.6923076923076927E-2</v>
      </c>
      <c r="G4">
        <f>(AF32count[[#This Row],[41-50]]/AF32percent[[Total Charge]:[Total Charge]])</f>
        <v>0.15384615384615385</v>
      </c>
      <c r="H4">
        <f>(AF32count[[#This Row],[51-60]]/AF32percent[[Total Charge]:[Total Charge]])</f>
        <v>0.15384615384615385</v>
      </c>
      <c r="I4">
        <f>(AF32count[[#This Row],[61-70]]/AF32percent[[Total Charge]:[Total Charge]])</f>
        <v>7.6923076923076927E-2</v>
      </c>
      <c r="J4">
        <f>(AF32count[[#This Row],[71-80]]/AF32percent[[Total Charge]:[Total Charge]])</f>
        <v>7.6923076923076927E-2</v>
      </c>
      <c r="K4">
        <f>(AF32count[[#This Row],[81-90]]/AF32percent[[Total Charge]:[Total Charge]])</f>
        <v>0</v>
      </c>
      <c r="L4">
        <f>(AF32count[[#This Row],[91-100]]/AF32percent[[Total Charge]:[Total Charge]])</f>
        <v>0.15384615384615385</v>
      </c>
      <c r="M4">
        <f>(AF32count[[#This Row],[101-110]]/AF32percent[[Total Charge]:[Total Charge]])</f>
        <v>7.6923076923076927E-2</v>
      </c>
      <c r="N4">
        <f>(AF32count[[#This Row],[111-120]]/AF32percent[[Total Charge]:[Total Charge]])</f>
        <v>0.23076923076923078</v>
      </c>
      <c r="O4">
        <f>(AF32count[[#This Row],[121-130]]/AF32percent[[Total Charge]:[Total Charge]])</f>
        <v>0</v>
      </c>
      <c r="P4">
        <f>(AF32count[[#This Row],[131-140]]/AF32percent[[Total Charge]:[Total Charge]])</f>
        <v>0</v>
      </c>
      <c r="Q4">
        <v>0</v>
      </c>
      <c r="R4">
        <v>0</v>
      </c>
      <c r="S4" t="s">
        <v>6</v>
      </c>
      <c r="T4">
        <v>13</v>
      </c>
      <c r="U4">
        <v>794.44444444444446</v>
      </c>
      <c r="V4">
        <v>0</v>
      </c>
      <c r="W4">
        <f t="shared" si="0"/>
        <v>0</v>
      </c>
    </row>
    <row r="5" spans="1:23" x14ac:dyDescent="0.25">
      <c r="A5" t="s">
        <v>386</v>
      </c>
      <c r="B5" s="146" t="s">
        <v>300</v>
      </c>
      <c r="C5">
        <f>(AF32count[[#This Row],[0-10]]/AF32percent[[Total Charge]:[Total Charge]])</f>
        <v>0</v>
      </c>
      <c r="D5">
        <f>(AF32count[[#This Row],[11-20]]/AF32percent[[Total Charge]:[Total Charge]])</f>
        <v>0</v>
      </c>
      <c r="E5">
        <f>(AF32count[[#This Row],[21-30]]/AF32percent[[Total Charge]:[Total Charge]])</f>
        <v>0</v>
      </c>
      <c r="F5">
        <f>(AF32count[[#This Row],[31-40]]/AF32percent[[Total Charge]:[Total Charge]])</f>
        <v>7.6923076923076927E-2</v>
      </c>
      <c r="G5">
        <f>(AF32count[[#This Row],[41-50]]/AF32percent[[Total Charge]:[Total Charge]])</f>
        <v>0.15384615384615385</v>
      </c>
      <c r="H5">
        <f>(AF32count[[#This Row],[51-60]]/AF32percent[[Total Charge]:[Total Charge]])</f>
        <v>0.15384615384615385</v>
      </c>
      <c r="I5">
        <f>(AF32count[[#This Row],[61-70]]/AF32percent[[Total Charge]:[Total Charge]])</f>
        <v>7.6923076923076927E-2</v>
      </c>
      <c r="J5">
        <f>(AF32count[[#This Row],[71-80]]/AF32percent[[Total Charge]:[Total Charge]])</f>
        <v>7.6923076923076927E-2</v>
      </c>
      <c r="K5">
        <f>(AF32count[[#This Row],[81-90]]/AF32percent[[Total Charge]:[Total Charge]])</f>
        <v>0</v>
      </c>
      <c r="L5">
        <f>(AF32count[[#This Row],[91-100]]/AF32percent[[Total Charge]:[Total Charge]])</f>
        <v>0.15384615384615385</v>
      </c>
      <c r="M5">
        <f>(AF32count[[#This Row],[101-110]]/AF32percent[[Total Charge]:[Total Charge]])</f>
        <v>7.6923076923076927E-2</v>
      </c>
      <c r="N5">
        <f>(AF32count[[#This Row],[111-120]]/AF32percent[[Total Charge]:[Total Charge]])</f>
        <v>0.23076923076923078</v>
      </c>
      <c r="O5">
        <f>(AF32count[[#This Row],[121-130]]/AF32percent[[Total Charge]:[Total Charge]])</f>
        <v>0</v>
      </c>
      <c r="P5">
        <f>(AF32count[[#This Row],[131-140]]/AF32percent[[Total Charge]:[Total Charge]])</f>
        <v>0</v>
      </c>
      <c r="Q5">
        <v>0</v>
      </c>
      <c r="R5">
        <v>0</v>
      </c>
      <c r="S5" t="s">
        <v>6</v>
      </c>
      <c r="T5">
        <v>13</v>
      </c>
      <c r="U5">
        <v>994.44444444444457</v>
      </c>
      <c r="V5">
        <v>0</v>
      </c>
      <c r="W5">
        <f t="shared" si="0"/>
        <v>0</v>
      </c>
    </row>
    <row r="6" spans="1:23" x14ac:dyDescent="0.25">
      <c r="A6" t="s">
        <v>386</v>
      </c>
      <c r="B6" s="146" t="s">
        <v>301</v>
      </c>
      <c r="C6">
        <f>(AF32count[[#This Row],[0-10]]/AF32percent[[Total Charge]:[Total Charge]])</f>
        <v>0</v>
      </c>
      <c r="D6">
        <f>(AF32count[[#This Row],[11-20]]/AF32percent[[Total Charge]:[Total Charge]])</f>
        <v>0</v>
      </c>
      <c r="E6">
        <f>(AF32count[[#This Row],[21-30]]/AF32percent[[Total Charge]:[Total Charge]])</f>
        <v>0</v>
      </c>
      <c r="F6">
        <f>(AF32count[[#This Row],[31-40]]/AF32percent[[Total Charge]:[Total Charge]])</f>
        <v>7.6923076923076927E-2</v>
      </c>
      <c r="G6">
        <f>(AF32count[[#This Row],[41-50]]/AF32percent[[Total Charge]:[Total Charge]])</f>
        <v>0.15384615384615385</v>
      </c>
      <c r="H6">
        <f>(AF32count[[#This Row],[51-60]]/AF32percent[[Total Charge]:[Total Charge]])</f>
        <v>0.15384615384615385</v>
      </c>
      <c r="I6">
        <f>(AF32count[[#This Row],[61-70]]/AF32percent[[Total Charge]:[Total Charge]])</f>
        <v>7.6923076923076927E-2</v>
      </c>
      <c r="J6">
        <f>(AF32count[[#This Row],[71-80]]/AF32percent[[Total Charge]:[Total Charge]])</f>
        <v>7.6923076923076927E-2</v>
      </c>
      <c r="K6">
        <f>(AF32count[[#This Row],[81-90]]/AF32percent[[Total Charge]:[Total Charge]])</f>
        <v>0</v>
      </c>
      <c r="L6">
        <f>(AF32count[[#This Row],[91-100]]/AF32percent[[Total Charge]:[Total Charge]])</f>
        <v>0.15384615384615385</v>
      </c>
      <c r="M6">
        <f>(AF32count[[#This Row],[101-110]]/AF32percent[[Total Charge]:[Total Charge]])</f>
        <v>7.6923076923076927E-2</v>
      </c>
      <c r="N6">
        <f>(AF32count[[#This Row],[111-120]]/AF32percent[[Total Charge]:[Total Charge]])</f>
        <v>0.23076923076923078</v>
      </c>
      <c r="O6">
        <f>(AF32count[[#This Row],[121-130]]/AF32percent[[Total Charge]:[Total Charge]])</f>
        <v>0</v>
      </c>
      <c r="P6">
        <f>(AF32count[[#This Row],[131-140]]/AF32percent[[Total Charge]:[Total Charge]])</f>
        <v>0</v>
      </c>
      <c r="Q6">
        <v>0</v>
      </c>
      <c r="R6">
        <v>0</v>
      </c>
      <c r="S6" t="s">
        <v>6</v>
      </c>
      <c r="T6">
        <v>13</v>
      </c>
      <c r="U6">
        <v>868.88888888888891</v>
      </c>
      <c r="V6">
        <v>0</v>
      </c>
      <c r="W6">
        <f t="shared" si="0"/>
        <v>0</v>
      </c>
    </row>
    <row r="7" spans="1:23" x14ac:dyDescent="0.25">
      <c r="A7" t="s">
        <v>386</v>
      </c>
      <c r="B7" s="146" t="s">
        <v>302</v>
      </c>
      <c r="C7">
        <f>(AF32count[[#This Row],[0-10]]/AF32percent[[Total Charge]:[Total Charge]])</f>
        <v>0</v>
      </c>
      <c r="D7">
        <f>(AF32count[[#This Row],[11-20]]/AF32percent[[Total Charge]:[Total Charge]])</f>
        <v>0</v>
      </c>
      <c r="E7">
        <f>(AF32count[[#This Row],[21-30]]/AF32percent[[Total Charge]:[Total Charge]])</f>
        <v>0</v>
      </c>
      <c r="F7">
        <f>(AF32count[[#This Row],[31-40]]/AF32percent[[Total Charge]:[Total Charge]])</f>
        <v>7.6923076923076927E-2</v>
      </c>
      <c r="G7">
        <f>(AF32count[[#This Row],[41-50]]/AF32percent[[Total Charge]:[Total Charge]])</f>
        <v>0.15384615384615385</v>
      </c>
      <c r="H7">
        <f>(AF32count[[#This Row],[51-60]]/AF32percent[[Total Charge]:[Total Charge]])</f>
        <v>0.15384615384615385</v>
      </c>
      <c r="I7">
        <f>(AF32count[[#This Row],[61-70]]/AF32percent[[Total Charge]:[Total Charge]])</f>
        <v>7.6923076923076927E-2</v>
      </c>
      <c r="J7">
        <f>(AF32count[[#This Row],[71-80]]/AF32percent[[Total Charge]:[Total Charge]])</f>
        <v>7.6923076923076927E-2</v>
      </c>
      <c r="K7">
        <f>(AF32count[[#This Row],[81-90]]/AF32percent[[Total Charge]:[Total Charge]])</f>
        <v>0</v>
      </c>
      <c r="L7">
        <f>(AF32count[[#This Row],[91-100]]/AF32percent[[Total Charge]:[Total Charge]])</f>
        <v>0.15384615384615385</v>
      </c>
      <c r="M7">
        <f>(AF32count[[#This Row],[101-110]]/AF32percent[[Total Charge]:[Total Charge]])</f>
        <v>7.6923076923076927E-2</v>
      </c>
      <c r="N7">
        <f>(AF32count[[#This Row],[111-120]]/AF32percent[[Total Charge]:[Total Charge]])</f>
        <v>0.23076923076923078</v>
      </c>
      <c r="O7">
        <f>(AF32count[[#This Row],[121-130]]/AF32percent[[Total Charge]:[Total Charge]])</f>
        <v>0</v>
      </c>
      <c r="P7">
        <f>(AF32count[[#This Row],[131-140]]/AF32percent[[Total Charge]:[Total Charge]])</f>
        <v>0</v>
      </c>
      <c r="Q7">
        <v>0</v>
      </c>
      <c r="R7">
        <v>0</v>
      </c>
      <c r="S7" t="s">
        <v>6</v>
      </c>
      <c r="T7">
        <v>13</v>
      </c>
      <c r="U7">
        <v>913.33333333333326</v>
      </c>
      <c r="V7">
        <v>0</v>
      </c>
      <c r="W7">
        <f t="shared" si="0"/>
        <v>0</v>
      </c>
    </row>
    <row r="8" spans="1:23" x14ac:dyDescent="0.25">
      <c r="A8" t="s">
        <v>386</v>
      </c>
      <c r="B8" s="146" t="s">
        <v>303</v>
      </c>
      <c r="C8">
        <f>(AF32count[[#This Row],[0-10]]/AF32percent[[Total Charge]:[Total Charge]])</f>
        <v>0</v>
      </c>
      <c r="D8">
        <f>(AF32count[[#This Row],[11-20]]/AF32percent[[Total Charge]:[Total Charge]])</f>
        <v>0</v>
      </c>
      <c r="E8">
        <f>(AF32count[[#This Row],[21-30]]/AF32percent[[Total Charge]:[Total Charge]])</f>
        <v>0</v>
      </c>
      <c r="F8">
        <f>(AF32count[[#This Row],[31-40]]/AF32percent[[Total Charge]:[Total Charge]])</f>
        <v>7.6923076923076927E-2</v>
      </c>
      <c r="G8">
        <f>(AF32count[[#This Row],[41-50]]/AF32percent[[Total Charge]:[Total Charge]])</f>
        <v>0.15384615384615385</v>
      </c>
      <c r="H8">
        <f>(AF32count[[#This Row],[51-60]]/AF32percent[[Total Charge]:[Total Charge]])</f>
        <v>0.15384615384615385</v>
      </c>
      <c r="I8">
        <f>(AF32count[[#This Row],[61-70]]/AF32percent[[Total Charge]:[Total Charge]])</f>
        <v>7.6923076923076927E-2</v>
      </c>
      <c r="J8">
        <f>(AF32count[[#This Row],[71-80]]/AF32percent[[Total Charge]:[Total Charge]])</f>
        <v>7.6923076923076927E-2</v>
      </c>
      <c r="K8">
        <f>(AF32count[[#This Row],[81-90]]/AF32percent[[Total Charge]:[Total Charge]])</f>
        <v>0</v>
      </c>
      <c r="L8">
        <f>(AF32count[[#This Row],[91-100]]/AF32percent[[Total Charge]:[Total Charge]])</f>
        <v>0.15384615384615385</v>
      </c>
      <c r="M8">
        <f>(AF32count[[#This Row],[101-110]]/AF32percent[[Total Charge]:[Total Charge]])</f>
        <v>7.6923076923076927E-2</v>
      </c>
      <c r="N8">
        <f>(AF32count[[#This Row],[111-120]]/AF32percent[[Total Charge]:[Total Charge]])</f>
        <v>0.23076923076923078</v>
      </c>
      <c r="O8">
        <f>(AF32count[[#This Row],[121-130]]/AF32percent[[Total Charge]:[Total Charge]])</f>
        <v>0</v>
      </c>
      <c r="P8">
        <f>(AF32count[[#This Row],[131-140]]/AF32percent[[Total Charge]:[Total Charge]])</f>
        <v>0</v>
      </c>
      <c r="Q8">
        <v>0</v>
      </c>
      <c r="R8">
        <v>0</v>
      </c>
      <c r="S8" t="s">
        <v>6</v>
      </c>
      <c r="T8">
        <v>13</v>
      </c>
      <c r="U8">
        <v>788.88888888888891</v>
      </c>
      <c r="V8">
        <v>160</v>
      </c>
      <c r="W8">
        <f t="shared" si="0"/>
        <v>20.281690140845072</v>
      </c>
    </row>
    <row r="9" spans="1:23" x14ac:dyDescent="0.25">
      <c r="A9" t="s">
        <v>387</v>
      </c>
      <c r="B9" s="146" t="s">
        <v>304</v>
      </c>
      <c r="C9">
        <f>(AF32count[[#This Row],[0-10]]/AF32percent[[Total Charge]:[Total Charge]])</f>
        <v>0</v>
      </c>
      <c r="D9">
        <f>(AF32count[[#This Row],[11-20]]/AF32percent[[Total Charge]:[Total Charge]])</f>
        <v>0</v>
      </c>
      <c r="E9">
        <f>(AF32count[[#This Row],[21-30]]/AF32percent[[Total Charge]:[Total Charge]])</f>
        <v>0</v>
      </c>
      <c r="F9">
        <f>(AF32count[[#This Row],[31-40]]/AF32percent[[Total Charge]:[Total Charge]])</f>
        <v>0</v>
      </c>
      <c r="G9">
        <f>(AF32count[[#This Row],[41-50]]/AF32percent[[Total Charge]:[Total Charge]])</f>
        <v>0.16666666666666666</v>
      </c>
      <c r="H9">
        <f>(AF32count[[#This Row],[51-60]]/AF32percent[[Total Charge]:[Total Charge]])</f>
        <v>0.16666666666666666</v>
      </c>
      <c r="I9">
        <f>(AF32count[[#This Row],[61-70]]/AF32percent[[Total Charge]:[Total Charge]])</f>
        <v>0.16666666666666666</v>
      </c>
      <c r="J9">
        <f>(AF32count[[#This Row],[71-80]]/AF32percent[[Total Charge]:[Total Charge]])</f>
        <v>0</v>
      </c>
      <c r="K9">
        <f>(AF32count[[#This Row],[81-90]]/AF32percent[[Total Charge]:[Total Charge]])</f>
        <v>0</v>
      </c>
      <c r="L9">
        <f>(AF32count[[#This Row],[91-100]]/AF32percent[[Total Charge]:[Total Charge]])</f>
        <v>0.33333333333333331</v>
      </c>
      <c r="M9">
        <f>(AF32count[[#This Row],[101-110]]/AF32percent[[Total Charge]:[Total Charge]])</f>
        <v>0.16666666666666666</v>
      </c>
      <c r="N9">
        <f>(AF32count[[#This Row],[111-120]]/AF32percent[[Total Charge]:[Total Charge]])</f>
        <v>0</v>
      </c>
      <c r="O9">
        <f>(AF32count[[#This Row],[121-130]]/AF32percent[[Total Charge]:[Total Charge]])</f>
        <v>0</v>
      </c>
      <c r="P9">
        <f>(AF32count[[#This Row],[131-140]]/AF32percent[[Total Charge]:[Total Charge]])</f>
        <v>0</v>
      </c>
      <c r="Q9">
        <v>0</v>
      </c>
      <c r="R9">
        <v>0</v>
      </c>
      <c r="S9" t="s">
        <v>6</v>
      </c>
      <c r="T9">
        <v>6</v>
      </c>
      <c r="U9" s="146">
        <v>1045.5555555555557</v>
      </c>
      <c r="V9" s="146">
        <v>0</v>
      </c>
      <c r="W9">
        <f t="shared" si="0"/>
        <v>0</v>
      </c>
    </row>
    <row r="10" spans="1:23" x14ac:dyDescent="0.25">
      <c r="A10" t="s">
        <v>387</v>
      </c>
      <c r="B10" s="146" t="s">
        <v>305</v>
      </c>
      <c r="C10">
        <f>(AF32count[[#This Row],[0-10]]/AF32percent[[Total Charge]:[Total Charge]])</f>
        <v>0</v>
      </c>
      <c r="D10">
        <f>(AF32count[[#This Row],[11-20]]/AF32percent[[Total Charge]:[Total Charge]])</f>
        <v>0</v>
      </c>
      <c r="E10">
        <f>(AF32count[[#This Row],[21-30]]/AF32percent[[Total Charge]:[Total Charge]])</f>
        <v>0</v>
      </c>
      <c r="F10">
        <f>(AF32count[[#This Row],[31-40]]/AF32percent[[Total Charge]:[Total Charge]])</f>
        <v>0</v>
      </c>
      <c r="G10">
        <f>(AF32count[[#This Row],[41-50]]/AF32percent[[Total Charge]:[Total Charge]])</f>
        <v>0.16666666666666666</v>
      </c>
      <c r="H10">
        <f>(AF32count[[#This Row],[51-60]]/AF32percent[[Total Charge]:[Total Charge]])</f>
        <v>0.16666666666666666</v>
      </c>
      <c r="I10">
        <f>(AF32count[[#This Row],[61-70]]/AF32percent[[Total Charge]:[Total Charge]])</f>
        <v>0.16666666666666666</v>
      </c>
      <c r="J10">
        <f>(AF32count[[#This Row],[71-80]]/AF32percent[[Total Charge]:[Total Charge]])</f>
        <v>0</v>
      </c>
      <c r="K10">
        <f>(AF32count[[#This Row],[81-90]]/AF32percent[[Total Charge]:[Total Charge]])</f>
        <v>0</v>
      </c>
      <c r="L10">
        <f>(AF32count[[#This Row],[91-100]]/AF32percent[[Total Charge]:[Total Charge]])</f>
        <v>0.33333333333333331</v>
      </c>
      <c r="M10">
        <f>(AF32count[[#This Row],[101-110]]/AF32percent[[Total Charge]:[Total Charge]])</f>
        <v>0.16666666666666666</v>
      </c>
      <c r="N10">
        <f>(AF32count[[#This Row],[111-120]]/AF32percent[[Total Charge]:[Total Charge]])</f>
        <v>0</v>
      </c>
      <c r="O10">
        <f>(AF32count[[#This Row],[121-130]]/AF32percent[[Total Charge]:[Total Charge]])</f>
        <v>0</v>
      </c>
      <c r="P10">
        <f>(AF32count[[#This Row],[131-140]]/AF32percent[[Total Charge]:[Total Charge]])</f>
        <v>0</v>
      </c>
      <c r="Q10">
        <v>0</v>
      </c>
      <c r="R10">
        <v>0</v>
      </c>
      <c r="S10" t="s">
        <v>6</v>
      </c>
      <c r="T10">
        <v>6</v>
      </c>
      <c r="U10" s="146">
        <v>1480.5555555555557</v>
      </c>
      <c r="V10" s="146">
        <v>20</v>
      </c>
      <c r="W10">
        <f t="shared" si="0"/>
        <v>1.3508442776735459</v>
      </c>
    </row>
    <row r="11" spans="1:23" x14ac:dyDescent="0.25">
      <c r="A11" t="s">
        <v>387</v>
      </c>
      <c r="B11" s="146" t="s">
        <v>306</v>
      </c>
      <c r="C11">
        <f>(AF32count[[#This Row],[0-10]]/AF32percent[[Total Charge]:[Total Charge]])</f>
        <v>0</v>
      </c>
      <c r="D11">
        <f>(AF32count[[#This Row],[11-20]]/AF32percent[[Total Charge]:[Total Charge]])</f>
        <v>0</v>
      </c>
      <c r="E11">
        <f>(AF32count[[#This Row],[21-30]]/AF32percent[[Total Charge]:[Total Charge]])</f>
        <v>0</v>
      </c>
      <c r="F11">
        <f>(AF32count[[#This Row],[31-40]]/AF32percent[[Total Charge]:[Total Charge]])</f>
        <v>0</v>
      </c>
      <c r="G11">
        <f>(AF32count[[#This Row],[41-50]]/AF32percent[[Total Charge]:[Total Charge]])</f>
        <v>0.16666666666666666</v>
      </c>
      <c r="H11">
        <f>(AF32count[[#This Row],[51-60]]/AF32percent[[Total Charge]:[Total Charge]])</f>
        <v>0.16666666666666666</v>
      </c>
      <c r="I11">
        <f>(AF32count[[#This Row],[61-70]]/AF32percent[[Total Charge]:[Total Charge]])</f>
        <v>0.16666666666666666</v>
      </c>
      <c r="J11">
        <f>(AF32count[[#This Row],[71-80]]/AF32percent[[Total Charge]:[Total Charge]])</f>
        <v>0</v>
      </c>
      <c r="K11">
        <f>(AF32count[[#This Row],[81-90]]/AF32percent[[Total Charge]:[Total Charge]])</f>
        <v>0</v>
      </c>
      <c r="L11">
        <f>(AF32count[[#This Row],[91-100]]/AF32percent[[Total Charge]:[Total Charge]])</f>
        <v>0.33333333333333331</v>
      </c>
      <c r="M11">
        <f>(AF32count[[#This Row],[101-110]]/AF32percent[[Total Charge]:[Total Charge]])</f>
        <v>0.16666666666666666</v>
      </c>
      <c r="N11">
        <f>(AF32count[[#This Row],[111-120]]/AF32percent[[Total Charge]:[Total Charge]])</f>
        <v>0</v>
      </c>
      <c r="O11">
        <f>(AF32count[[#This Row],[121-130]]/AF32percent[[Total Charge]:[Total Charge]])</f>
        <v>0</v>
      </c>
      <c r="P11">
        <f>(AF32count[[#This Row],[131-140]]/AF32percent[[Total Charge]:[Total Charge]])</f>
        <v>0</v>
      </c>
      <c r="Q11">
        <v>0</v>
      </c>
      <c r="R11">
        <v>0</v>
      </c>
      <c r="S11" t="s">
        <v>6</v>
      </c>
      <c r="T11">
        <v>6</v>
      </c>
      <c r="U11" s="146">
        <v>980.55555555555554</v>
      </c>
      <c r="V11" s="146">
        <v>0</v>
      </c>
      <c r="W11">
        <f t="shared" si="0"/>
        <v>0</v>
      </c>
    </row>
    <row r="12" spans="1:23" x14ac:dyDescent="0.25">
      <c r="A12" t="s">
        <v>307</v>
      </c>
      <c r="B12" s="146" t="s">
        <v>308</v>
      </c>
      <c r="C12">
        <f>(AF32count[[#This Row],[0-10]]/AF32percent[[Total Charge]:[Total Charge]])</f>
        <v>0</v>
      </c>
      <c r="D12">
        <f>(AF32count[[#This Row],[11-20]]/AF32percent[[Total Charge]:[Total Charge]])</f>
        <v>0</v>
      </c>
      <c r="E12">
        <f>(AF32count[[#This Row],[21-30]]/AF32percent[[Total Charge]:[Total Charge]])</f>
        <v>0.1</v>
      </c>
      <c r="F12">
        <f>(AF32count[[#This Row],[31-40]]/AF32percent[[Total Charge]:[Total Charge]])</f>
        <v>0</v>
      </c>
      <c r="G12">
        <f>(AF32count[[#This Row],[41-50]]/AF32percent[[Total Charge]:[Total Charge]])</f>
        <v>0</v>
      </c>
      <c r="H12">
        <f>(AF32count[[#This Row],[51-60]]/AF32percent[[Total Charge]:[Total Charge]])</f>
        <v>0.2</v>
      </c>
      <c r="I12">
        <f>(AF32count[[#This Row],[61-70]]/AF32percent[[Total Charge]:[Total Charge]])</f>
        <v>0</v>
      </c>
      <c r="J12">
        <f>(AF32count[[#This Row],[71-80]]/AF32percent[[Total Charge]:[Total Charge]])</f>
        <v>0</v>
      </c>
      <c r="K12">
        <f>(AF32count[[#This Row],[81-90]]/AF32percent[[Total Charge]:[Total Charge]])</f>
        <v>0.1</v>
      </c>
      <c r="L12">
        <f>(AF32count[[#This Row],[91-100]]/AF32percent[[Total Charge]:[Total Charge]])</f>
        <v>0</v>
      </c>
      <c r="M12">
        <f>(AF32count[[#This Row],[101-110]]/AF32percent[[Total Charge]:[Total Charge]])</f>
        <v>0.3</v>
      </c>
      <c r="N12">
        <f>(AF32count[[#This Row],[111-120]]/AF32percent[[Total Charge]:[Total Charge]])</f>
        <v>0</v>
      </c>
      <c r="O12">
        <f>(AF32count[[#This Row],[121-130]]/AF32percent[[Total Charge]:[Total Charge]])</f>
        <v>0.3</v>
      </c>
      <c r="P12">
        <f>(AF32count[[#This Row],[131-140]]/AF32percent[[Total Charge]:[Total Charge]])</f>
        <v>0</v>
      </c>
      <c r="Q12">
        <v>0</v>
      </c>
      <c r="R12">
        <v>0</v>
      </c>
      <c r="S12" t="s">
        <v>6</v>
      </c>
      <c r="T12">
        <v>10</v>
      </c>
      <c r="U12" s="146">
        <v>799.44444444444434</v>
      </c>
      <c r="V12" s="146">
        <v>660</v>
      </c>
      <c r="W12">
        <f t="shared" si="0"/>
        <v>82.557331480194591</v>
      </c>
    </row>
    <row r="13" spans="1:23" x14ac:dyDescent="0.25">
      <c r="A13" t="s">
        <v>307</v>
      </c>
      <c r="B13" s="146" t="s">
        <v>309</v>
      </c>
      <c r="C13">
        <f>(AF32count[[#This Row],[0-10]]/AF32percent[[Total Charge]:[Total Charge]])</f>
        <v>0</v>
      </c>
      <c r="D13">
        <f>(AF32count[[#This Row],[11-20]]/AF32percent[[Total Charge]:[Total Charge]])</f>
        <v>0</v>
      </c>
      <c r="E13">
        <f>(AF32count[[#This Row],[21-30]]/AF32percent[[Total Charge]:[Total Charge]])</f>
        <v>0.1</v>
      </c>
      <c r="F13">
        <f>(AF32count[[#This Row],[31-40]]/AF32percent[[Total Charge]:[Total Charge]])</f>
        <v>0</v>
      </c>
      <c r="G13">
        <f>(AF32count[[#This Row],[41-50]]/AF32percent[[Total Charge]:[Total Charge]])</f>
        <v>0</v>
      </c>
      <c r="H13">
        <f>(AF32count[[#This Row],[51-60]]/AF32percent[[Total Charge]:[Total Charge]])</f>
        <v>0.2</v>
      </c>
      <c r="I13">
        <f>(AF32count[[#This Row],[61-70]]/AF32percent[[Total Charge]:[Total Charge]])</f>
        <v>0</v>
      </c>
      <c r="J13">
        <f>(AF32count[[#This Row],[71-80]]/AF32percent[[Total Charge]:[Total Charge]])</f>
        <v>0</v>
      </c>
      <c r="K13">
        <f>(AF32count[[#This Row],[81-90]]/AF32percent[[Total Charge]:[Total Charge]])</f>
        <v>0.1</v>
      </c>
      <c r="L13">
        <f>(AF32count[[#This Row],[91-100]]/AF32percent[[Total Charge]:[Total Charge]])</f>
        <v>0</v>
      </c>
      <c r="M13">
        <f>(AF32count[[#This Row],[101-110]]/AF32percent[[Total Charge]:[Total Charge]])</f>
        <v>0.3</v>
      </c>
      <c r="N13">
        <f>(AF32count[[#This Row],[111-120]]/AF32percent[[Total Charge]:[Total Charge]])</f>
        <v>0</v>
      </c>
      <c r="O13">
        <f>(AF32count[[#This Row],[121-130]]/AF32percent[[Total Charge]:[Total Charge]])</f>
        <v>0.3</v>
      </c>
      <c r="P13">
        <f>(AF32count[[#This Row],[131-140]]/AF32percent[[Total Charge]:[Total Charge]])</f>
        <v>0</v>
      </c>
      <c r="Q13">
        <v>0</v>
      </c>
      <c r="R13">
        <v>0</v>
      </c>
      <c r="S13" t="s">
        <v>6</v>
      </c>
      <c r="T13">
        <v>10</v>
      </c>
      <c r="U13" s="146">
        <v>977.77777777777783</v>
      </c>
      <c r="V13" s="146">
        <v>720</v>
      </c>
      <c r="W13">
        <f t="shared" si="0"/>
        <v>73.636363636363626</v>
      </c>
    </row>
    <row r="14" spans="1:23" x14ac:dyDescent="0.25">
      <c r="A14" t="s">
        <v>307</v>
      </c>
      <c r="B14" s="146" t="s">
        <v>310</v>
      </c>
      <c r="C14">
        <f>(AF32count[[#This Row],[0-10]]/AF32percent[[Total Charge]:[Total Charge]])</f>
        <v>0</v>
      </c>
      <c r="D14">
        <f>(AF32count[[#This Row],[11-20]]/AF32percent[[Total Charge]:[Total Charge]])</f>
        <v>0</v>
      </c>
      <c r="E14">
        <f>(AF32count[[#This Row],[21-30]]/AF32percent[[Total Charge]:[Total Charge]])</f>
        <v>0.1</v>
      </c>
      <c r="F14">
        <f>(AF32count[[#This Row],[31-40]]/AF32percent[[Total Charge]:[Total Charge]])</f>
        <v>0</v>
      </c>
      <c r="G14">
        <f>(AF32count[[#This Row],[41-50]]/AF32percent[[Total Charge]:[Total Charge]])</f>
        <v>0</v>
      </c>
      <c r="H14">
        <f>(AF32count[[#This Row],[51-60]]/AF32percent[[Total Charge]:[Total Charge]])</f>
        <v>0.2</v>
      </c>
      <c r="I14">
        <f>(AF32count[[#This Row],[61-70]]/AF32percent[[Total Charge]:[Total Charge]])</f>
        <v>0</v>
      </c>
      <c r="J14">
        <f>(AF32count[[#This Row],[71-80]]/AF32percent[[Total Charge]:[Total Charge]])</f>
        <v>0</v>
      </c>
      <c r="K14">
        <f>(AF32count[[#This Row],[81-90]]/AF32percent[[Total Charge]:[Total Charge]])</f>
        <v>0.1</v>
      </c>
      <c r="L14">
        <f>(AF32count[[#This Row],[91-100]]/AF32percent[[Total Charge]:[Total Charge]])</f>
        <v>0</v>
      </c>
      <c r="M14">
        <f>(AF32count[[#This Row],[101-110]]/AF32percent[[Total Charge]:[Total Charge]])</f>
        <v>0.3</v>
      </c>
      <c r="N14">
        <f>(AF32count[[#This Row],[111-120]]/AF32percent[[Total Charge]:[Total Charge]])</f>
        <v>0</v>
      </c>
      <c r="O14">
        <f>(AF32count[[#This Row],[121-130]]/AF32percent[[Total Charge]:[Total Charge]])</f>
        <v>0.3</v>
      </c>
      <c r="P14">
        <f>(AF32count[[#This Row],[131-140]]/AF32percent[[Total Charge]:[Total Charge]])</f>
        <v>0</v>
      </c>
      <c r="Q14">
        <v>0</v>
      </c>
      <c r="R14">
        <v>0</v>
      </c>
      <c r="S14" t="s">
        <v>6</v>
      </c>
      <c r="T14">
        <v>10</v>
      </c>
      <c r="U14" s="146">
        <v>577.22222222222217</v>
      </c>
      <c r="V14" s="146">
        <v>493.33327999999995</v>
      </c>
      <c r="W14">
        <f t="shared" si="0"/>
        <v>85.466785755534175</v>
      </c>
    </row>
    <row r="15" spans="1:23" x14ac:dyDescent="0.25">
      <c r="A15" t="s">
        <v>307</v>
      </c>
      <c r="B15" s="146" t="s">
        <v>311</v>
      </c>
      <c r="C15">
        <f>(AF32count[[#This Row],[0-10]]/AF32percent[[Total Charge]:[Total Charge]])</f>
        <v>0</v>
      </c>
      <c r="D15">
        <f>(AF32count[[#This Row],[11-20]]/AF32percent[[Total Charge]:[Total Charge]])</f>
        <v>0</v>
      </c>
      <c r="E15">
        <f>(AF32count[[#This Row],[21-30]]/AF32percent[[Total Charge]:[Total Charge]])</f>
        <v>0.1</v>
      </c>
      <c r="F15">
        <f>(AF32count[[#This Row],[31-40]]/AF32percent[[Total Charge]:[Total Charge]])</f>
        <v>0</v>
      </c>
      <c r="G15">
        <f>(AF32count[[#This Row],[41-50]]/AF32percent[[Total Charge]:[Total Charge]])</f>
        <v>0</v>
      </c>
      <c r="H15">
        <f>(AF32count[[#This Row],[51-60]]/AF32percent[[Total Charge]:[Total Charge]])</f>
        <v>0.2</v>
      </c>
      <c r="I15">
        <f>(AF32count[[#This Row],[61-70]]/AF32percent[[Total Charge]:[Total Charge]])</f>
        <v>0</v>
      </c>
      <c r="J15">
        <f>(AF32count[[#This Row],[71-80]]/AF32percent[[Total Charge]:[Total Charge]])</f>
        <v>0</v>
      </c>
      <c r="K15">
        <f>(AF32count[[#This Row],[81-90]]/AF32percent[[Total Charge]:[Total Charge]])</f>
        <v>0.1</v>
      </c>
      <c r="L15">
        <f>(AF32count[[#This Row],[91-100]]/AF32percent[[Total Charge]:[Total Charge]])</f>
        <v>0</v>
      </c>
      <c r="M15">
        <f>(AF32count[[#This Row],[101-110]]/AF32percent[[Total Charge]:[Total Charge]])</f>
        <v>0.3</v>
      </c>
      <c r="N15">
        <f>(AF32count[[#This Row],[111-120]]/AF32percent[[Total Charge]:[Total Charge]])</f>
        <v>0</v>
      </c>
      <c r="O15">
        <f>(AF32count[[#This Row],[121-130]]/AF32percent[[Total Charge]:[Total Charge]])</f>
        <v>0.3</v>
      </c>
      <c r="P15">
        <f>(AF32count[[#This Row],[131-140]]/AF32percent[[Total Charge]:[Total Charge]])</f>
        <v>0</v>
      </c>
      <c r="Q15">
        <v>0</v>
      </c>
      <c r="R15">
        <v>0</v>
      </c>
      <c r="S15" t="s">
        <v>6</v>
      </c>
      <c r="T15">
        <v>10</v>
      </c>
      <c r="U15" s="146">
        <v>883.33333333333326</v>
      </c>
      <c r="V15" s="146">
        <v>420</v>
      </c>
      <c r="W15">
        <f t="shared" si="0"/>
        <v>47.547169811320764</v>
      </c>
    </row>
    <row r="16" spans="1:23" x14ac:dyDescent="0.25">
      <c r="A16" t="s">
        <v>307</v>
      </c>
      <c r="B16" s="146" t="s">
        <v>312</v>
      </c>
      <c r="C16">
        <f>(AF32count[[#This Row],[0-10]]/AF32percent[[Total Charge]:[Total Charge]])</f>
        <v>0</v>
      </c>
      <c r="D16">
        <f>(AF32count[[#This Row],[11-20]]/AF32percent[[Total Charge]:[Total Charge]])</f>
        <v>0</v>
      </c>
      <c r="E16">
        <f>(AF32count[[#This Row],[21-30]]/AF32percent[[Total Charge]:[Total Charge]])</f>
        <v>0.1</v>
      </c>
      <c r="F16">
        <f>(AF32count[[#This Row],[31-40]]/AF32percent[[Total Charge]:[Total Charge]])</f>
        <v>0</v>
      </c>
      <c r="G16">
        <f>(AF32count[[#This Row],[41-50]]/AF32percent[[Total Charge]:[Total Charge]])</f>
        <v>0</v>
      </c>
      <c r="H16">
        <f>(AF32count[[#This Row],[51-60]]/AF32percent[[Total Charge]:[Total Charge]])</f>
        <v>0.2</v>
      </c>
      <c r="I16">
        <f>(AF32count[[#This Row],[61-70]]/AF32percent[[Total Charge]:[Total Charge]])</f>
        <v>0</v>
      </c>
      <c r="J16">
        <f>(AF32count[[#This Row],[71-80]]/AF32percent[[Total Charge]:[Total Charge]])</f>
        <v>0</v>
      </c>
      <c r="K16">
        <f>(AF32count[[#This Row],[81-90]]/AF32percent[[Total Charge]:[Total Charge]])</f>
        <v>0.1</v>
      </c>
      <c r="L16">
        <f>(AF32count[[#This Row],[91-100]]/AF32percent[[Total Charge]:[Total Charge]])</f>
        <v>0</v>
      </c>
      <c r="M16">
        <f>(AF32count[[#This Row],[101-110]]/AF32percent[[Total Charge]:[Total Charge]])</f>
        <v>0.3</v>
      </c>
      <c r="N16">
        <f>(AF32count[[#This Row],[111-120]]/AF32percent[[Total Charge]:[Total Charge]])</f>
        <v>0</v>
      </c>
      <c r="O16">
        <f>(AF32count[[#This Row],[121-130]]/AF32percent[[Total Charge]:[Total Charge]])</f>
        <v>0.3</v>
      </c>
      <c r="P16">
        <f>(AF32count[[#This Row],[131-140]]/AF32percent[[Total Charge]:[Total Charge]])</f>
        <v>0</v>
      </c>
      <c r="Q16">
        <v>0</v>
      </c>
      <c r="R16">
        <v>0</v>
      </c>
      <c r="S16" t="s">
        <v>6</v>
      </c>
      <c r="T16">
        <v>10</v>
      </c>
      <c r="U16" s="146">
        <v>477.77777777777777</v>
      </c>
      <c r="V16" s="146">
        <v>423.33332000000001</v>
      </c>
      <c r="W16">
        <f t="shared" si="0"/>
        <v>88.604648372093038</v>
      </c>
    </row>
    <row r="17" spans="1:23" x14ac:dyDescent="0.25">
      <c r="A17" t="s">
        <v>307</v>
      </c>
      <c r="B17" s="146" t="s">
        <v>313</v>
      </c>
      <c r="C17">
        <f>(AF32count[[#This Row],[0-10]]/AF32percent[[Total Charge]:[Total Charge]])</f>
        <v>0</v>
      </c>
      <c r="D17">
        <f>(AF32count[[#This Row],[11-20]]/AF32percent[[Total Charge]:[Total Charge]])</f>
        <v>0</v>
      </c>
      <c r="E17">
        <f>(AF32count[[#This Row],[21-30]]/AF32percent[[Total Charge]:[Total Charge]])</f>
        <v>0.1</v>
      </c>
      <c r="F17">
        <f>(AF32count[[#This Row],[31-40]]/AF32percent[[Total Charge]:[Total Charge]])</f>
        <v>0</v>
      </c>
      <c r="G17">
        <f>(AF32count[[#This Row],[41-50]]/AF32percent[[Total Charge]:[Total Charge]])</f>
        <v>0</v>
      </c>
      <c r="H17">
        <f>(AF32count[[#This Row],[51-60]]/AF32percent[[Total Charge]:[Total Charge]])</f>
        <v>0.2</v>
      </c>
      <c r="I17">
        <f>(AF32count[[#This Row],[61-70]]/AF32percent[[Total Charge]:[Total Charge]])</f>
        <v>0</v>
      </c>
      <c r="J17">
        <f>(AF32count[[#This Row],[71-80]]/AF32percent[[Total Charge]:[Total Charge]])</f>
        <v>0</v>
      </c>
      <c r="K17">
        <f>(AF32count[[#This Row],[81-90]]/AF32percent[[Total Charge]:[Total Charge]])</f>
        <v>0.1</v>
      </c>
      <c r="L17">
        <f>(AF32count[[#This Row],[91-100]]/AF32percent[[Total Charge]:[Total Charge]])</f>
        <v>0</v>
      </c>
      <c r="M17">
        <f>(AF32count[[#This Row],[101-110]]/AF32percent[[Total Charge]:[Total Charge]])</f>
        <v>0.3</v>
      </c>
      <c r="N17">
        <f>(AF32count[[#This Row],[111-120]]/AF32percent[[Total Charge]:[Total Charge]])</f>
        <v>0</v>
      </c>
      <c r="O17">
        <f>(AF32count[[#This Row],[121-130]]/AF32percent[[Total Charge]:[Total Charge]])</f>
        <v>0.3</v>
      </c>
      <c r="P17">
        <f>(AF32count[[#This Row],[131-140]]/AF32percent[[Total Charge]:[Total Charge]])</f>
        <v>0</v>
      </c>
      <c r="Q17">
        <v>0</v>
      </c>
      <c r="R17">
        <v>0</v>
      </c>
      <c r="S17" t="s">
        <v>6</v>
      </c>
      <c r="T17">
        <v>10</v>
      </c>
      <c r="U17" s="146">
        <v>733.33333333333337</v>
      </c>
      <c r="V17" s="146">
        <v>660</v>
      </c>
      <c r="W17">
        <f t="shared" si="0"/>
        <v>89.999999999999986</v>
      </c>
    </row>
    <row r="18" spans="1:23" x14ac:dyDescent="0.25">
      <c r="A18" t="s">
        <v>307</v>
      </c>
      <c r="B18" s="146" t="s">
        <v>314</v>
      </c>
      <c r="C18">
        <f>(AF32count[[#This Row],[0-10]]/AF32percent[[Total Charge]:[Total Charge]])</f>
        <v>0</v>
      </c>
      <c r="D18">
        <f>(AF32count[[#This Row],[11-20]]/AF32percent[[Total Charge]:[Total Charge]])</f>
        <v>0</v>
      </c>
      <c r="E18">
        <f>(AF32count[[#This Row],[21-30]]/AF32percent[[Total Charge]:[Total Charge]])</f>
        <v>0.1</v>
      </c>
      <c r="F18">
        <f>(AF32count[[#This Row],[31-40]]/AF32percent[[Total Charge]:[Total Charge]])</f>
        <v>0</v>
      </c>
      <c r="G18">
        <f>(AF32count[[#This Row],[41-50]]/AF32percent[[Total Charge]:[Total Charge]])</f>
        <v>0</v>
      </c>
      <c r="H18">
        <f>(AF32count[[#This Row],[51-60]]/AF32percent[[Total Charge]:[Total Charge]])</f>
        <v>0.2</v>
      </c>
      <c r="I18">
        <f>(AF32count[[#This Row],[61-70]]/AF32percent[[Total Charge]:[Total Charge]])</f>
        <v>0</v>
      </c>
      <c r="J18">
        <f>(AF32count[[#This Row],[71-80]]/AF32percent[[Total Charge]:[Total Charge]])</f>
        <v>0</v>
      </c>
      <c r="K18">
        <f>(AF32count[[#This Row],[81-90]]/AF32percent[[Total Charge]:[Total Charge]])</f>
        <v>0.1</v>
      </c>
      <c r="L18">
        <f>(AF32count[[#This Row],[91-100]]/AF32percent[[Total Charge]:[Total Charge]])</f>
        <v>0</v>
      </c>
      <c r="M18">
        <f>(AF32count[[#This Row],[101-110]]/AF32percent[[Total Charge]:[Total Charge]])</f>
        <v>0.3</v>
      </c>
      <c r="N18">
        <f>(AF32count[[#This Row],[111-120]]/AF32percent[[Total Charge]:[Total Charge]])</f>
        <v>0</v>
      </c>
      <c r="O18">
        <f>(AF32count[[#This Row],[121-130]]/AF32percent[[Total Charge]:[Total Charge]])</f>
        <v>0.3</v>
      </c>
      <c r="P18">
        <f>(AF32count[[#This Row],[131-140]]/AF32percent[[Total Charge]:[Total Charge]])</f>
        <v>0</v>
      </c>
      <c r="Q18">
        <v>0</v>
      </c>
      <c r="R18">
        <v>0</v>
      </c>
      <c r="S18" t="s">
        <v>6</v>
      </c>
      <c r="T18">
        <v>10</v>
      </c>
      <c r="U18" s="146">
        <v>888.88888888888891</v>
      </c>
      <c r="V18" s="146">
        <v>480</v>
      </c>
      <c r="W18">
        <f t="shared" si="0"/>
        <v>54</v>
      </c>
    </row>
    <row r="19" spans="1:23" x14ac:dyDescent="0.25">
      <c r="A19" t="s">
        <v>307</v>
      </c>
      <c r="B19" s="146" t="s">
        <v>315</v>
      </c>
      <c r="C19">
        <f>(AF32count[[#This Row],[0-10]]/AF32percent[[Total Charge]:[Total Charge]])</f>
        <v>0</v>
      </c>
      <c r="D19">
        <f>(AF32count[[#This Row],[11-20]]/AF32percent[[Total Charge]:[Total Charge]])</f>
        <v>0</v>
      </c>
      <c r="E19">
        <f>(AF32count[[#This Row],[21-30]]/AF32percent[[Total Charge]:[Total Charge]])</f>
        <v>0.1</v>
      </c>
      <c r="F19">
        <f>(AF32count[[#This Row],[31-40]]/AF32percent[[Total Charge]:[Total Charge]])</f>
        <v>0</v>
      </c>
      <c r="G19">
        <f>(AF32count[[#This Row],[41-50]]/AF32percent[[Total Charge]:[Total Charge]])</f>
        <v>0</v>
      </c>
      <c r="H19">
        <f>(AF32count[[#This Row],[51-60]]/AF32percent[[Total Charge]:[Total Charge]])</f>
        <v>0.2</v>
      </c>
      <c r="I19">
        <f>(AF32count[[#This Row],[61-70]]/AF32percent[[Total Charge]:[Total Charge]])</f>
        <v>0</v>
      </c>
      <c r="J19">
        <f>(AF32count[[#This Row],[71-80]]/AF32percent[[Total Charge]:[Total Charge]])</f>
        <v>0</v>
      </c>
      <c r="K19">
        <f>(AF32count[[#This Row],[81-90]]/AF32percent[[Total Charge]:[Total Charge]])</f>
        <v>0.1</v>
      </c>
      <c r="L19">
        <f>(AF32count[[#This Row],[91-100]]/AF32percent[[Total Charge]:[Total Charge]])</f>
        <v>0</v>
      </c>
      <c r="M19">
        <f>(AF32count[[#This Row],[101-110]]/AF32percent[[Total Charge]:[Total Charge]])</f>
        <v>0.3</v>
      </c>
      <c r="N19">
        <f>(AF32count[[#This Row],[111-120]]/AF32percent[[Total Charge]:[Total Charge]])</f>
        <v>0</v>
      </c>
      <c r="O19">
        <f>(AF32count[[#This Row],[121-130]]/AF32percent[[Total Charge]:[Total Charge]])</f>
        <v>0.3</v>
      </c>
      <c r="P19">
        <f>(AF32count[[#This Row],[131-140]]/AF32percent[[Total Charge]:[Total Charge]])</f>
        <v>0</v>
      </c>
      <c r="Q19">
        <v>0</v>
      </c>
      <c r="R19">
        <v>0</v>
      </c>
      <c r="S19" t="s">
        <v>6</v>
      </c>
      <c r="T19">
        <v>10</v>
      </c>
      <c r="U19" s="146">
        <v>897.22222222222229</v>
      </c>
      <c r="V19" s="146">
        <v>720</v>
      </c>
      <c r="W19">
        <f t="shared" si="0"/>
        <v>80.24767801857584</v>
      </c>
    </row>
    <row r="20" spans="1:23" x14ac:dyDescent="0.25">
      <c r="A20" t="s">
        <v>307</v>
      </c>
      <c r="B20" s="146" t="s">
        <v>316</v>
      </c>
      <c r="C20">
        <f>(AF32count[[#This Row],[0-10]]/AF32percent[[Total Charge]:[Total Charge]])</f>
        <v>0</v>
      </c>
      <c r="D20">
        <f>(AF32count[[#This Row],[11-20]]/AF32percent[[Total Charge]:[Total Charge]])</f>
        <v>0</v>
      </c>
      <c r="E20">
        <f>(AF32count[[#This Row],[21-30]]/AF32percent[[Total Charge]:[Total Charge]])</f>
        <v>0.1</v>
      </c>
      <c r="F20">
        <f>(AF32count[[#This Row],[31-40]]/AF32percent[[Total Charge]:[Total Charge]])</f>
        <v>0</v>
      </c>
      <c r="G20">
        <f>(AF32count[[#This Row],[41-50]]/AF32percent[[Total Charge]:[Total Charge]])</f>
        <v>0</v>
      </c>
      <c r="H20">
        <f>(AF32count[[#This Row],[51-60]]/AF32percent[[Total Charge]:[Total Charge]])</f>
        <v>0.2</v>
      </c>
      <c r="I20">
        <f>(AF32count[[#This Row],[61-70]]/AF32percent[[Total Charge]:[Total Charge]])</f>
        <v>0</v>
      </c>
      <c r="J20">
        <f>(AF32count[[#This Row],[71-80]]/AF32percent[[Total Charge]:[Total Charge]])</f>
        <v>0</v>
      </c>
      <c r="K20">
        <f>(AF32count[[#This Row],[81-90]]/AF32percent[[Total Charge]:[Total Charge]])</f>
        <v>0.1</v>
      </c>
      <c r="L20">
        <f>(AF32count[[#This Row],[91-100]]/AF32percent[[Total Charge]:[Total Charge]])</f>
        <v>0</v>
      </c>
      <c r="M20">
        <f>(AF32count[[#This Row],[101-110]]/AF32percent[[Total Charge]:[Total Charge]])</f>
        <v>0.3</v>
      </c>
      <c r="N20">
        <f>(AF32count[[#This Row],[111-120]]/AF32percent[[Total Charge]:[Total Charge]])</f>
        <v>0</v>
      </c>
      <c r="O20">
        <f>(AF32count[[#This Row],[121-130]]/AF32percent[[Total Charge]:[Total Charge]])</f>
        <v>0.3</v>
      </c>
      <c r="P20">
        <f>(AF32count[[#This Row],[131-140]]/AF32percent[[Total Charge]:[Total Charge]])</f>
        <v>0</v>
      </c>
      <c r="Q20">
        <v>0</v>
      </c>
      <c r="R20">
        <v>0</v>
      </c>
      <c r="S20" t="s">
        <v>6</v>
      </c>
      <c r="T20">
        <v>10</v>
      </c>
      <c r="U20" s="146">
        <v>994.44444444444457</v>
      </c>
      <c r="V20" s="146">
        <v>853.33327999999983</v>
      </c>
      <c r="W20">
        <f t="shared" si="0"/>
        <v>85.810050502793274</v>
      </c>
    </row>
    <row r="21" spans="1:23" x14ac:dyDescent="0.25">
      <c r="A21" t="s">
        <v>307</v>
      </c>
      <c r="B21" s="146" t="s">
        <v>317</v>
      </c>
      <c r="C21">
        <f>(AF32count[[#This Row],[0-10]]/AF32percent[[Total Charge]:[Total Charge]])</f>
        <v>0</v>
      </c>
      <c r="D21">
        <f>(AF32count[[#This Row],[11-20]]/AF32percent[[Total Charge]:[Total Charge]])</f>
        <v>0</v>
      </c>
      <c r="E21">
        <f>(AF32count[[#This Row],[21-30]]/AF32percent[[Total Charge]:[Total Charge]])</f>
        <v>0.1</v>
      </c>
      <c r="F21">
        <f>(AF32count[[#This Row],[31-40]]/AF32percent[[Total Charge]:[Total Charge]])</f>
        <v>0</v>
      </c>
      <c r="G21">
        <f>(AF32count[[#This Row],[41-50]]/AF32percent[[Total Charge]:[Total Charge]])</f>
        <v>0</v>
      </c>
      <c r="H21">
        <f>(AF32count[[#This Row],[51-60]]/AF32percent[[Total Charge]:[Total Charge]])</f>
        <v>0.2</v>
      </c>
      <c r="I21">
        <f>(AF32count[[#This Row],[61-70]]/AF32percent[[Total Charge]:[Total Charge]])</f>
        <v>0</v>
      </c>
      <c r="J21">
        <f>(AF32count[[#This Row],[71-80]]/AF32percent[[Total Charge]:[Total Charge]])</f>
        <v>0</v>
      </c>
      <c r="K21">
        <f>(AF32count[[#This Row],[81-90]]/AF32percent[[Total Charge]:[Total Charge]])</f>
        <v>0.1</v>
      </c>
      <c r="L21">
        <f>(AF32count[[#This Row],[91-100]]/AF32percent[[Total Charge]:[Total Charge]])</f>
        <v>0</v>
      </c>
      <c r="M21">
        <f>(AF32count[[#This Row],[101-110]]/AF32percent[[Total Charge]:[Total Charge]])</f>
        <v>0.3</v>
      </c>
      <c r="N21">
        <f>(AF32count[[#This Row],[111-120]]/AF32percent[[Total Charge]:[Total Charge]])</f>
        <v>0</v>
      </c>
      <c r="O21">
        <f>(AF32count[[#This Row],[121-130]]/AF32percent[[Total Charge]:[Total Charge]])</f>
        <v>0.3</v>
      </c>
      <c r="P21">
        <f>(AF32count[[#This Row],[131-140]]/AF32percent[[Total Charge]:[Total Charge]])</f>
        <v>0</v>
      </c>
      <c r="Q21">
        <v>0</v>
      </c>
      <c r="R21">
        <v>0</v>
      </c>
      <c r="S21" t="s">
        <v>6</v>
      </c>
      <c r="T21">
        <v>10</v>
      </c>
      <c r="U21" s="146">
        <v>522.22222222222217</v>
      </c>
      <c r="V21" s="146">
        <v>463.33332000000001</v>
      </c>
      <c r="W21">
        <f t="shared" si="0"/>
        <v>88.723401702127674</v>
      </c>
    </row>
    <row r="22" spans="1:23" x14ac:dyDescent="0.25">
      <c r="A22" t="s">
        <v>307</v>
      </c>
      <c r="B22" s="146" t="s">
        <v>318</v>
      </c>
      <c r="C22">
        <f>(AF32count[[#This Row],[0-10]]/AF32percent[[Total Charge]:[Total Charge]])</f>
        <v>0</v>
      </c>
      <c r="D22">
        <f>(AF32count[[#This Row],[11-20]]/AF32percent[[Total Charge]:[Total Charge]])</f>
        <v>0</v>
      </c>
      <c r="E22">
        <f>(AF32count[[#This Row],[21-30]]/AF32percent[[Total Charge]:[Total Charge]])</f>
        <v>0.1</v>
      </c>
      <c r="F22">
        <f>(AF32count[[#This Row],[31-40]]/AF32percent[[Total Charge]:[Total Charge]])</f>
        <v>0</v>
      </c>
      <c r="G22">
        <f>(AF32count[[#This Row],[41-50]]/AF32percent[[Total Charge]:[Total Charge]])</f>
        <v>0</v>
      </c>
      <c r="H22">
        <f>(AF32count[[#This Row],[51-60]]/AF32percent[[Total Charge]:[Total Charge]])</f>
        <v>0.2</v>
      </c>
      <c r="I22">
        <f>(AF32count[[#This Row],[61-70]]/AF32percent[[Total Charge]:[Total Charge]])</f>
        <v>0</v>
      </c>
      <c r="J22">
        <f>(AF32count[[#This Row],[71-80]]/AF32percent[[Total Charge]:[Total Charge]])</f>
        <v>0</v>
      </c>
      <c r="K22">
        <f>(AF32count[[#This Row],[81-90]]/AF32percent[[Total Charge]:[Total Charge]])</f>
        <v>0.1</v>
      </c>
      <c r="L22">
        <f>(AF32count[[#This Row],[91-100]]/AF32percent[[Total Charge]:[Total Charge]])</f>
        <v>0</v>
      </c>
      <c r="M22">
        <f>(AF32count[[#This Row],[101-110]]/AF32percent[[Total Charge]:[Total Charge]])</f>
        <v>0.3</v>
      </c>
      <c r="N22">
        <f>(AF32count[[#This Row],[111-120]]/AF32percent[[Total Charge]:[Total Charge]])</f>
        <v>0</v>
      </c>
      <c r="O22">
        <f>(AF32count[[#This Row],[121-130]]/AF32percent[[Total Charge]:[Total Charge]])</f>
        <v>0.3</v>
      </c>
      <c r="P22">
        <f>(AF32count[[#This Row],[131-140]]/AF32percent[[Total Charge]:[Total Charge]])</f>
        <v>0</v>
      </c>
      <c r="Q22">
        <v>0</v>
      </c>
      <c r="R22">
        <v>0</v>
      </c>
      <c r="S22" t="s">
        <v>6</v>
      </c>
      <c r="T22">
        <v>10</v>
      </c>
      <c r="U22" s="146">
        <v>1241.6666666666667</v>
      </c>
      <c r="V22" s="146">
        <v>1103.33332</v>
      </c>
      <c r="W22">
        <f t="shared" si="0"/>
        <v>88.859059328859047</v>
      </c>
    </row>
    <row r="23" spans="1:23" x14ac:dyDescent="0.25">
      <c r="A23" t="s">
        <v>307</v>
      </c>
      <c r="B23" s="146" t="s">
        <v>319</v>
      </c>
      <c r="C23">
        <f>(AF32count[[#This Row],[0-10]]/AF32percent[[Total Charge]:[Total Charge]])</f>
        <v>0</v>
      </c>
      <c r="D23">
        <f>(AF32count[[#This Row],[11-20]]/AF32percent[[Total Charge]:[Total Charge]])</f>
        <v>0</v>
      </c>
      <c r="E23">
        <f>(AF32count[[#This Row],[21-30]]/AF32percent[[Total Charge]:[Total Charge]])</f>
        <v>0.1</v>
      </c>
      <c r="F23">
        <f>(AF32count[[#This Row],[31-40]]/AF32percent[[Total Charge]:[Total Charge]])</f>
        <v>0</v>
      </c>
      <c r="G23">
        <f>(AF32count[[#This Row],[41-50]]/AF32percent[[Total Charge]:[Total Charge]])</f>
        <v>0</v>
      </c>
      <c r="H23">
        <f>(AF32count[[#This Row],[51-60]]/AF32percent[[Total Charge]:[Total Charge]])</f>
        <v>0.2</v>
      </c>
      <c r="I23">
        <f>(AF32count[[#This Row],[61-70]]/AF32percent[[Total Charge]:[Total Charge]])</f>
        <v>0</v>
      </c>
      <c r="J23">
        <f>(AF32count[[#This Row],[71-80]]/AF32percent[[Total Charge]:[Total Charge]])</f>
        <v>0</v>
      </c>
      <c r="K23">
        <f>(AF32count[[#This Row],[81-90]]/AF32percent[[Total Charge]:[Total Charge]])</f>
        <v>0.1</v>
      </c>
      <c r="L23">
        <f>(AF32count[[#This Row],[91-100]]/AF32percent[[Total Charge]:[Total Charge]])</f>
        <v>0</v>
      </c>
      <c r="M23">
        <f>(AF32count[[#This Row],[101-110]]/AF32percent[[Total Charge]:[Total Charge]])</f>
        <v>0.3</v>
      </c>
      <c r="N23">
        <f>(AF32count[[#This Row],[111-120]]/AF32percent[[Total Charge]:[Total Charge]])</f>
        <v>0</v>
      </c>
      <c r="O23">
        <f>(AF32count[[#This Row],[121-130]]/AF32percent[[Total Charge]:[Total Charge]])</f>
        <v>0.3</v>
      </c>
      <c r="P23">
        <f>(AF32count[[#This Row],[131-140]]/AF32percent[[Total Charge]:[Total Charge]])</f>
        <v>0</v>
      </c>
      <c r="Q23">
        <v>0</v>
      </c>
      <c r="R23">
        <v>0</v>
      </c>
      <c r="S23" t="s">
        <v>6</v>
      </c>
      <c r="T23">
        <v>10</v>
      </c>
      <c r="U23" s="146">
        <v>694.44444444444446</v>
      </c>
      <c r="V23" s="146">
        <v>460</v>
      </c>
      <c r="W23">
        <f t="shared" si="0"/>
        <v>66.239999999999995</v>
      </c>
    </row>
    <row r="24" spans="1:23" x14ac:dyDescent="0.25">
      <c r="A24" t="s">
        <v>307</v>
      </c>
      <c r="B24" s="146" t="s">
        <v>320</v>
      </c>
      <c r="C24">
        <f>(AF32count[[#This Row],[0-10]]/AF32percent[[Total Charge]:[Total Charge]])</f>
        <v>0</v>
      </c>
      <c r="D24">
        <f>(AF32count[[#This Row],[11-20]]/AF32percent[[Total Charge]:[Total Charge]])</f>
        <v>0</v>
      </c>
      <c r="E24">
        <f>(AF32count[[#This Row],[21-30]]/AF32percent[[Total Charge]:[Total Charge]])</f>
        <v>0.1</v>
      </c>
      <c r="F24">
        <f>(AF32count[[#This Row],[31-40]]/AF32percent[[Total Charge]:[Total Charge]])</f>
        <v>0</v>
      </c>
      <c r="G24">
        <f>(AF32count[[#This Row],[41-50]]/AF32percent[[Total Charge]:[Total Charge]])</f>
        <v>0</v>
      </c>
      <c r="H24">
        <f>(AF32count[[#This Row],[51-60]]/AF32percent[[Total Charge]:[Total Charge]])</f>
        <v>0.2</v>
      </c>
      <c r="I24">
        <f>(AF32count[[#This Row],[61-70]]/AF32percent[[Total Charge]:[Total Charge]])</f>
        <v>0</v>
      </c>
      <c r="J24">
        <f>(AF32count[[#This Row],[71-80]]/AF32percent[[Total Charge]:[Total Charge]])</f>
        <v>0</v>
      </c>
      <c r="K24">
        <f>(AF32count[[#This Row],[81-90]]/AF32percent[[Total Charge]:[Total Charge]])</f>
        <v>0.1</v>
      </c>
      <c r="L24">
        <f>(AF32count[[#This Row],[91-100]]/AF32percent[[Total Charge]:[Total Charge]])</f>
        <v>0</v>
      </c>
      <c r="M24">
        <f>(AF32count[[#This Row],[101-110]]/AF32percent[[Total Charge]:[Total Charge]])</f>
        <v>0.3</v>
      </c>
      <c r="N24">
        <f>(AF32count[[#This Row],[111-120]]/AF32percent[[Total Charge]:[Total Charge]])</f>
        <v>0</v>
      </c>
      <c r="O24">
        <f>(AF32count[[#This Row],[121-130]]/AF32percent[[Total Charge]:[Total Charge]])</f>
        <v>0.3</v>
      </c>
      <c r="P24">
        <f>(AF32count[[#This Row],[131-140]]/AF32percent[[Total Charge]:[Total Charge]])</f>
        <v>0</v>
      </c>
      <c r="Q24">
        <v>0</v>
      </c>
      <c r="R24">
        <v>0</v>
      </c>
      <c r="S24" t="s">
        <v>6</v>
      </c>
      <c r="T24">
        <v>10</v>
      </c>
      <c r="U24" s="146">
        <v>552.77777777777783</v>
      </c>
      <c r="V24" s="146">
        <v>520</v>
      </c>
      <c r="W24">
        <f t="shared" si="0"/>
        <v>94.070351758793961</v>
      </c>
    </row>
    <row r="25" spans="1:23" x14ac:dyDescent="0.25">
      <c r="A25" t="s">
        <v>321</v>
      </c>
      <c r="B25" s="146" t="s">
        <v>322</v>
      </c>
      <c r="C25">
        <f>(AF32count[[#This Row],[0-10]]/AF32percent[[Total Charge]:[Total Charge]])</f>
        <v>0</v>
      </c>
      <c r="D25">
        <f>(AF32count[[#This Row],[11-20]]/AF32percent[[Total Charge]:[Total Charge]])</f>
        <v>0</v>
      </c>
      <c r="E25">
        <f>(AF32count[[#This Row],[21-30]]/AF32percent[[Total Charge]:[Total Charge]])</f>
        <v>0</v>
      </c>
      <c r="F25">
        <f>(AF32count[[#This Row],[31-40]]/AF32percent[[Total Charge]:[Total Charge]])</f>
        <v>0</v>
      </c>
      <c r="G25">
        <f>(AF32count[[#This Row],[41-50]]/AF32percent[[Total Charge]:[Total Charge]])</f>
        <v>0</v>
      </c>
      <c r="H25">
        <f>(AF32count[[#This Row],[51-60]]/AF32percent[[Total Charge]:[Total Charge]])</f>
        <v>0</v>
      </c>
      <c r="I25">
        <f>(AF32count[[#This Row],[61-70]]/AF32percent[[Total Charge]:[Total Charge]])</f>
        <v>0.4</v>
      </c>
      <c r="J25">
        <f>(AF32count[[#This Row],[71-80]]/AF32percent[[Total Charge]:[Total Charge]])</f>
        <v>0.2</v>
      </c>
      <c r="K25">
        <f>(AF32count[[#This Row],[81-90]]/AF32percent[[Total Charge]:[Total Charge]])</f>
        <v>0.4</v>
      </c>
      <c r="L25">
        <f>(AF32count[[#This Row],[91-100]]/AF32percent[[Total Charge]:[Total Charge]])</f>
        <v>0</v>
      </c>
      <c r="M25">
        <f>(AF32count[[#This Row],[101-110]]/AF32percent[[Total Charge]:[Total Charge]])</f>
        <v>0</v>
      </c>
      <c r="N25">
        <f>(AF32count[[#This Row],[111-120]]/AF32percent[[Total Charge]:[Total Charge]])</f>
        <v>0</v>
      </c>
      <c r="O25">
        <f>(AF32count[[#This Row],[121-130]]/AF32percent[[Total Charge]:[Total Charge]])</f>
        <v>0</v>
      </c>
      <c r="P25">
        <f>(AF32count[[#This Row],[131-140]]/AF32percent[[Total Charge]:[Total Charge]])</f>
        <v>0</v>
      </c>
      <c r="Q25">
        <v>1</v>
      </c>
      <c r="R25">
        <v>1</v>
      </c>
      <c r="S25" t="s">
        <v>77</v>
      </c>
      <c r="T25">
        <v>5</v>
      </c>
      <c r="U25" s="146">
        <v>2270</v>
      </c>
      <c r="V25" s="146">
        <v>0</v>
      </c>
      <c r="W25">
        <f t="shared" si="0"/>
        <v>0</v>
      </c>
    </row>
    <row r="26" spans="1:23" x14ac:dyDescent="0.25">
      <c r="A26" t="s">
        <v>321</v>
      </c>
      <c r="B26" s="146" t="s">
        <v>323</v>
      </c>
      <c r="C26">
        <f>(AF32count[[#This Row],[0-10]]/AF32percent[[Total Charge]:[Total Charge]])</f>
        <v>0</v>
      </c>
      <c r="D26">
        <f>(AF32count[[#This Row],[11-20]]/AF32percent[[Total Charge]:[Total Charge]])</f>
        <v>0</v>
      </c>
      <c r="E26">
        <f>(AF32count[[#This Row],[21-30]]/AF32percent[[Total Charge]:[Total Charge]])</f>
        <v>0</v>
      </c>
      <c r="F26">
        <f>(AF32count[[#This Row],[31-40]]/AF32percent[[Total Charge]:[Total Charge]])</f>
        <v>0</v>
      </c>
      <c r="G26">
        <f>(AF32count[[#This Row],[41-50]]/AF32percent[[Total Charge]:[Total Charge]])</f>
        <v>0</v>
      </c>
      <c r="H26">
        <f>(AF32count[[#This Row],[51-60]]/AF32percent[[Total Charge]:[Total Charge]])</f>
        <v>0</v>
      </c>
      <c r="I26">
        <f>(AF32count[[#This Row],[61-70]]/AF32percent[[Total Charge]:[Total Charge]])</f>
        <v>0.4</v>
      </c>
      <c r="J26">
        <f>(AF32count[[#This Row],[71-80]]/AF32percent[[Total Charge]:[Total Charge]])</f>
        <v>0.2</v>
      </c>
      <c r="K26">
        <f>(AF32count[[#This Row],[81-90]]/AF32percent[[Total Charge]:[Total Charge]])</f>
        <v>0.4</v>
      </c>
      <c r="L26">
        <f>(AF32count[[#This Row],[91-100]]/AF32percent[[Total Charge]:[Total Charge]])</f>
        <v>0</v>
      </c>
      <c r="M26">
        <f>(AF32count[[#This Row],[101-110]]/AF32percent[[Total Charge]:[Total Charge]])</f>
        <v>0</v>
      </c>
      <c r="N26">
        <f>(AF32count[[#This Row],[111-120]]/AF32percent[[Total Charge]:[Total Charge]])</f>
        <v>0</v>
      </c>
      <c r="O26">
        <f>(AF32count[[#This Row],[121-130]]/AF32percent[[Total Charge]:[Total Charge]])</f>
        <v>0</v>
      </c>
      <c r="P26">
        <f>(AF32count[[#This Row],[131-140]]/AF32percent[[Total Charge]:[Total Charge]])</f>
        <v>0</v>
      </c>
      <c r="Q26">
        <v>1</v>
      </c>
      <c r="R26">
        <v>1</v>
      </c>
      <c r="S26" t="s">
        <v>77</v>
      </c>
      <c r="T26">
        <v>5</v>
      </c>
      <c r="U26" s="146">
        <v>2291.666666666667</v>
      </c>
      <c r="V26" s="146">
        <v>901.66665999999998</v>
      </c>
      <c r="W26">
        <f>(V26/U26)*100</f>
        <v>39.345454254545444</v>
      </c>
    </row>
    <row r="27" spans="1:23" x14ac:dyDescent="0.25">
      <c r="A27" t="s">
        <v>321</v>
      </c>
      <c r="B27" s="146" t="s">
        <v>324</v>
      </c>
      <c r="C27">
        <f>(AF32count[[#This Row],[0-10]]/AF32percent[[Total Charge]:[Total Charge]])</f>
        <v>0</v>
      </c>
      <c r="D27">
        <f>(AF32count[[#This Row],[11-20]]/AF32percent[[Total Charge]:[Total Charge]])</f>
        <v>0</v>
      </c>
      <c r="E27">
        <f>(AF32count[[#This Row],[21-30]]/AF32percent[[Total Charge]:[Total Charge]])</f>
        <v>0</v>
      </c>
      <c r="F27">
        <f>(AF32count[[#This Row],[31-40]]/AF32percent[[Total Charge]:[Total Charge]])</f>
        <v>0</v>
      </c>
      <c r="G27">
        <f>(AF32count[[#This Row],[41-50]]/AF32percent[[Total Charge]:[Total Charge]])</f>
        <v>0</v>
      </c>
      <c r="H27">
        <f>(AF32count[[#This Row],[51-60]]/AF32percent[[Total Charge]:[Total Charge]])</f>
        <v>0</v>
      </c>
      <c r="I27">
        <f>(AF32count[[#This Row],[61-70]]/AF32percent[[Total Charge]:[Total Charge]])</f>
        <v>0.4</v>
      </c>
      <c r="J27">
        <f>(AF32count[[#This Row],[71-80]]/AF32percent[[Total Charge]:[Total Charge]])</f>
        <v>0.2</v>
      </c>
      <c r="K27">
        <f>(AF32count[[#This Row],[81-90]]/AF32percent[[Total Charge]:[Total Charge]])</f>
        <v>0.4</v>
      </c>
      <c r="L27">
        <f>(AF32count[[#This Row],[91-100]]/AF32percent[[Total Charge]:[Total Charge]])</f>
        <v>0</v>
      </c>
      <c r="M27">
        <f>(AF32count[[#This Row],[101-110]]/AF32percent[[Total Charge]:[Total Charge]])</f>
        <v>0</v>
      </c>
      <c r="N27">
        <f>(AF32count[[#This Row],[111-120]]/AF32percent[[Total Charge]:[Total Charge]])</f>
        <v>0</v>
      </c>
      <c r="O27">
        <f>(AF32count[[#This Row],[121-130]]/AF32percent[[Total Charge]:[Total Charge]])</f>
        <v>0</v>
      </c>
      <c r="P27">
        <f>(AF32count[[#This Row],[131-140]]/AF32percent[[Total Charge]:[Total Charge]])</f>
        <v>0</v>
      </c>
      <c r="Q27">
        <v>1</v>
      </c>
      <c r="R27">
        <v>1</v>
      </c>
      <c r="S27" t="s">
        <v>77</v>
      </c>
      <c r="T27">
        <v>5</v>
      </c>
      <c r="U27" s="146">
        <v>2433.3333333333335</v>
      </c>
      <c r="V27" s="146">
        <v>20</v>
      </c>
      <c r="W27">
        <f t="shared" ref="W27:W57" si="1">(V27/U27)*100</f>
        <v>0.82191780821917804</v>
      </c>
    </row>
    <row r="28" spans="1:23" x14ac:dyDescent="0.25">
      <c r="A28" t="s">
        <v>321</v>
      </c>
      <c r="B28" s="146" t="s">
        <v>325</v>
      </c>
      <c r="C28">
        <f>(AF32count[[#This Row],[0-10]]/AF32percent[[Total Charge]:[Total Charge]])</f>
        <v>0</v>
      </c>
      <c r="D28">
        <f>(AF32count[[#This Row],[11-20]]/AF32percent[[Total Charge]:[Total Charge]])</f>
        <v>0</v>
      </c>
      <c r="E28">
        <f>(AF32count[[#This Row],[21-30]]/AF32percent[[Total Charge]:[Total Charge]])</f>
        <v>0</v>
      </c>
      <c r="F28">
        <f>(AF32count[[#This Row],[31-40]]/AF32percent[[Total Charge]:[Total Charge]])</f>
        <v>0</v>
      </c>
      <c r="G28">
        <f>(AF32count[[#This Row],[41-50]]/AF32percent[[Total Charge]:[Total Charge]])</f>
        <v>0</v>
      </c>
      <c r="H28">
        <f>(AF32count[[#This Row],[51-60]]/AF32percent[[Total Charge]:[Total Charge]])</f>
        <v>0</v>
      </c>
      <c r="I28">
        <f>(AF32count[[#This Row],[61-70]]/AF32percent[[Total Charge]:[Total Charge]])</f>
        <v>0.4</v>
      </c>
      <c r="J28">
        <f>(AF32count[[#This Row],[71-80]]/AF32percent[[Total Charge]:[Total Charge]])</f>
        <v>0.2</v>
      </c>
      <c r="K28">
        <f>(AF32count[[#This Row],[81-90]]/AF32percent[[Total Charge]:[Total Charge]])</f>
        <v>0.4</v>
      </c>
      <c r="L28">
        <f>(AF32count[[#This Row],[91-100]]/AF32percent[[Total Charge]:[Total Charge]])</f>
        <v>0</v>
      </c>
      <c r="M28">
        <f>(AF32count[[#This Row],[101-110]]/AF32percent[[Total Charge]:[Total Charge]])</f>
        <v>0</v>
      </c>
      <c r="N28">
        <f>(AF32count[[#This Row],[111-120]]/AF32percent[[Total Charge]:[Total Charge]])</f>
        <v>0</v>
      </c>
      <c r="O28">
        <f>(AF32count[[#This Row],[121-130]]/AF32percent[[Total Charge]:[Total Charge]])</f>
        <v>0</v>
      </c>
      <c r="P28">
        <f>(AF32count[[#This Row],[131-140]]/AF32percent[[Total Charge]:[Total Charge]])</f>
        <v>0</v>
      </c>
      <c r="Q28">
        <v>1</v>
      </c>
      <c r="R28">
        <v>1</v>
      </c>
      <c r="S28" t="s">
        <v>77</v>
      </c>
      <c r="T28">
        <v>5</v>
      </c>
      <c r="U28" s="146">
        <v>1797.2222222222222</v>
      </c>
      <c r="V28" s="146">
        <v>640</v>
      </c>
      <c r="W28">
        <f t="shared" si="1"/>
        <v>35.610510046367857</v>
      </c>
    </row>
    <row r="29" spans="1:23" x14ac:dyDescent="0.25">
      <c r="A29" t="s">
        <v>321</v>
      </c>
      <c r="B29" s="146" t="s">
        <v>326</v>
      </c>
      <c r="C29">
        <f>(AF32count[[#This Row],[0-10]]/AF32percent[[Total Charge]:[Total Charge]])</f>
        <v>0</v>
      </c>
      <c r="D29">
        <f>(AF32count[[#This Row],[11-20]]/AF32percent[[Total Charge]:[Total Charge]])</f>
        <v>0</v>
      </c>
      <c r="E29">
        <f>(AF32count[[#This Row],[21-30]]/AF32percent[[Total Charge]:[Total Charge]])</f>
        <v>0</v>
      </c>
      <c r="F29">
        <f>(AF32count[[#This Row],[31-40]]/AF32percent[[Total Charge]:[Total Charge]])</f>
        <v>0</v>
      </c>
      <c r="G29">
        <f>(AF32count[[#This Row],[41-50]]/AF32percent[[Total Charge]:[Total Charge]])</f>
        <v>0</v>
      </c>
      <c r="H29">
        <f>(AF32count[[#This Row],[51-60]]/AF32percent[[Total Charge]:[Total Charge]])</f>
        <v>0</v>
      </c>
      <c r="I29">
        <f>(AF32count[[#This Row],[61-70]]/AF32percent[[Total Charge]:[Total Charge]])</f>
        <v>0.4</v>
      </c>
      <c r="J29">
        <f>(AF32count[[#This Row],[71-80]]/AF32percent[[Total Charge]:[Total Charge]])</f>
        <v>0.2</v>
      </c>
      <c r="K29">
        <f>(AF32count[[#This Row],[81-90]]/AF32percent[[Total Charge]:[Total Charge]])</f>
        <v>0.4</v>
      </c>
      <c r="L29">
        <f>(AF32count[[#This Row],[91-100]]/AF32percent[[Total Charge]:[Total Charge]])</f>
        <v>0</v>
      </c>
      <c r="M29">
        <f>(AF32count[[#This Row],[101-110]]/AF32percent[[Total Charge]:[Total Charge]])</f>
        <v>0</v>
      </c>
      <c r="N29">
        <f>(AF32count[[#This Row],[111-120]]/AF32percent[[Total Charge]:[Total Charge]])</f>
        <v>0</v>
      </c>
      <c r="O29">
        <f>(AF32count[[#This Row],[121-130]]/AF32percent[[Total Charge]:[Total Charge]])</f>
        <v>0</v>
      </c>
      <c r="P29">
        <f>(AF32count[[#This Row],[131-140]]/AF32percent[[Total Charge]:[Total Charge]])</f>
        <v>0</v>
      </c>
      <c r="Q29">
        <v>1</v>
      </c>
      <c r="R29">
        <v>1</v>
      </c>
      <c r="S29" t="s">
        <v>77</v>
      </c>
      <c r="T29">
        <v>5</v>
      </c>
      <c r="U29" s="146">
        <v>825</v>
      </c>
      <c r="V29" s="146">
        <v>80</v>
      </c>
      <c r="W29">
        <f t="shared" si="1"/>
        <v>9.6969696969696972</v>
      </c>
    </row>
    <row r="30" spans="1:23" x14ac:dyDescent="0.25">
      <c r="A30" t="s">
        <v>327</v>
      </c>
      <c r="B30" s="146" t="s">
        <v>328</v>
      </c>
      <c r="C30">
        <f>(AF32count[[#This Row],[0-10]]/AF32percent[[Total Charge]:[Total Charge]])</f>
        <v>0</v>
      </c>
      <c r="D30">
        <f>(AF32count[[#This Row],[11-20]]/AF32percent[[Total Charge]:[Total Charge]])</f>
        <v>0</v>
      </c>
      <c r="E30">
        <f>(AF32count[[#This Row],[21-30]]/AF32percent[[Total Charge]:[Total Charge]])</f>
        <v>0</v>
      </c>
      <c r="F30">
        <f>(AF32count[[#This Row],[31-40]]/AF32percent[[Total Charge]:[Total Charge]])</f>
        <v>0</v>
      </c>
      <c r="G30">
        <f>(AF32count[[#This Row],[41-50]]/AF32percent[[Total Charge]:[Total Charge]])</f>
        <v>0</v>
      </c>
      <c r="H30">
        <f>(AF32count[[#This Row],[51-60]]/AF32percent[[Total Charge]:[Total Charge]])</f>
        <v>0</v>
      </c>
      <c r="I30">
        <f>(AF32count[[#This Row],[61-70]]/AF32percent[[Total Charge]:[Total Charge]])</f>
        <v>0.5</v>
      </c>
      <c r="J30">
        <f>(AF32count[[#This Row],[71-80]]/AF32percent[[Total Charge]:[Total Charge]])</f>
        <v>0.1</v>
      </c>
      <c r="K30">
        <f>(AF32count[[#This Row],[81-90]]/AF32percent[[Total Charge]:[Total Charge]])</f>
        <v>0</v>
      </c>
      <c r="L30">
        <f>(AF32count[[#This Row],[91-100]]/AF32percent[[Total Charge]:[Total Charge]])</f>
        <v>0.2</v>
      </c>
      <c r="M30">
        <f>(AF32count[[#This Row],[101-110]]/AF32percent[[Total Charge]:[Total Charge]])</f>
        <v>0</v>
      </c>
      <c r="N30">
        <f>(AF32count[[#This Row],[111-120]]/AF32percent[[Total Charge]:[Total Charge]])</f>
        <v>0.1</v>
      </c>
      <c r="O30">
        <f>(AF32count[[#This Row],[121-130]]/AF32percent[[Total Charge]:[Total Charge]])</f>
        <v>0.1</v>
      </c>
      <c r="P30">
        <f>(AF32count[[#This Row],[131-140]]/AF32percent[[Total Charge]:[Total Charge]])</f>
        <v>0</v>
      </c>
      <c r="Q30">
        <v>1</v>
      </c>
      <c r="R30">
        <v>0</v>
      </c>
      <c r="S30" t="s">
        <v>38</v>
      </c>
      <c r="T30">
        <v>10</v>
      </c>
      <c r="U30" s="146">
        <v>1538.8888888888889</v>
      </c>
      <c r="V30" s="146">
        <v>1180</v>
      </c>
      <c r="W30">
        <f t="shared" si="1"/>
        <v>76.678700361010826</v>
      </c>
    </row>
    <row r="31" spans="1:23" x14ac:dyDescent="0.25">
      <c r="A31" t="s">
        <v>327</v>
      </c>
      <c r="B31" s="146" t="s">
        <v>329</v>
      </c>
      <c r="C31">
        <f>(AF32count[[#This Row],[0-10]]/AF32percent[[Total Charge]:[Total Charge]])</f>
        <v>0</v>
      </c>
      <c r="D31">
        <f>(AF32count[[#This Row],[11-20]]/AF32percent[[Total Charge]:[Total Charge]])</f>
        <v>0</v>
      </c>
      <c r="E31">
        <f>(AF32count[[#This Row],[21-30]]/AF32percent[[Total Charge]:[Total Charge]])</f>
        <v>0</v>
      </c>
      <c r="F31">
        <f>(AF32count[[#This Row],[31-40]]/AF32percent[[Total Charge]:[Total Charge]])</f>
        <v>0</v>
      </c>
      <c r="G31">
        <f>(AF32count[[#This Row],[41-50]]/AF32percent[[Total Charge]:[Total Charge]])</f>
        <v>0</v>
      </c>
      <c r="H31">
        <f>(AF32count[[#This Row],[51-60]]/AF32percent[[Total Charge]:[Total Charge]])</f>
        <v>0</v>
      </c>
      <c r="I31">
        <f>(AF32count[[#This Row],[61-70]]/AF32percent[[Total Charge]:[Total Charge]])</f>
        <v>0.5</v>
      </c>
      <c r="J31">
        <f>(AF32count[[#This Row],[71-80]]/AF32percent[[Total Charge]:[Total Charge]])</f>
        <v>0.1</v>
      </c>
      <c r="K31">
        <f>(AF32count[[#This Row],[81-90]]/AF32percent[[Total Charge]:[Total Charge]])</f>
        <v>0</v>
      </c>
      <c r="L31">
        <f>(AF32count[[#This Row],[91-100]]/AF32percent[[Total Charge]:[Total Charge]])</f>
        <v>0.2</v>
      </c>
      <c r="M31">
        <f>(AF32count[[#This Row],[101-110]]/AF32percent[[Total Charge]:[Total Charge]])</f>
        <v>0</v>
      </c>
      <c r="N31">
        <f>(AF32count[[#This Row],[111-120]]/AF32percent[[Total Charge]:[Total Charge]])</f>
        <v>0.1</v>
      </c>
      <c r="O31">
        <f>(AF32count[[#This Row],[121-130]]/AF32percent[[Total Charge]:[Total Charge]])</f>
        <v>0.1</v>
      </c>
      <c r="P31">
        <f>(AF32count[[#This Row],[131-140]]/AF32percent[[Total Charge]:[Total Charge]])</f>
        <v>0</v>
      </c>
      <c r="Q31">
        <v>1</v>
      </c>
      <c r="R31">
        <v>0</v>
      </c>
      <c r="S31" t="s">
        <v>38</v>
      </c>
      <c r="T31">
        <v>10</v>
      </c>
      <c r="U31" s="146">
        <v>891.66666666666663</v>
      </c>
      <c r="V31" s="146">
        <v>680</v>
      </c>
      <c r="W31">
        <f t="shared" si="1"/>
        <v>76.261682242990659</v>
      </c>
    </row>
    <row r="32" spans="1:23" x14ac:dyDescent="0.25">
      <c r="A32" t="s">
        <v>327</v>
      </c>
      <c r="B32" s="146" t="s">
        <v>330</v>
      </c>
      <c r="C32">
        <f>(AF32count[[#This Row],[0-10]]/AF32percent[[Total Charge]:[Total Charge]])</f>
        <v>0</v>
      </c>
      <c r="D32">
        <f>(AF32count[[#This Row],[11-20]]/AF32percent[[Total Charge]:[Total Charge]])</f>
        <v>0</v>
      </c>
      <c r="E32">
        <f>(AF32count[[#This Row],[21-30]]/AF32percent[[Total Charge]:[Total Charge]])</f>
        <v>0</v>
      </c>
      <c r="F32">
        <f>(AF32count[[#This Row],[31-40]]/AF32percent[[Total Charge]:[Total Charge]])</f>
        <v>0</v>
      </c>
      <c r="G32">
        <f>(AF32count[[#This Row],[41-50]]/AF32percent[[Total Charge]:[Total Charge]])</f>
        <v>0</v>
      </c>
      <c r="H32">
        <f>(AF32count[[#This Row],[51-60]]/AF32percent[[Total Charge]:[Total Charge]])</f>
        <v>0</v>
      </c>
      <c r="I32">
        <f>(AF32count[[#This Row],[61-70]]/AF32percent[[Total Charge]:[Total Charge]])</f>
        <v>0.5</v>
      </c>
      <c r="J32">
        <f>(AF32count[[#This Row],[71-80]]/AF32percent[[Total Charge]:[Total Charge]])</f>
        <v>0.1</v>
      </c>
      <c r="K32">
        <f>(AF32count[[#This Row],[81-90]]/AF32percent[[Total Charge]:[Total Charge]])</f>
        <v>0</v>
      </c>
      <c r="L32">
        <f>(AF32count[[#This Row],[91-100]]/AF32percent[[Total Charge]:[Total Charge]])</f>
        <v>0.2</v>
      </c>
      <c r="M32">
        <f>(AF32count[[#This Row],[101-110]]/AF32percent[[Total Charge]:[Total Charge]])</f>
        <v>0</v>
      </c>
      <c r="N32">
        <f>(AF32count[[#This Row],[111-120]]/AF32percent[[Total Charge]:[Total Charge]])</f>
        <v>0.1</v>
      </c>
      <c r="O32">
        <f>(AF32count[[#This Row],[121-130]]/AF32percent[[Total Charge]:[Total Charge]])</f>
        <v>0.1</v>
      </c>
      <c r="P32">
        <f>(AF32count[[#This Row],[131-140]]/AF32percent[[Total Charge]:[Total Charge]])</f>
        <v>0</v>
      </c>
      <c r="Q32">
        <v>1</v>
      </c>
      <c r="R32">
        <v>0</v>
      </c>
      <c r="S32" t="s">
        <v>38</v>
      </c>
      <c r="T32">
        <v>10</v>
      </c>
      <c r="U32" s="146">
        <v>812.22222222222229</v>
      </c>
      <c r="V32" s="146">
        <v>623.33331999999996</v>
      </c>
      <c r="W32">
        <f t="shared" si="1"/>
        <v>76.744184404924752</v>
      </c>
    </row>
    <row r="33" spans="1:23" x14ac:dyDescent="0.25">
      <c r="A33" t="s">
        <v>327</v>
      </c>
      <c r="B33" s="146" t="s">
        <v>331</v>
      </c>
      <c r="C33">
        <f>(AF32count[[#This Row],[0-10]]/AF32percent[[Total Charge]:[Total Charge]])</f>
        <v>0</v>
      </c>
      <c r="D33">
        <f>(AF32count[[#This Row],[11-20]]/AF32percent[[Total Charge]:[Total Charge]])</f>
        <v>0</v>
      </c>
      <c r="E33">
        <f>(AF32count[[#This Row],[21-30]]/AF32percent[[Total Charge]:[Total Charge]])</f>
        <v>0</v>
      </c>
      <c r="F33">
        <f>(AF32count[[#This Row],[31-40]]/AF32percent[[Total Charge]:[Total Charge]])</f>
        <v>0</v>
      </c>
      <c r="G33">
        <f>(AF32count[[#This Row],[41-50]]/AF32percent[[Total Charge]:[Total Charge]])</f>
        <v>0</v>
      </c>
      <c r="H33">
        <f>(AF32count[[#This Row],[51-60]]/AF32percent[[Total Charge]:[Total Charge]])</f>
        <v>0</v>
      </c>
      <c r="I33">
        <f>(AF32count[[#This Row],[61-70]]/AF32percent[[Total Charge]:[Total Charge]])</f>
        <v>0.5</v>
      </c>
      <c r="J33">
        <f>(AF32count[[#This Row],[71-80]]/AF32percent[[Total Charge]:[Total Charge]])</f>
        <v>0.1</v>
      </c>
      <c r="K33">
        <f>(AF32count[[#This Row],[81-90]]/AF32percent[[Total Charge]:[Total Charge]])</f>
        <v>0</v>
      </c>
      <c r="L33">
        <f>(AF32count[[#This Row],[91-100]]/AF32percent[[Total Charge]:[Total Charge]])</f>
        <v>0.2</v>
      </c>
      <c r="M33">
        <f>(AF32count[[#This Row],[101-110]]/AF32percent[[Total Charge]:[Total Charge]])</f>
        <v>0</v>
      </c>
      <c r="N33">
        <f>(AF32count[[#This Row],[111-120]]/AF32percent[[Total Charge]:[Total Charge]])</f>
        <v>0.1</v>
      </c>
      <c r="O33">
        <f>(AF32count[[#This Row],[121-130]]/AF32percent[[Total Charge]:[Total Charge]])</f>
        <v>0.1</v>
      </c>
      <c r="P33">
        <f>(AF32count[[#This Row],[131-140]]/AF32percent[[Total Charge]:[Total Charge]])</f>
        <v>0</v>
      </c>
      <c r="Q33">
        <v>1</v>
      </c>
      <c r="R33">
        <v>0</v>
      </c>
      <c r="S33" t="s">
        <v>38</v>
      </c>
      <c r="T33">
        <v>10</v>
      </c>
      <c r="U33" s="146">
        <v>1716.6666666666667</v>
      </c>
      <c r="V33" s="146">
        <v>120</v>
      </c>
      <c r="W33">
        <f t="shared" si="1"/>
        <v>6.9902912621359228</v>
      </c>
    </row>
    <row r="34" spans="1:23" x14ac:dyDescent="0.25">
      <c r="A34" t="s">
        <v>327</v>
      </c>
      <c r="B34" s="146" t="s">
        <v>332</v>
      </c>
      <c r="C34">
        <f>(AF32count[[#This Row],[0-10]]/AF32percent[[Total Charge]:[Total Charge]])</f>
        <v>0</v>
      </c>
      <c r="D34">
        <f>(AF32count[[#This Row],[11-20]]/AF32percent[[Total Charge]:[Total Charge]])</f>
        <v>0</v>
      </c>
      <c r="E34">
        <f>(AF32count[[#This Row],[21-30]]/AF32percent[[Total Charge]:[Total Charge]])</f>
        <v>0</v>
      </c>
      <c r="F34">
        <f>(AF32count[[#This Row],[31-40]]/AF32percent[[Total Charge]:[Total Charge]])</f>
        <v>0</v>
      </c>
      <c r="G34">
        <f>(AF32count[[#This Row],[41-50]]/AF32percent[[Total Charge]:[Total Charge]])</f>
        <v>0</v>
      </c>
      <c r="H34">
        <f>(AF32count[[#This Row],[51-60]]/AF32percent[[Total Charge]:[Total Charge]])</f>
        <v>0</v>
      </c>
      <c r="I34">
        <f>(AF32count[[#This Row],[61-70]]/AF32percent[[Total Charge]:[Total Charge]])</f>
        <v>0.5</v>
      </c>
      <c r="J34">
        <f>(AF32count[[#This Row],[71-80]]/AF32percent[[Total Charge]:[Total Charge]])</f>
        <v>0.1</v>
      </c>
      <c r="K34">
        <f>(AF32count[[#This Row],[81-90]]/AF32percent[[Total Charge]:[Total Charge]])</f>
        <v>0</v>
      </c>
      <c r="L34">
        <f>(AF32count[[#This Row],[91-100]]/AF32percent[[Total Charge]:[Total Charge]])</f>
        <v>0.2</v>
      </c>
      <c r="M34">
        <f>(AF32count[[#This Row],[101-110]]/AF32percent[[Total Charge]:[Total Charge]])</f>
        <v>0</v>
      </c>
      <c r="N34">
        <f>(AF32count[[#This Row],[111-120]]/AF32percent[[Total Charge]:[Total Charge]])</f>
        <v>0.1</v>
      </c>
      <c r="O34">
        <f>(AF32count[[#This Row],[121-130]]/AF32percent[[Total Charge]:[Total Charge]])</f>
        <v>0.1</v>
      </c>
      <c r="P34">
        <f>(AF32count[[#This Row],[131-140]]/AF32percent[[Total Charge]:[Total Charge]])</f>
        <v>0</v>
      </c>
      <c r="Q34">
        <v>1</v>
      </c>
      <c r="R34">
        <v>0</v>
      </c>
      <c r="S34" t="s">
        <v>38</v>
      </c>
      <c r="T34">
        <v>10</v>
      </c>
      <c r="U34" s="146">
        <v>1694.4444444444443</v>
      </c>
      <c r="V34" s="146">
        <v>1460</v>
      </c>
      <c r="W34">
        <f t="shared" si="1"/>
        <v>86.163934426229517</v>
      </c>
    </row>
    <row r="35" spans="1:23" x14ac:dyDescent="0.25">
      <c r="A35" t="s">
        <v>327</v>
      </c>
      <c r="B35" s="146" t="s">
        <v>333</v>
      </c>
      <c r="C35">
        <f>(AF32count[[#This Row],[0-10]]/AF32percent[[Total Charge]:[Total Charge]])</f>
        <v>0</v>
      </c>
      <c r="D35">
        <f>(AF32count[[#This Row],[11-20]]/AF32percent[[Total Charge]:[Total Charge]])</f>
        <v>0</v>
      </c>
      <c r="E35">
        <f>(AF32count[[#This Row],[21-30]]/AF32percent[[Total Charge]:[Total Charge]])</f>
        <v>0</v>
      </c>
      <c r="F35">
        <f>(AF32count[[#This Row],[31-40]]/AF32percent[[Total Charge]:[Total Charge]])</f>
        <v>0</v>
      </c>
      <c r="G35">
        <f>(AF32count[[#This Row],[41-50]]/AF32percent[[Total Charge]:[Total Charge]])</f>
        <v>0</v>
      </c>
      <c r="H35">
        <f>(AF32count[[#This Row],[51-60]]/AF32percent[[Total Charge]:[Total Charge]])</f>
        <v>0</v>
      </c>
      <c r="I35">
        <f>(AF32count[[#This Row],[61-70]]/AF32percent[[Total Charge]:[Total Charge]])</f>
        <v>0.5</v>
      </c>
      <c r="J35">
        <f>(AF32count[[#This Row],[71-80]]/AF32percent[[Total Charge]:[Total Charge]])</f>
        <v>0.1</v>
      </c>
      <c r="K35">
        <f>(AF32count[[#This Row],[81-90]]/AF32percent[[Total Charge]:[Total Charge]])</f>
        <v>0</v>
      </c>
      <c r="L35">
        <f>(AF32count[[#This Row],[91-100]]/AF32percent[[Total Charge]:[Total Charge]])</f>
        <v>0.2</v>
      </c>
      <c r="M35">
        <f>(AF32count[[#This Row],[101-110]]/AF32percent[[Total Charge]:[Total Charge]])</f>
        <v>0</v>
      </c>
      <c r="N35">
        <f>(AF32count[[#This Row],[111-120]]/AF32percent[[Total Charge]:[Total Charge]])</f>
        <v>0.1</v>
      </c>
      <c r="O35">
        <f>(AF32count[[#This Row],[121-130]]/AF32percent[[Total Charge]:[Total Charge]])</f>
        <v>0.1</v>
      </c>
      <c r="P35">
        <f>(AF32count[[#This Row],[131-140]]/AF32percent[[Total Charge]:[Total Charge]])</f>
        <v>0</v>
      </c>
      <c r="Q35">
        <v>1</v>
      </c>
      <c r="R35">
        <v>0</v>
      </c>
      <c r="S35" t="s">
        <v>38</v>
      </c>
      <c r="T35">
        <v>10</v>
      </c>
      <c r="U35" s="146">
        <v>1133.3333333333333</v>
      </c>
      <c r="V35" s="146">
        <v>883.33323999999982</v>
      </c>
      <c r="W35">
        <f t="shared" si="1"/>
        <v>77.941168235294114</v>
      </c>
    </row>
    <row r="36" spans="1:23" x14ac:dyDescent="0.25">
      <c r="A36" t="s">
        <v>327</v>
      </c>
      <c r="B36" s="146" t="s">
        <v>334</v>
      </c>
      <c r="C36">
        <f>(AF32count[[#This Row],[0-10]]/AF32percent[[Total Charge]:[Total Charge]])</f>
        <v>0</v>
      </c>
      <c r="D36">
        <f>(AF32count[[#This Row],[11-20]]/AF32percent[[Total Charge]:[Total Charge]])</f>
        <v>0</v>
      </c>
      <c r="E36">
        <f>(AF32count[[#This Row],[21-30]]/AF32percent[[Total Charge]:[Total Charge]])</f>
        <v>0</v>
      </c>
      <c r="F36">
        <f>(AF32count[[#This Row],[31-40]]/AF32percent[[Total Charge]:[Total Charge]])</f>
        <v>0</v>
      </c>
      <c r="G36">
        <f>(AF32count[[#This Row],[41-50]]/AF32percent[[Total Charge]:[Total Charge]])</f>
        <v>0</v>
      </c>
      <c r="H36">
        <f>(AF32count[[#This Row],[51-60]]/AF32percent[[Total Charge]:[Total Charge]])</f>
        <v>0</v>
      </c>
      <c r="I36">
        <f>(AF32count[[#This Row],[61-70]]/AF32percent[[Total Charge]:[Total Charge]])</f>
        <v>0.5</v>
      </c>
      <c r="J36">
        <f>(AF32count[[#This Row],[71-80]]/AF32percent[[Total Charge]:[Total Charge]])</f>
        <v>0.1</v>
      </c>
      <c r="K36">
        <f>(AF32count[[#This Row],[81-90]]/AF32percent[[Total Charge]:[Total Charge]])</f>
        <v>0</v>
      </c>
      <c r="L36">
        <f>(AF32count[[#This Row],[91-100]]/AF32percent[[Total Charge]:[Total Charge]])</f>
        <v>0.2</v>
      </c>
      <c r="M36">
        <f>(AF32count[[#This Row],[101-110]]/AF32percent[[Total Charge]:[Total Charge]])</f>
        <v>0</v>
      </c>
      <c r="N36">
        <f>(AF32count[[#This Row],[111-120]]/AF32percent[[Total Charge]:[Total Charge]])</f>
        <v>0.1</v>
      </c>
      <c r="O36">
        <f>(AF32count[[#This Row],[121-130]]/AF32percent[[Total Charge]:[Total Charge]])</f>
        <v>0.1</v>
      </c>
      <c r="P36">
        <f>(AF32count[[#This Row],[131-140]]/AF32percent[[Total Charge]:[Total Charge]])</f>
        <v>0</v>
      </c>
      <c r="Q36">
        <v>1</v>
      </c>
      <c r="R36">
        <v>0</v>
      </c>
      <c r="S36" t="s">
        <v>38</v>
      </c>
      <c r="T36">
        <v>10</v>
      </c>
      <c r="U36" s="146">
        <v>641.66666666666674</v>
      </c>
      <c r="V36" s="146">
        <v>520</v>
      </c>
      <c r="W36">
        <f t="shared" si="1"/>
        <v>81.038961038961034</v>
      </c>
    </row>
    <row r="37" spans="1:23" x14ac:dyDescent="0.25">
      <c r="A37" t="s">
        <v>335</v>
      </c>
      <c r="B37" s="146" t="s">
        <v>336</v>
      </c>
      <c r="C37">
        <f>(AF32count[[#This Row],[0-10]]/AF32percent[[Total Charge]:[Total Charge]])</f>
        <v>0</v>
      </c>
      <c r="D37">
        <f>(AF32count[[#This Row],[11-20]]/AF32percent[[Total Charge]:[Total Charge]])</f>
        <v>0</v>
      </c>
      <c r="E37">
        <f>(AF32count[[#This Row],[21-30]]/AF32percent[[Total Charge]:[Total Charge]])</f>
        <v>0</v>
      </c>
      <c r="F37">
        <f>(AF32count[[#This Row],[31-40]]/AF32percent[[Total Charge]:[Total Charge]])</f>
        <v>0.1</v>
      </c>
      <c r="G37">
        <f>(AF32count[[#This Row],[41-50]]/AF32percent[[Total Charge]:[Total Charge]])</f>
        <v>0.1</v>
      </c>
      <c r="H37">
        <f>(AF32count[[#This Row],[51-60]]/AF32percent[[Total Charge]:[Total Charge]])</f>
        <v>0</v>
      </c>
      <c r="I37">
        <f>(AF32count[[#This Row],[61-70]]/AF32percent[[Total Charge]:[Total Charge]])</f>
        <v>0</v>
      </c>
      <c r="J37">
        <f>(AF32count[[#This Row],[71-80]]/AF32percent[[Total Charge]:[Total Charge]])</f>
        <v>0.1</v>
      </c>
      <c r="K37">
        <f>(AF32count[[#This Row],[81-90]]/AF32percent[[Total Charge]:[Total Charge]])</f>
        <v>0.1</v>
      </c>
      <c r="L37">
        <f>(AF32count[[#This Row],[91-100]]/AF32percent[[Total Charge]:[Total Charge]])</f>
        <v>0.5</v>
      </c>
      <c r="M37">
        <f>(AF32count[[#This Row],[101-110]]/AF32percent[[Total Charge]:[Total Charge]])</f>
        <v>0.1</v>
      </c>
      <c r="N37">
        <f>(AF32count[[#This Row],[111-120]]/AF32percent[[Total Charge]:[Total Charge]])</f>
        <v>0</v>
      </c>
      <c r="O37">
        <f>(AF32count[[#This Row],[121-130]]/AF32percent[[Total Charge]:[Total Charge]])</f>
        <v>0</v>
      </c>
      <c r="P37">
        <f>(AF32count[[#This Row],[131-140]]/AF32percent[[Total Charge]:[Total Charge]])</f>
        <v>0</v>
      </c>
      <c r="Q37">
        <v>0</v>
      </c>
      <c r="R37">
        <v>0</v>
      </c>
      <c r="S37" t="s">
        <v>6</v>
      </c>
      <c r="T37">
        <v>10</v>
      </c>
      <c r="U37" s="146">
        <v>455.55555555555554</v>
      </c>
      <c r="V37" s="146">
        <v>420</v>
      </c>
      <c r="W37">
        <f t="shared" si="1"/>
        <v>92.195121951219519</v>
      </c>
    </row>
    <row r="38" spans="1:23" x14ac:dyDescent="0.25">
      <c r="A38" t="s">
        <v>24</v>
      </c>
      <c r="B38" s="146" t="s">
        <v>337</v>
      </c>
      <c r="C38">
        <f>(AF32count[[#This Row],[0-10]]/AF32percent[[Total Charge]:[Total Charge]])</f>
        <v>0</v>
      </c>
      <c r="D38">
        <f>(AF32count[[#This Row],[11-20]]/AF32percent[[Total Charge]:[Total Charge]])</f>
        <v>0</v>
      </c>
      <c r="E38">
        <f>(AF32count[[#This Row],[21-30]]/AF32percent[[Total Charge]:[Total Charge]])</f>
        <v>0</v>
      </c>
      <c r="F38">
        <f>(AF32count[[#This Row],[31-40]]/AF32percent[[Total Charge]:[Total Charge]])</f>
        <v>0.1</v>
      </c>
      <c r="G38">
        <f>(AF32count[[#This Row],[41-50]]/AF32percent[[Total Charge]:[Total Charge]])</f>
        <v>0.1</v>
      </c>
      <c r="H38">
        <f>(AF32count[[#This Row],[51-60]]/AF32percent[[Total Charge]:[Total Charge]])</f>
        <v>0</v>
      </c>
      <c r="I38">
        <f>(AF32count[[#This Row],[61-70]]/AF32percent[[Total Charge]:[Total Charge]])</f>
        <v>0</v>
      </c>
      <c r="J38">
        <f>(AF32count[[#This Row],[71-80]]/AF32percent[[Total Charge]:[Total Charge]])</f>
        <v>0.1</v>
      </c>
      <c r="K38">
        <f>(AF32count[[#This Row],[81-90]]/AF32percent[[Total Charge]:[Total Charge]])</f>
        <v>0.1</v>
      </c>
      <c r="L38">
        <f>(AF32count[[#This Row],[91-100]]/AF32percent[[Total Charge]:[Total Charge]])</f>
        <v>0.5</v>
      </c>
      <c r="M38">
        <f>(AF32count[[#This Row],[101-110]]/AF32percent[[Total Charge]:[Total Charge]])</f>
        <v>0.1</v>
      </c>
      <c r="N38">
        <f>(AF32count[[#This Row],[111-120]]/AF32percent[[Total Charge]:[Total Charge]])</f>
        <v>0</v>
      </c>
      <c r="O38">
        <f>(AF32count[[#This Row],[121-130]]/AF32percent[[Total Charge]:[Total Charge]])</f>
        <v>0</v>
      </c>
      <c r="P38">
        <f>(AF32count[[#This Row],[131-140]]/AF32percent[[Total Charge]:[Total Charge]])</f>
        <v>0</v>
      </c>
      <c r="Q38">
        <v>0</v>
      </c>
      <c r="R38">
        <v>0</v>
      </c>
      <c r="S38" t="s">
        <v>6</v>
      </c>
      <c r="T38">
        <v>10</v>
      </c>
      <c r="U38" s="146">
        <v>1611.1111111111111</v>
      </c>
      <c r="V38" s="146">
        <v>1460</v>
      </c>
      <c r="W38">
        <f t="shared" si="1"/>
        <v>90.620689655172413</v>
      </c>
    </row>
    <row r="39" spans="1:23" x14ac:dyDescent="0.25">
      <c r="A39" t="s">
        <v>24</v>
      </c>
      <c r="B39" s="146" t="s">
        <v>338</v>
      </c>
      <c r="C39">
        <f>(AF32count[[#This Row],[0-10]]/AF32percent[[Total Charge]:[Total Charge]])</f>
        <v>0</v>
      </c>
      <c r="D39">
        <f>(AF32count[[#This Row],[11-20]]/AF32percent[[Total Charge]:[Total Charge]])</f>
        <v>0</v>
      </c>
      <c r="E39">
        <f>(AF32count[[#This Row],[21-30]]/AF32percent[[Total Charge]:[Total Charge]])</f>
        <v>0</v>
      </c>
      <c r="F39">
        <f>(AF32count[[#This Row],[31-40]]/AF32percent[[Total Charge]:[Total Charge]])</f>
        <v>0.1</v>
      </c>
      <c r="G39">
        <f>(AF32count[[#This Row],[41-50]]/AF32percent[[Total Charge]:[Total Charge]])</f>
        <v>0.1</v>
      </c>
      <c r="H39">
        <f>(AF32count[[#This Row],[51-60]]/AF32percent[[Total Charge]:[Total Charge]])</f>
        <v>0</v>
      </c>
      <c r="I39">
        <f>(AF32count[[#This Row],[61-70]]/AF32percent[[Total Charge]:[Total Charge]])</f>
        <v>0</v>
      </c>
      <c r="J39">
        <f>(AF32count[[#This Row],[71-80]]/AF32percent[[Total Charge]:[Total Charge]])</f>
        <v>0.1</v>
      </c>
      <c r="K39">
        <f>(AF32count[[#This Row],[81-90]]/AF32percent[[Total Charge]:[Total Charge]])</f>
        <v>0.1</v>
      </c>
      <c r="L39">
        <f>(AF32count[[#This Row],[91-100]]/AF32percent[[Total Charge]:[Total Charge]])</f>
        <v>0.5</v>
      </c>
      <c r="M39">
        <f>(AF32count[[#This Row],[101-110]]/AF32percent[[Total Charge]:[Total Charge]])</f>
        <v>0.1</v>
      </c>
      <c r="N39">
        <f>(AF32count[[#This Row],[111-120]]/AF32percent[[Total Charge]:[Total Charge]])</f>
        <v>0</v>
      </c>
      <c r="O39">
        <f>(AF32count[[#This Row],[121-130]]/AF32percent[[Total Charge]:[Total Charge]])</f>
        <v>0</v>
      </c>
      <c r="P39">
        <f>(AF32count[[#This Row],[131-140]]/AF32percent[[Total Charge]:[Total Charge]])</f>
        <v>0</v>
      </c>
      <c r="Q39">
        <v>0</v>
      </c>
      <c r="R39">
        <v>0</v>
      </c>
      <c r="S39" t="s">
        <v>6</v>
      </c>
      <c r="T39">
        <v>10</v>
      </c>
      <c r="U39" s="146">
        <v>1577.7777777777778</v>
      </c>
      <c r="V39" s="146">
        <v>1083.33332</v>
      </c>
      <c r="W39">
        <f t="shared" si="1"/>
        <v>68.661970985915488</v>
      </c>
    </row>
    <row r="40" spans="1:23" x14ac:dyDescent="0.25">
      <c r="A40" t="s">
        <v>24</v>
      </c>
      <c r="B40" s="146" t="s">
        <v>339</v>
      </c>
      <c r="C40">
        <f>(AF32count[[#This Row],[0-10]]/AF32percent[[Total Charge]:[Total Charge]])</f>
        <v>0</v>
      </c>
      <c r="D40">
        <f>(AF32count[[#This Row],[11-20]]/AF32percent[[Total Charge]:[Total Charge]])</f>
        <v>0</v>
      </c>
      <c r="E40">
        <f>(AF32count[[#This Row],[21-30]]/AF32percent[[Total Charge]:[Total Charge]])</f>
        <v>0</v>
      </c>
      <c r="F40">
        <f>(AF32count[[#This Row],[31-40]]/AF32percent[[Total Charge]:[Total Charge]])</f>
        <v>0.1</v>
      </c>
      <c r="G40">
        <f>(AF32count[[#This Row],[41-50]]/AF32percent[[Total Charge]:[Total Charge]])</f>
        <v>0.1</v>
      </c>
      <c r="H40">
        <f>(AF32count[[#This Row],[51-60]]/AF32percent[[Total Charge]:[Total Charge]])</f>
        <v>0</v>
      </c>
      <c r="I40">
        <f>(AF32count[[#This Row],[61-70]]/AF32percent[[Total Charge]:[Total Charge]])</f>
        <v>0</v>
      </c>
      <c r="J40">
        <f>(AF32count[[#This Row],[71-80]]/AF32percent[[Total Charge]:[Total Charge]])</f>
        <v>0.1</v>
      </c>
      <c r="K40">
        <f>(AF32count[[#This Row],[81-90]]/AF32percent[[Total Charge]:[Total Charge]])</f>
        <v>0.1</v>
      </c>
      <c r="L40">
        <f>(AF32count[[#This Row],[91-100]]/AF32percent[[Total Charge]:[Total Charge]])</f>
        <v>0.5</v>
      </c>
      <c r="M40">
        <f>(AF32count[[#This Row],[101-110]]/AF32percent[[Total Charge]:[Total Charge]])</f>
        <v>0.1</v>
      </c>
      <c r="N40">
        <f>(AF32count[[#This Row],[111-120]]/AF32percent[[Total Charge]:[Total Charge]])</f>
        <v>0</v>
      </c>
      <c r="O40">
        <f>(AF32count[[#This Row],[121-130]]/AF32percent[[Total Charge]:[Total Charge]])</f>
        <v>0</v>
      </c>
      <c r="P40">
        <f>(AF32count[[#This Row],[131-140]]/AF32percent[[Total Charge]:[Total Charge]])</f>
        <v>0</v>
      </c>
      <c r="Q40">
        <v>0</v>
      </c>
      <c r="R40">
        <v>0</v>
      </c>
      <c r="S40" t="s">
        <v>6</v>
      </c>
      <c r="T40">
        <v>10</v>
      </c>
      <c r="U40" s="146">
        <v>1615.5555555555554</v>
      </c>
      <c r="V40" s="146">
        <v>1403.33332</v>
      </c>
      <c r="W40">
        <f t="shared" si="1"/>
        <v>86.863823108665756</v>
      </c>
    </row>
    <row r="41" spans="1:23" x14ac:dyDescent="0.25">
      <c r="A41" t="s">
        <v>24</v>
      </c>
      <c r="B41" s="146" t="s">
        <v>340</v>
      </c>
      <c r="C41">
        <f>(AF32count[[#This Row],[0-10]]/AF32percent[[Total Charge]:[Total Charge]])</f>
        <v>0</v>
      </c>
      <c r="D41">
        <f>(AF32count[[#This Row],[11-20]]/AF32percent[[Total Charge]:[Total Charge]])</f>
        <v>0</v>
      </c>
      <c r="E41">
        <f>(AF32count[[#This Row],[21-30]]/AF32percent[[Total Charge]:[Total Charge]])</f>
        <v>0</v>
      </c>
      <c r="F41">
        <f>(AF32count[[#This Row],[31-40]]/AF32percent[[Total Charge]:[Total Charge]])</f>
        <v>0.1</v>
      </c>
      <c r="G41">
        <f>(AF32count[[#This Row],[41-50]]/AF32percent[[Total Charge]:[Total Charge]])</f>
        <v>0.1</v>
      </c>
      <c r="H41">
        <f>(AF32count[[#This Row],[51-60]]/AF32percent[[Total Charge]:[Total Charge]])</f>
        <v>0</v>
      </c>
      <c r="I41">
        <f>(AF32count[[#This Row],[61-70]]/AF32percent[[Total Charge]:[Total Charge]])</f>
        <v>0</v>
      </c>
      <c r="J41">
        <f>(AF32count[[#This Row],[71-80]]/AF32percent[[Total Charge]:[Total Charge]])</f>
        <v>0.1</v>
      </c>
      <c r="K41">
        <f>(AF32count[[#This Row],[81-90]]/AF32percent[[Total Charge]:[Total Charge]])</f>
        <v>0.1</v>
      </c>
      <c r="L41">
        <f>(AF32count[[#This Row],[91-100]]/AF32percent[[Total Charge]:[Total Charge]])</f>
        <v>0.5</v>
      </c>
      <c r="M41">
        <f>(AF32count[[#This Row],[101-110]]/AF32percent[[Total Charge]:[Total Charge]])</f>
        <v>0.1</v>
      </c>
      <c r="N41">
        <f>(AF32count[[#This Row],[111-120]]/AF32percent[[Total Charge]:[Total Charge]])</f>
        <v>0</v>
      </c>
      <c r="O41">
        <f>(AF32count[[#This Row],[121-130]]/AF32percent[[Total Charge]:[Total Charge]])</f>
        <v>0</v>
      </c>
      <c r="P41">
        <f>(AF32count[[#This Row],[131-140]]/AF32percent[[Total Charge]:[Total Charge]])</f>
        <v>0</v>
      </c>
      <c r="Q41">
        <v>0</v>
      </c>
      <c r="R41">
        <v>0</v>
      </c>
      <c r="S41" t="s">
        <v>6</v>
      </c>
      <c r="T41">
        <v>10</v>
      </c>
      <c r="U41" s="146">
        <v>777.77777777777783</v>
      </c>
      <c r="V41" s="146">
        <v>280</v>
      </c>
      <c r="W41">
        <f t="shared" si="1"/>
        <v>36</v>
      </c>
    </row>
    <row r="42" spans="1:23" x14ac:dyDescent="0.25">
      <c r="A42" t="s">
        <v>24</v>
      </c>
      <c r="B42" s="146" t="s">
        <v>341</v>
      </c>
      <c r="C42">
        <f>(AF32count[[#This Row],[0-10]]/AF32percent[[Total Charge]:[Total Charge]])</f>
        <v>0</v>
      </c>
      <c r="D42">
        <f>(AF32count[[#This Row],[11-20]]/AF32percent[[Total Charge]:[Total Charge]])</f>
        <v>0</v>
      </c>
      <c r="E42">
        <f>(AF32count[[#This Row],[21-30]]/AF32percent[[Total Charge]:[Total Charge]])</f>
        <v>0</v>
      </c>
      <c r="F42">
        <f>(AF32count[[#This Row],[31-40]]/AF32percent[[Total Charge]:[Total Charge]])</f>
        <v>0.1</v>
      </c>
      <c r="G42">
        <f>(AF32count[[#This Row],[41-50]]/AF32percent[[Total Charge]:[Total Charge]])</f>
        <v>0.1</v>
      </c>
      <c r="H42">
        <f>(AF32count[[#This Row],[51-60]]/AF32percent[[Total Charge]:[Total Charge]])</f>
        <v>0</v>
      </c>
      <c r="I42">
        <f>(AF32count[[#This Row],[61-70]]/AF32percent[[Total Charge]:[Total Charge]])</f>
        <v>0</v>
      </c>
      <c r="J42">
        <f>(AF32count[[#This Row],[71-80]]/AF32percent[[Total Charge]:[Total Charge]])</f>
        <v>0.1</v>
      </c>
      <c r="K42">
        <f>(AF32count[[#This Row],[81-90]]/AF32percent[[Total Charge]:[Total Charge]])</f>
        <v>0.1</v>
      </c>
      <c r="L42">
        <f>(AF32count[[#This Row],[91-100]]/AF32percent[[Total Charge]:[Total Charge]])</f>
        <v>0.5</v>
      </c>
      <c r="M42">
        <f>(AF32count[[#This Row],[101-110]]/AF32percent[[Total Charge]:[Total Charge]])</f>
        <v>0.1</v>
      </c>
      <c r="N42">
        <f>(AF32count[[#This Row],[111-120]]/AF32percent[[Total Charge]:[Total Charge]])</f>
        <v>0</v>
      </c>
      <c r="O42">
        <f>(AF32count[[#This Row],[121-130]]/AF32percent[[Total Charge]:[Total Charge]])</f>
        <v>0</v>
      </c>
      <c r="P42">
        <f>(AF32count[[#This Row],[131-140]]/AF32percent[[Total Charge]:[Total Charge]])</f>
        <v>0</v>
      </c>
      <c r="Q42">
        <v>0</v>
      </c>
      <c r="R42">
        <v>0</v>
      </c>
      <c r="S42" t="s">
        <v>6</v>
      </c>
      <c r="T42">
        <v>10</v>
      </c>
      <c r="U42" s="146">
        <v>1600</v>
      </c>
      <c r="V42" s="146">
        <v>1503.33332</v>
      </c>
      <c r="W42">
        <f t="shared" si="1"/>
        <v>93.958332499999997</v>
      </c>
    </row>
    <row r="43" spans="1:23" x14ac:dyDescent="0.25">
      <c r="A43" t="s">
        <v>24</v>
      </c>
      <c r="B43" s="146" t="s">
        <v>342</v>
      </c>
      <c r="C43">
        <f>(AF32count[[#This Row],[0-10]]/AF32percent[[Total Charge]:[Total Charge]])</f>
        <v>0</v>
      </c>
      <c r="D43">
        <f>(AF32count[[#This Row],[11-20]]/AF32percent[[Total Charge]:[Total Charge]])</f>
        <v>0</v>
      </c>
      <c r="E43">
        <f>(AF32count[[#This Row],[21-30]]/AF32percent[[Total Charge]:[Total Charge]])</f>
        <v>0</v>
      </c>
      <c r="F43">
        <f>(AF32count[[#This Row],[31-40]]/AF32percent[[Total Charge]:[Total Charge]])</f>
        <v>0.1</v>
      </c>
      <c r="G43">
        <f>(AF32count[[#This Row],[41-50]]/AF32percent[[Total Charge]:[Total Charge]])</f>
        <v>0.1</v>
      </c>
      <c r="H43">
        <f>(AF32count[[#This Row],[51-60]]/AF32percent[[Total Charge]:[Total Charge]])</f>
        <v>0</v>
      </c>
      <c r="I43">
        <f>(AF32count[[#This Row],[61-70]]/AF32percent[[Total Charge]:[Total Charge]])</f>
        <v>0</v>
      </c>
      <c r="J43">
        <f>(AF32count[[#This Row],[71-80]]/AF32percent[[Total Charge]:[Total Charge]])</f>
        <v>0.1</v>
      </c>
      <c r="K43">
        <f>(AF32count[[#This Row],[81-90]]/AF32percent[[Total Charge]:[Total Charge]])</f>
        <v>0.1</v>
      </c>
      <c r="L43">
        <f>(AF32count[[#This Row],[91-100]]/AF32percent[[Total Charge]:[Total Charge]])</f>
        <v>0.5</v>
      </c>
      <c r="M43">
        <f>(AF32count[[#This Row],[101-110]]/AF32percent[[Total Charge]:[Total Charge]])</f>
        <v>0.1</v>
      </c>
      <c r="N43">
        <f>(AF32count[[#This Row],[111-120]]/AF32percent[[Total Charge]:[Total Charge]])</f>
        <v>0</v>
      </c>
      <c r="O43">
        <f>(AF32count[[#This Row],[121-130]]/AF32percent[[Total Charge]:[Total Charge]])</f>
        <v>0</v>
      </c>
      <c r="P43">
        <f>(AF32count[[#This Row],[131-140]]/AF32percent[[Total Charge]:[Total Charge]])</f>
        <v>0</v>
      </c>
      <c r="Q43">
        <v>0</v>
      </c>
      <c r="R43">
        <v>0</v>
      </c>
      <c r="S43" t="s">
        <v>6</v>
      </c>
      <c r="T43">
        <v>10</v>
      </c>
      <c r="U43" s="146">
        <v>1244.4444444444443</v>
      </c>
      <c r="V43" s="146">
        <v>1140</v>
      </c>
      <c r="W43">
        <f t="shared" si="1"/>
        <v>91.607142857142861</v>
      </c>
    </row>
    <row r="44" spans="1:23" x14ac:dyDescent="0.25">
      <c r="A44" t="s">
        <v>24</v>
      </c>
      <c r="B44" s="146" t="s">
        <v>343</v>
      </c>
      <c r="C44">
        <f>(AF32count[[#This Row],[0-10]]/AF32percent[[Total Charge]:[Total Charge]])</f>
        <v>0</v>
      </c>
      <c r="D44">
        <f>(AF32count[[#This Row],[11-20]]/AF32percent[[Total Charge]:[Total Charge]])</f>
        <v>0</v>
      </c>
      <c r="E44">
        <f>(AF32count[[#This Row],[21-30]]/AF32percent[[Total Charge]:[Total Charge]])</f>
        <v>0</v>
      </c>
      <c r="F44">
        <f>(AF32count[[#This Row],[31-40]]/AF32percent[[Total Charge]:[Total Charge]])</f>
        <v>0.1</v>
      </c>
      <c r="G44">
        <f>(AF32count[[#This Row],[41-50]]/AF32percent[[Total Charge]:[Total Charge]])</f>
        <v>0.1</v>
      </c>
      <c r="H44">
        <f>(AF32count[[#This Row],[51-60]]/AF32percent[[Total Charge]:[Total Charge]])</f>
        <v>0</v>
      </c>
      <c r="I44">
        <f>(AF32count[[#This Row],[61-70]]/AF32percent[[Total Charge]:[Total Charge]])</f>
        <v>0</v>
      </c>
      <c r="J44">
        <f>(AF32count[[#This Row],[71-80]]/AF32percent[[Total Charge]:[Total Charge]])</f>
        <v>0.1</v>
      </c>
      <c r="K44">
        <f>(AF32count[[#This Row],[81-90]]/AF32percent[[Total Charge]:[Total Charge]])</f>
        <v>0.1</v>
      </c>
      <c r="L44">
        <f>(AF32count[[#This Row],[91-100]]/AF32percent[[Total Charge]:[Total Charge]])</f>
        <v>0.5</v>
      </c>
      <c r="M44">
        <f>(AF32count[[#This Row],[101-110]]/AF32percent[[Total Charge]:[Total Charge]])</f>
        <v>0.1</v>
      </c>
      <c r="N44">
        <f>(AF32count[[#This Row],[111-120]]/AF32percent[[Total Charge]:[Total Charge]])</f>
        <v>0</v>
      </c>
      <c r="O44">
        <f>(AF32count[[#This Row],[121-130]]/AF32percent[[Total Charge]:[Total Charge]])</f>
        <v>0</v>
      </c>
      <c r="P44">
        <f>(AF32count[[#This Row],[131-140]]/AF32percent[[Total Charge]:[Total Charge]])</f>
        <v>0</v>
      </c>
      <c r="Q44">
        <v>0</v>
      </c>
      <c r="R44">
        <v>0</v>
      </c>
      <c r="S44" t="s">
        <v>6</v>
      </c>
      <c r="T44">
        <v>10</v>
      </c>
      <c r="U44" s="146">
        <v>1594.4444444444443</v>
      </c>
      <c r="V44" s="146">
        <v>1340</v>
      </c>
      <c r="W44">
        <f t="shared" si="1"/>
        <v>84.041811846689896</v>
      </c>
    </row>
    <row r="45" spans="1:23" x14ac:dyDescent="0.25">
      <c r="A45" t="s">
        <v>24</v>
      </c>
      <c r="B45" s="146" t="s">
        <v>344</v>
      </c>
      <c r="C45">
        <f>(AF32count[[#This Row],[0-10]]/AF32percent[[Total Charge]:[Total Charge]])</f>
        <v>0</v>
      </c>
      <c r="D45">
        <f>(AF32count[[#This Row],[11-20]]/AF32percent[[Total Charge]:[Total Charge]])</f>
        <v>0</v>
      </c>
      <c r="E45">
        <f>(AF32count[[#This Row],[21-30]]/AF32percent[[Total Charge]:[Total Charge]])</f>
        <v>0</v>
      </c>
      <c r="F45">
        <f>(AF32count[[#This Row],[31-40]]/AF32percent[[Total Charge]:[Total Charge]])</f>
        <v>0.1</v>
      </c>
      <c r="G45">
        <f>(AF32count[[#This Row],[41-50]]/AF32percent[[Total Charge]:[Total Charge]])</f>
        <v>0.1</v>
      </c>
      <c r="H45">
        <f>(AF32count[[#This Row],[51-60]]/AF32percent[[Total Charge]:[Total Charge]])</f>
        <v>0</v>
      </c>
      <c r="I45">
        <f>(AF32count[[#This Row],[61-70]]/AF32percent[[Total Charge]:[Total Charge]])</f>
        <v>0</v>
      </c>
      <c r="J45">
        <f>(AF32count[[#This Row],[71-80]]/AF32percent[[Total Charge]:[Total Charge]])</f>
        <v>0.1</v>
      </c>
      <c r="K45">
        <f>(AF32count[[#This Row],[81-90]]/AF32percent[[Total Charge]:[Total Charge]])</f>
        <v>0.1</v>
      </c>
      <c r="L45">
        <f>(AF32count[[#This Row],[91-100]]/AF32percent[[Total Charge]:[Total Charge]])</f>
        <v>0.5</v>
      </c>
      <c r="M45">
        <f>(AF32count[[#This Row],[101-110]]/AF32percent[[Total Charge]:[Total Charge]])</f>
        <v>0.1</v>
      </c>
      <c r="N45">
        <f>(AF32count[[#This Row],[111-120]]/AF32percent[[Total Charge]:[Total Charge]])</f>
        <v>0</v>
      </c>
      <c r="O45">
        <f>(AF32count[[#This Row],[121-130]]/AF32percent[[Total Charge]:[Total Charge]])</f>
        <v>0</v>
      </c>
      <c r="P45">
        <f>(AF32count[[#This Row],[131-140]]/AF32percent[[Total Charge]:[Total Charge]])</f>
        <v>0</v>
      </c>
      <c r="Q45">
        <v>0</v>
      </c>
      <c r="R45">
        <v>0</v>
      </c>
      <c r="S45" t="s">
        <v>6</v>
      </c>
      <c r="T45">
        <v>10</v>
      </c>
      <c r="U45" s="146">
        <v>1519.4444444444446</v>
      </c>
      <c r="V45" s="146">
        <v>1320</v>
      </c>
      <c r="W45">
        <f t="shared" si="1"/>
        <v>86.873857404021919</v>
      </c>
    </row>
    <row r="46" spans="1:23" x14ac:dyDescent="0.25">
      <c r="A46" t="s">
        <v>24</v>
      </c>
      <c r="B46" s="146" t="s">
        <v>345</v>
      </c>
      <c r="C46">
        <f>(AF32count[[#This Row],[0-10]]/AF32percent[[Total Charge]:[Total Charge]])</f>
        <v>0</v>
      </c>
      <c r="D46">
        <f>(AF32count[[#This Row],[11-20]]/AF32percent[[Total Charge]:[Total Charge]])</f>
        <v>0</v>
      </c>
      <c r="E46">
        <f>(AF32count[[#This Row],[21-30]]/AF32percent[[Total Charge]:[Total Charge]])</f>
        <v>0</v>
      </c>
      <c r="F46">
        <f>(AF32count[[#This Row],[31-40]]/AF32percent[[Total Charge]:[Total Charge]])</f>
        <v>0.1</v>
      </c>
      <c r="G46">
        <f>(AF32count[[#This Row],[41-50]]/AF32percent[[Total Charge]:[Total Charge]])</f>
        <v>0.1</v>
      </c>
      <c r="H46">
        <f>(AF32count[[#This Row],[51-60]]/AF32percent[[Total Charge]:[Total Charge]])</f>
        <v>0</v>
      </c>
      <c r="I46">
        <f>(AF32count[[#This Row],[61-70]]/AF32percent[[Total Charge]:[Total Charge]])</f>
        <v>0</v>
      </c>
      <c r="J46">
        <f>(AF32count[[#This Row],[71-80]]/AF32percent[[Total Charge]:[Total Charge]])</f>
        <v>0.1</v>
      </c>
      <c r="K46">
        <f>(AF32count[[#This Row],[81-90]]/AF32percent[[Total Charge]:[Total Charge]])</f>
        <v>0.1</v>
      </c>
      <c r="L46">
        <f>(AF32count[[#This Row],[91-100]]/AF32percent[[Total Charge]:[Total Charge]])</f>
        <v>0.5</v>
      </c>
      <c r="M46">
        <f>(AF32count[[#This Row],[101-110]]/AF32percent[[Total Charge]:[Total Charge]])</f>
        <v>0.1</v>
      </c>
      <c r="N46">
        <f>(AF32count[[#This Row],[111-120]]/AF32percent[[Total Charge]:[Total Charge]])</f>
        <v>0</v>
      </c>
      <c r="O46">
        <f>(AF32count[[#This Row],[121-130]]/AF32percent[[Total Charge]:[Total Charge]])</f>
        <v>0</v>
      </c>
      <c r="P46">
        <f>(AF32count[[#This Row],[131-140]]/AF32percent[[Total Charge]:[Total Charge]])</f>
        <v>0</v>
      </c>
      <c r="Q46">
        <v>0</v>
      </c>
      <c r="R46">
        <v>0</v>
      </c>
      <c r="S46" t="s">
        <v>6</v>
      </c>
      <c r="T46">
        <v>10</v>
      </c>
      <c r="U46" s="146">
        <v>2156.6666666666665</v>
      </c>
      <c r="V46" s="146">
        <v>1508.3332999999998</v>
      </c>
      <c r="W46">
        <f t="shared" si="1"/>
        <v>69.938174652241102</v>
      </c>
    </row>
    <row r="47" spans="1:23" x14ac:dyDescent="0.25">
      <c r="A47" t="s">
        <v>24</v>
      </c>
      <c r="B47" s="146" t="s">
        <v>346</v>
      </c>
      <c r="C47">
        <f>(AF32count[[#This Row],[0-10]]/AF32percent[[Total Charge]:[Total Charge]])</f>
        <v>0</v>
      </c>
      <c r="D47">
        <f>(AF32count[[#This Row],[11-20]]/AF32percent[[Total Charge]:[Total Charge]])</f>
        <v>0</v>
      </c>
      <c r="E47">
        <f>(AF32count[[#This Row],[21-30]]/AF32percent[[Total Charge]:[Total Charge]])</f>
        <v>0</v>
      </c>
      <c r="F47">
        <f>(AF32count[[#This Row],[31-40]]/AF32percent[[Total Charge]:[Total Charge]])</f>
        <v>0.1</v>
      </c>
      <c r="G47">
        <f>(AF32count[[#This Row],[41-50]]/AF32percent[[Total Charge]:[Total Charge]])</f>
        <v>0.1</v>
      </c>
      <c r="H47">
        <f>(AF32count[[#This Row],[51-60]]/AF32percent[[Total Charge]:[Total Charge]])</f>
        <v>0</v>
      </c>
      <c r="I47">
        <f>(AF32count[[#This Row],[61-70]]/AF32percent[[Total Charge]:[Total Charge]])</f>
        <v>0</v>
      </c>
      <c r="J47">
        <f>(AF32count[[#This Row],[71-80]]/AF32percent[[Total Charge]:[Total Charge]])</f>
        <v>0.1</v>
      </c>
      <c r="K47">
        <f>(AF32count[[#This Row],[81-90]]/AF32percent[[Total Charge]:[Total Charge]])</f>
        <v>0.1</v>
      </c>
      <c r="L47">
        <f>(AF32count[[#This Row],[91-100]]/AF32percent[[Total Charge]:[Total Charge]])</f>
        <v>0.5</v>
      </c>
      <c r="M47">
        <f>(AF32count[[#This Row],[101-110]]/AF32percent[[Total Charge]:[Total Charge]])</f>
        <v>0.1</v>
      </c>
      <c r="N47">
        <f>(AF32count[[#This Row],[111-120]]/AF32percent[[Total Charge]:[Total Charge]])</f>
        <v>0</v>
      </c>
      <c r="O47">
        <f>(AF32count[[#This Row],[121-130]]/AF32percent[[Total Charge]:[Total Charge]])</f>
        <v>0</v>
      </c>
      <c r="P47">
        <f>(AF32count[[#This Row],[131-140]]/AF32percent[[Total Charge]:[Total Charge]])</f>
        <v>0</v>
      </c>
      <c r="Q47">
        <v>0</v>
      </c>
      <c r="R47">
        <v>0</v>
      </c>
      <c r="S47" t="s">
        <v>6</v>
      </c>
      <c r="T47">
        <v>10</v>
      </c>
      <c r="U47" s="146">
        <v>2490.5555555555557</v>
      </c>
      <c r="V47" s="146">
        <v>1844.9999800000001</v>
      </c>
      <c r="W47">
        <f t="shared" si="1"/>
        <v>74.079856435422712</v>
      </c>
    </row>
    <row r="48" spans="1:23" x14ac:dyDescent="0.25">
      <c r="A48" t="s">
        <v>24</v>
      </c>
      <c r="B48" s="146" t="s">
        <v>347</v>
      </c>
      <c r="C48">
        <f>(AF32count[[#This Row],[0-10]]/AF32percent[[Total Charge]:[Total Charge]])</f>
        <v>0</v>
      </c>
      <c r="D48">
        <f>(AF32count[[#This Row],[11-20]]/AF32percent[[Total Charge]:[Total Charge]])</f>
        <v>0</v>
      </c>
      <c r="E48">
        <f>(AF32count[[#This Row],[21-30]]/AF32percent[[Total Charge]:[Total Charge]])</f>
        <v>0</v>
      </c>
      <c r="F48">
        <f>(AF32count[[#This Row],[31-40]]/AF32percent[[Total Charge]:[Total Charge]])</f>
        <v>0.1</v>
      </c>
      <c r="G48">
        <f>(AF32count[[#This Row],[41-50]]/AF32percent[[Total Charge]:[Total Charge]])</f>
        <v>0.1</v>
      </c>
      <c r="H48">
        <f>(AF32count[[#This Row],[51-60]]/AF32percent[[Total Charge]:[Total Charge]])</f>
        <v>0</v>
      </c>
      <c r="I48">
        <f>(AF32count[[#This Row],[61-70]]/AF32percent[[Total Charge]:[Total Charge]])</f>
        <v>0</v>
      </c>
      <c r="J48">
        <f>(AF32count[[#This Row],[71-80]]/AF32percent[[Total Charge]:[Total Charge]])</f>
        <v>0.1</v>
      </c>
      <c r="K48">
        <f>(AF32count[[#This Row],[81-90]]/AF32percent[[Total Charge]:[Total Charge]])</f>
        <v>0.1</v>
      </c>
      <c r="L48">
        <f>(AF32count[[#This Row],[91-100]]/AF32percent[[Total Charge]:[Total Charge]])</f>
        <v>0.5</v>
      </c>
      <c r="M48">
        <f>(AF32count[[#This Row],[101-110]]/AF32percent[[Total Charge]:[Total Charge]])</f>
        <v>0.1</v>
      </c>
      <c r="N48">
        <f>(AF32count[[#This Row],[111-120]]/AF32percent[[Total Charge]:[Total Charge]])</f>
        <v>0</v>
      </c>
      <c r="O48">
        <f>(AF32count[[#This Row],[121-130]]/AF32percent[[Total Charge]:[Total Charge]])</f>
        <v>0</v>
      </c>
      <c r="P48">
        <f>(AF32count[[#This Row],[131-140]]/AF32percent[[Total Charge]:[Total Charge]])</f>
        <v>0</v>
      </c>
      <c r="Q48">
        <v>0</v>
      </c>
      <c r="R48">
        <v>0</v>
      </c>
      <c r="S48" t="s">
        <v>6</v>
      </c>
      <c r="T48">
        <v>10</v>
      </c>
      <c r="U48" s="146">
        <v>1105.5555555555557</v>
      </c>
      <c r="V48" s="146">
        <v>740</v>
      </c>
      <c r="W48">
        <f t="shared" si="1"/>
        <v>66.934673366834161</v>
      </c>
    </row>
    <row r="49" spans="1:23" x14ac:dyDescent="0.25">
      <c r="A49" t="s">
        <v>24</v>
      </c>
      <c r="B49" s="146" t="s">
        <v>348</v>
      </c>
      <c r="C49">
        <f>(AF32count[[#This Row],[0-10]]/AF32percent[[Total Charge]:[Total Charge]])</f>
        <v>0</v>
      </c>
      <c r="D49">
        <f>(AF32count[[#This Row],[11-20]]/AF32percent[[Total Charge]:[Total Charge]])</f>
        <v>0</v>
      </c>
      <c r="E49">
        <f>(AF32count[[#This Row],[21-30]]/AF32percent[[Total Charge]:[Total Charge]])</f>
        <v>0</v>
      </c>
      <c r="F49">
        <f>(AF32count[[#This Row],[31-40]]/AF32percent[[Total Charge]:[Total Charge]])</f>
        <v>0.1</v>
      </c>
      <c r="G49">
        <f>(AF32count[[#This Row],[41-50]]/AF32percent[[Total Charge]:[Total Charge]])</f>
        <v>0.1</v>
      </c>
      <c r="H49">
        <f>(AF32count[[#This Row],[51-60]]/AF32percent[[Total Charge]:[Total Charge]])</f>
        <v>0</v>
      </c>
      <c r="I49">
        <f>(AF32count[[#This Row],[61-70]]/AF32percent[[Total Charge]:[Total Charge]])</f>
        <v>0</v>
      </c>
      <c r="J49">
        <f>(AF32count[[#This Row],[71-80]]/AF32percent[[Total Charge]:[Total Charge]])</f>
        <v>0.1</v>
      </c>
      <c r="K49">
        <f>(AF32count[[#This Row],[81-90]]/AF32percent[[Total Charge]:[Total Charge]])</f>
        <v>0.1</v>
      </c>
      <c r="L49">
        <f>(AF32count[[#This Row],[91-100]]/AF32percent[[Total Charge]:[Total Charge]])</f>
        <v>0.5</v>
      </c>
      <c r="M49">
        <f>(AF32count[[#This Row],[101-110]]/AF32percent[[Total Charge]:[Total Charge]])</f>
        <v>0.1</v>
      </c>
      <c r="N49">
        <f>(AF32count[[#This Row],[111-120]]/AF32percent[[Total Charge]:[Total Charge]])</f>
        <v>0</v>
      </c>
      <c r="O49">
        <f>(AF32count[[#This Row],[121-130]]/AF32percent[[Total Charge]:[Total Charge]])</f>
        <v>0</v>
      </c>
      <c r="P49">
        <f>(AF32count[[#This Row],[131-140]]/AF32percent[[Total Charge]:[Total Charge]])</f>
        <v>0</v>
      </c>
      <c r="Q49">
        <v>0</v>
      </c>
      <c r="R49">
        <v>0</v>
      </c>
      <c r="S49" t="s">
        <v>6</v>
      </c>
      <c r="T49">
        <v>10</v>
      </c>
      <c r="U49" s="146">
        <v>1073.3333333333335</v>
      </c>
      <c r="V49" s="146">
        <v>0</v>
      </c>
      <c r="W49">
        <f t="shared" si="1"/>
        <v>0</v>
      </c>
    </row>
    <row r="50" spans="1:23" x14ac:dyDescent="0.25">
      <c r="A50" t="s">
        <v>24</v>
      </c>
      <c r="B50" s="146" t="s">
        <v>349</v>
      </c>
      <c r="C50">
        <f>(AF32count[[#This Row],[0-10]]/AF32percent[[Total Charge]:[Total Charge]])</f>
        <v>0</v>
      </c>
      <c r="D50">
        <f>(AF32count[[#This Row],[11-20]]/AF32percent[[Total Charge]:[Total Charge]])</f>
        <v>0</v>
      </c>
      <c r="E50">
        <f>(AF32count[[#This Row],[21-30]]/AF32percent[[Total Charge]:[Total Charge]])</f>
        <v>0</v>
      </c>
      <c r="F50">
        <f>(AF32count[[#This Row],[31-40]]/AF32percent[[Total Charge]:[Total Charge]])</f>
        <v>0.1</v>
      </c>
      <c r="G50">
        <f>(AF32count[[#This Row],[41-50]]/AF32percent[[Total Charge]:[Total Charge]])</f>
        <v>0.1</v>
      </c>
      <c r="H50">
        <f>(AF32count[[#This Row],[51-60]]/AF32percent[[Total Charge]:[Total Charge]])</f>
        <v>0</v>
      </c>
      <c r="I50">
        <f>(AF32count[[#This Row],[61-70]]/AF32percent[[Total Charge]:[Total Charge]])</f>
        <v>0</v>
      </c>
      <c r="J50">
        <f>(AF32count[[#This Row],[71-80]]/AF32percent[[Total Charge]:[Total Charge]])</f>
        <v>0.1</v>
      </c>
      <c r="K50">
        <f>(AF32count[[#This Row],[81-90]]/AF32percent[[Total Charge]:[Total Charge]])</f>
        <v>0.1</v>
      </c>
      <c r="L50">
        <f>(AF32count[[#This Row],[91-100]]/AF32percent[[Total Charge]:[Total Charge]])</f>
        <v>0.5</v>
      </c>
      <c r="M50">
        <f>(AF32count[[#This Row],[101-110]]/AF32percent[[Total Charge]:[Total Charge]])</f>
        <v>0.1</v>
      </c>
      <c r="N50">
        <f>(AF32count[[#This Row],[111-120]]/AF32percent[[Total Charge]:[Total Charge]])</f>
        <v>0</v>
      </c>
      <c r="O50">
        <f>(AF32count[[#This Row],[121-130]]/AF32percent[[Total Charge]:[Total Charge]])</f>
        <v>0</v>
      </c>
      <c r="P50">
        <f>(AF32count[[#This Row],[131-140]]/AF32percent[[Total Charge]:[Total Charge]])</f>
        <v>0</v>
      </c>
      <c r="Q50">
        <v>0</v>
      </c>
      <c r="R50">
        <v>0</v>
      </c>
      <c r="S50" t="s">
        <v>6</v>
      </c>
      <c r="T50">
        <v>10</v>
      </c>
      <c r="U50" s="146">
        <v>1422.7777777777778</v>
      </c>
      <c r="V50" s="146">
        <v>1326.6666399999999</v>
      </c>
      <c r="W50">
        <f t="shared" si="1"/>
        <v>93.244824365482231</v>
      </c>
    </row>
    <row r="51" spans="1:23" x14ac:dyDescent="0.25">
      <c r="A51" t="s">
        <v>335</v>
      </c>
      <c r="B51" s="146" t="s">
        <v>350</v>
      </c>
      <c r="C51">
        <f>(AF32count[[#This Row],[0-10]]/AF32percent[[Total Charge]:[Total Charge]])</f>
        <v>0</v>
      </c>
      <c r="D51">
        <f>(AF32count[[#This Row],[11-20]]/AF32percent[[Total Charge]:[Total Charge]])</f>
        <v>0</v>
      </c>
      <c r="E51">
        <f>(AF32count[[#This Row],[21-30]]/AF32percent[[Total Charge]:[Total Charge]])</f>
        <v>0</v>
      </c>
      <c r="F51">
        <f>(AF32count[[#This Row],[31-40]]/AF32percent[[Total Charge]:[Total Charge]])</f>
        <v>0.1</v>
      </c>
      <c r="G51">
        <f>(AF32count[[#This Row],[41-50]]/AF32percent[[Total Charge]:[Total Charge]])</f>
        <v>0.1</v>
      </c>
      <c r="H51">
        <f>(AF32count[[#This Row],[51-60]]/AF32percent[[Total Charge]:[Total Charge]])</f>
        <v>0</v>
      </c>
      <c r="I51">
        <f>(AF32count[[#This Row],[61-70]]/AF32percent[[Total Charge]:[Total Charge]])</f>
        <v>0</v>
      </c>
      <c r="J51">
        <f>(AF32count[[#This Row],[71-80]]/AF32percent[[Total Charge]:[Total Charge]])</f>
        <v>0.1</v>
      </c>
      <c r="K51">
        <f>(AF32count[[#This Row],[81-90]]/AF32percent[[Total Charge]:[Total Charge]])</f>
        <v>0.1</v>
      </c>
      <c r="L51">
        <f>(AF32count[[#This Row],[91-100]]/AF32percent[[Total Charge]:[Total Charge]])</f>
        <v>0.5</v>
      </c>
      <c r="M51">
        <f>(AF32count[[#This Row],[101-110]]/AF32percent[[Total Charge]:[Total Charge]])</f>
        <v>0.1</v>
      </c>
      <c r="N51">
        <f>(AF32count[[#This Row],[111-120]]/AF32percent[[Total Charge]:[Total Charge]])</f>
        <v>0</v>
      </c>
      <c r="O51">
        <f>(AF32count[[#This Row],[121-130]]/AF32percent[[Total Charge]:[Total Charge]])</f>
        <v>0</v>
      </c>
      <c r="P51">
        <f>(AF32count[[#This Row],[131-140]]/AF32percent[[Total Charge]:[Total Charge]])</f>
        <v>0</v>
      </c>
      <c r="Q51">
        <v>0</v>
      </c>
      <c r="R51">
        <v>0</v>
      </c>
      <c r="S51" t="s">
        <v>6</v>
      </c>
      <c r="T51">
        <v>10</v>
      </c>
      <c r="U51" s="146">
        <v>1042.2222222222222</v>
      </c>
      <c r="V51" s="146">
        <v>906.66664000000003</v>
      </c>
      <c r="W51">
        <f t="shared" si="1"/>
        <v>86.993600852878473</v>
      </c>
    </row>
    <row r="52" spans="1:23" x14ac:dyDescent="0.25">
      <c r="A52" t="s">
        <v>335</v>
      </c>
      <c r="B52" s="146" t="s">
        <v>351</v>
      </c>
      <c r="C52">
        <f>(AF32count[[#This Row],[0-10]]/AF32percent[[Total Charge]:[Total Charge]])</f>
        <v>0</v>
      </c>
      <c r="D52">
        <f>(AF32count[[#This Row],[11-20]]/AF32percent[[Total Charge]:[Total Charge]])</f>
        <v>0</v>
      </c>
      <c r="E52">
        <f>(AF32count[[#This Row],[21-30]]/AF32percent[[Total Charge]:[Total Charge]])</f>
        <v>0</v>
      </c>
      <c r="F52">
        <f>(AF32count[[#This Row],[31-40]]/AF32percent[[Total Charge]:[Total Charge]])</f>
        <v>0.1</v>
      </c>
      <c r="G52">
        <f>(AF32count[[#This Row],[41-50]]/AF32percent[[Total Charge]:[Total Charge]])</f>
        <v>0.1</v>
      </c>
      <c r="H52">
        <f>(AF32count[[#This Row],[51-60]]/AF32percent[[Total Charge]:[Total Charge]])</f>
        <v>0</v>
      </c>
      <c r="I52">
        <f>(AF32count[[#This Row],[61-70]]/AF32percent[[Total Charge]:[Total Charge]])</f>
        <v>0</v>
      </c>
      <c r="J52">
        <f>(AF32count[[#This Row],[71-80]]/AF32percent[[Total Charge]:[Total Charge]])</f>
        <v>0.1</v>
      </c>
      <c r="K52">
        <f>(AF32count[[#This Row],[81-90]]/AF32percent[[Total Charge]:[Total Charge]])</f>
        <v>0.1</v>
      </c>
      <c r="L52">
        <f>(AF32count[[#This Row],[91-100]]/AF32percent[[Total Charge]:[Total Charge]])</f>
        <v>0.5</v>
      </c>
      <c r="M52">
        <f>(AF32count[[#This Row],[101-110]]/AF32percent[[Total Charge]:[Total Charge]])</f>
        <v>0.1</v>
      </c>
      <c r="N52">
        <f>(AF32count[[#This Row],[111-120]]/AF32percent[[Total Charge]:[Total Charge]])</f>
        <v>0</v>
      </c>
      <c r="O52">
        <f>(AF32count[[#This Row],[121-130]]/AF32percent[[Total Charge]:[Total Charge]])</f>
        <v>0</v>
      </c>
      <c r="P52">
        <f>(AF32count[[#This Row],[131-140]]/AF32percent[[Total Charge]:[Total Charge]])</f>
        <v>0</v>
      </c>
      <c r="Q52">
        <v>0</v>
      </c>
      <c r="R52">
        <v>0</v>
      </c>
      <c r="S52" t="s">
        <v>6</v>
      </c>
      <c r="T52">
        <v>10</v>
      </c>
      <c r="U52" s="146">
        <v>1079.4444444444443</v>
      </c>
      <c r="V52" s="146">
        <v>0</v>
      </c>
      <c r="W52">
        <f t="shared" si="1"/>
        <v>0</v>
      </c>
    </row>
    <row r="53" spans="1:23" x14ac:dyDescent="0.25">
      <c r="A53" t="s">
        <v>335</v>
      </c>
      <c r="B53" s="146" t="s">
        <v>352</v>
      </c>
      <c r="C53">
        <f>(AF32count[[#This Row],[0-10]]/AF32percent[[Total Charge]:[Total Charge]])</f>
        <v>0</v>
      </c>
      <c r="D53">
        <f>(AF32count[[#This Row],[11-20]]/AF32percent[[Total Charge]:[Total Charge]])</f>
        <v>0</v>
      </c>
      <c r="E53">
        <f>(AF32count[[#This Row],[21-30]]/AF32percent[[Total Charge]:[Total Charge]])</f>
        <v>0</v>
      </c>
      <c r="F53">
        <f>(AF32count[[#This Row],[31-40]]/AF32percent[[Total Charge]:[Total Charge]])</f>
        <v>0.1</v>
      </c>
      <c r="G53">
        <f>(AF32count[[#This Row],[41-50]]/AF32percent[[Total Charge]:[Total Charge]])</f>
        <v>0.1</v>
      </c>
      <c r="H53">
        <f>(AF32count[[#This Row],[51-60]]/AF32percent[[Total Charge]:[Total Charge]])</f>
        <v>0</v>
      </c>
      <c r="I53">
        <f>(AF32count[[#This Row],[61-70]]/AF32percent[[Total Charge]:[Total Charge]])</f>
        <v>0</v>
      </c>
      <c r="J53">
        <f>(AF32count[[#This Row],[71-80]]/AF32percent[[Total Charge]:[Total Charge]])</f>
        <v>0.1</v>
      </c>
      <c r="K53">
        <f>(AF32count[[#This Row],[81-90]]/AF32percent[[Total Charge]:[Total Charge]])</f>
        <v>0.1</v>
      </c>
      <c r="L53">
        <f>(AF32count[[#This Row],[91-100]]/AF32percent[[Total Charge]:[Total Charge]])</f>
        <v>0.5</v>
      </c>
      <c r="M53">
        <f>(AF32count[[#This Row],[101-110]]/AF32percent[[Total Charge]:[Total Charge]])</f>
        <v>0.1</v>
      </c>
      <c r="N53">
        <f>(AF32count[[#This Row],[111-120]]/AF32percent[[Total Charge]:[Total Charge]])</f>
        <v>0</v>
      </c>
      <c r="O53">
        <f>(AF32count[[#This Row],[121-130]]/AF32percent[[Total Charge]:[Total Charge]])</f>
        <v>0</v>
      </c>
      <c r="P53">
        <f>(AF32count[[#This Row],[131-140]]/AF32percent[[Total Charge]:[Total Charge]])</f>
        <v>0</v>
      </c>
      <c r="Q53">
        <v>0</v>
      </c>
      <c r="R53">
        <v>0</v>
      </c>
      <c r="S53" t="s">
        <v>6</v>
      </c>
      <c r="T53">
        <v>10</v>
      </c>
      <c r="U53" s="146">
        <v>538.88888888888891</v>
      </c>
      <c r="V53" s="146">
        <v>386.66664000000003</v>
      </c>
      <c r="W53">
        <f t="shared" si="1"/>
        <v>71.752572371134022</v>
      </c>
    </row>
    <row r="54" spans="1:23" x14ac:dyDescent="0.25">
      <c r="A54" t="s">
        <v>335</v>
      </c>
      <c r="B54" s="146" t="s">
        <v>353</v>
      </c>
      <c r="C54">
        <f>(AF32count[[#This Row],[0-10]]/AF32percent[[Total Charge]:[Total Charge]])</f>
        <v>0</v>
      </c>
      <c r="D54">
        <f>(AF32count[[#This Row],[11-20]]/AF32percent[[Total Charge]:[Total Charge]])</f>
        <v>0</v>
      </c>
      <c r="E54">
        <f>(AF32count[[#This Row],[21-30]]/AF32percent[[Total Charge]:[Total Charge]])</f>
        <v>0</v>
      </c>
      <c r="F54">
        <f>(AF32count[[#This Row],[31-40]]/AF32percent[[Total Charge]:[Total Charge]])</f>
        <v>0.1</v>
      </c>
      <c r="G54">
        <f>(AF32count[[#This Row],[41-50]]/AF32percent[[Total Charge]:[Total Charge]])</f>
        <v>0.1</v>
      </c>
      <c r="H54">
        <f>(AF32count[[#This Row],[51-60]]/AF32percent[[Total Charge]:[Total Charge]])</f>
        <v>0</v>
      </c>
      <c r="I54">
        <f>(AF32count[[#This Row],[61-70]]/AF32percent[[Total Charge]:[Total Charge]])</f>
        <v>0</v>
      </c>
      <c r="J54">
        <f>(AF32count[[#This Row],[71-80]]/AF32percent[[Total Charge]:[Total Charge]])</f>
        <v>0.1</v>
      </c>
      <c r="K54">
        <f>(AF32count[[#This Row],[81-90]]/AF32percent[[Total Charge]:[Total Charge]])</f>
        <v>0.1</v>
      </c>
      <c r="L54">
        <f>(AF32count[[#This Row],[91-100]]/AF32percent[[Total Charge]:[Total Charge]])</f>
        <v>0.5</v>
      </c>
      <c r="M54">
        <f>(AF32count[[#This Row],[101-110]]/AF32percent[[Total Charge]:[Total Charge]])</f>
        <v>0.1</v>
      </c>
      <c r="N54">
        <f>(AF32count[[#This Row],[111-120]]/AF32percent[[Total Charge]:[Total Charge]])</f>
        <v>0</v>
      </c>
      <c r="O54">
        <f>(AF32count[[#This Row],[121-130]]/AF32percent[[Total Charge]:[Total Charge]])</f>
        <v>0</v>
      </c>
      <c r="P54">
        <f>(AF32count[[#This Row],[131-140]]/AF32percent[[Total Charge]:[Total Charge]])</f>
        <v>0</v>
      </c>
      <c r="Q54">
        <v>0</v>
      </c>
      <c r="R54">
        <v>0</v>
      </c>
      <c r="S54" t="s">
        <v>6</v>
      </c>
      <c r="T54">
        <v>10</v>
      </c>
      <c r="U54" s="146">
        <v>338.88888888888891</v>
      </c>
      <c r="V54" s="146">
        <v>280</v>
      </c>
      <c r="W54">
        <f t="shared" si="1"/>
        <v>82.622950819672127</v>
      </c>
    </row>
    <row r="55" spans="1:23" x14ac:dyDescent="0.25">
      <c r="A55" t="s">
        <v>335</v>
      </c>
      <c r="B55" s="146" t="s">
        <v>354</v>
      </c>
      <c r="C55">
        <f>(AF32count[[#This Row],[0-10]]/AF32percent[[Total Charge]:[Total Charge]])</f>
        <v>0</v>
      </c>
      <c r="D55">
        <f>(AF32count[[#This Row],[11-20]]/AF32percent[[Total Charge]:[Total Charge]])</f>
        <v>0</v>
      </c>
      <c r="E55">
        <f>(AF32count[[#This Row],[21-30]]/AF32percent[[Total Charge]:[Total Charge]])</f>
        <v>0</v>
      </c>
      <c r="F55">
        <f>(AF32count[[#This Row],[31-40]]/AF32percent[[Total Charge]:[Total Charge]])</f>
        <v>0.1</v>
      </c>
      <c r="G55">
        <f>(AF32count[[#This Row],[41-50]]/AF32percent[[Total Charge]:[Total Charge]])</f>
        <v>0.1</v>
      </c>
      <c r="H55">
        <f>(AF32count[[#This Row],[51-60]]/AF32percent[[Total Charge]:[Total Charge]])</f>
        <v>0</v>
      </c>
      <c r="I55">
        <f>(AF32count[[#This Row],[61-70]]/AF32percent[[Total Charge]:[Total Charge]])</f>
        <v>0</v>
      </c>
      <c r="J55">
        <f>(AF32count[[#This Row],[71-80]]/AF32percent[[Total Charge]:[Total Charge]])</f>
        <v>0.1</v>
      </c>
      <c r="K55">
        <f>(AF32count[[#This Row],[81-90]]/AF32percent[[Total Charge]:[Total Charge]])</f>
        <v>0.1</v>
      </c>
      <c r="L55">
        <f>(AF32count[[#This Row],[91-100]]/AF32percent[[Total Charge]:[Total Charge]])</f>
        <v>0.5</v>
      </c>
      <c r="M55">
        <f>(AF32count[[#This Row],[101-110]]/AF32percent[[Total Charge]:[Total Charge]])</f>
        <v>0.1</v>
      </c>
      <c r="N55">
        <f>(AF32count[[#This Row],[111-120]]/AF32percent[[Total Charge]:[Total Charge]])</f>
        <v>0</v>
      </c>
      <c r="O55">
        <f>(AF32count[[#This Row],[121-130]]/AF32percent[[Total Charge]:[Total Charge]])</f>
        <v>0</v>
      </c>
      <c r="P55">
        <f>(AF32count[[#This Row],[131-140]]/AF32percent[[Total Charge]:[Total Charge]])</f>
        <v>0</v>
      </c>
      <c r="Q55">
        <v>0</v>
      </c>
      <c r="R55">
        <v>0</v>
      </c>
      <c r="S55" t="s">
        <v>6</v>
      </c>
      <c r="T55">
        <v>10</v>
      </c>
      <c r="U55" s="146">
        <v>552.77777777777783</v>
      </c>
      <c r="V55" s="146">
        <v>463.33332000000001</v>
      </c>
      <c r="W55">
        <f t="shared" si="1"/>
        <v>83.819093065326626</v>
      </c>
    </row>
    <row r="56" spans="1:23" x14ac:dyDescent="0.25">
      <c r="A56" t="s">
        <v>335</v>
      </c>
      <c r="B56" s="146" t="s">
        <v>355</v>
      </c>
      <c r="C56">
        <f>(AF32count[[#This Row],[0-10]]/AF32percent[[Total Charge]:[Total Charge]])</f>
        <v>0</v>
      </c>
      <c r="D56">
        <f>(AF32count[[#This Row],[11-20]]/AF32percent[[Total Charge]:[Total Charge]])</f>
        <v>0</v>
      </c>
      <c r="E56">
        <f>(AF32count[[#This Row],[21-30]]/AF32percent[[Total Charge]:[Total Charge]])</f>
        <v>0</v>
      </c>
      <c r="F56">
        <f>(AF32count[[#This Row],[31-40]]/AF32percent[[Total Charge]:[Total Charge]])</f>
        <v>0.1</v>
      </c>
      <c r="G56">
        <f>(AF32count[[#This Row],[41-50]]/AF32percent[[Total Charge]:[Total Charge]])</f>
        <v>0.1</v>
      </c>
      <c r="H56">
        <f>(AF32count[[#This Row],[51-60]]/AF32percent[[Total Charge]:[Total Charge]])</f>
        <v>0</v>
      </c>
      <c r="I56">
        <f>(AF32count[[#This Row],[61-70]]/AF32percent[[Total Charge]:[Total Charge]])</f>
        <v>0</v>
      </c>
      <c r="J56">
        <f>(AF32count[[#This Row],[71-80]]/AF32percent[[Total Charge]:[Total Charge]])</f>
        <v>0.1</v>
      </c>
      <c r="K56">
        <f>(AF32count[[#This Row],[81-90]]/AF32percent[[Total Charge]:[Total Charge]])</f>
        <v>0.1</v>
      </c>
      <c r="L56">
        <f>(AF32count[[#This Row],[91-100]]/AF32percent[[Total Charge]:[Total Charge]])</f>
        <v>0.5</v>
      </c>
      <c r="M56">
        <f>(AF32count[[#This Row],[101-110]]/AF32percent[[Total Charge]:[Total Charge]])</f>
        <v>0.1</v>
      </c>
      <c r="N56">
        <f>(AF32count[[#This Row],[111-120]]/AF32percent[[Total Charge]:[Total Charge]])</f>
        <v>0</v>
      </c>
      <c r="O56">
        <f>(AF32count[[#This Row],[121-130]]/AF32percent[[Total Charge]:[Total Charge]])</f>
        <v>0</v>
      </c>
      <c r="P56">
        <f>(AF32count[[#This Row],[131-140]]/AF32percent[[Total Charge]:[Total Charge]])</f>
        <v>0</v>
      </c>
      <c r="Q56">
        <v>0</v>
      </c>
      <c r="R56">
        <v>0</v>
      </c>
      <c r="S56" t="s">
        <v>6</v>
      </c>
      <c r="T56">
        <v>10</v>
      </c>
      <c r="U56" s="146">
        <v>311.11111111111109</v>
      </c>
      <c r="V56" s="146">
        <v>260</v>
      </c>
      <c r="W56">
        <f t="shared" si="1"/>
        <v>83.571428571428569</v>
      </c>
    </row>
    <row r="57" spans="1:23" x14ac:dyDescent="0.25">
      <c r="A57" t="s">
        <v>335</v>
      </c>
      <c r="B57" s="146" t="s">
        <v>356</v>
      </c>
      <c r="C57">
        <f>(AF32count[[#This Row],[0-10]]/AF32percent[[Total Charge]:[Total Charge]])</f>
        <v>0</v>
      </c>
      <c r="D57">
        <f>(AF32count[[#This Row],[11-20]]/AF32percent[[Total Charge]:[Total Charge]])</f>
        <v>0</v>
      </c>
      <c r="E57">
        <f>(AF32count[[#This Row],[21-30]]/AF32percent[[Total Charge]:[Total Charge]])</f>
        <v>0</v>
      </c>
      <c r="F57">
        <f>(AF32count[[#This Row],[31-40]]/AF32percent[[Total Charge]:[Total Charge]])</f>
        <v>0.1</v>
      </c>
      <c r="G57">
        <f>(AF32count[[#This Row],[41-50]]/AF32percent[[Total Charge]:[Total Charge]])</f>
        <v>0.1</v>
      </c>
      <c r="H57">
        <f>(AF32count[[#This Row],[51-60]]/AF32percent[[Total Charge]:[Total Charge]])</f>
        <v>0</v>
      </c>
      <c r="I57">
        <f>(AF32count[[#This Row],[61-70]]/AF32percent[[Total Charge]:[Total Charge]])</f>
        <v>0</v>
      </c>
      <c r="J57">
        <f>(AF32count[[#This Row],[71-80]]/AF32percent[[Total Charge]:[Total Charge]])</f>
        <v>0.1</v>
      </c>
      <c r="K57">
        <f>(AF32count[[#This Row],[81-90]]/AF32percent[[Total Charge]:[Total Charge]])</f>
        <v>0.1</v>
      </c>
      <c r="L57">
        <f>(AF32count[[#This Row],[91-100]]/AF32percent[[Total Charge]:[Total Charge]])</f>
        <v>0.5</v>
      </c>
      <c r="M57">
        <f>(AF32count[[#This Row],[101-110]]/AF32percent[[Total Charge]:[Total Charge]])</f>
        <v>0.1</v>
      </c>
      <c r="N57">
        <f>(AF32count[[#This Row],[111-120]]/AF32percent[[Total Charge]:[Total Charge]])</f>
        <v>0</v>
      </c>
      <c r="O57">
        <f>(AF32count[[#This Row],[121-130]]/AF32percent[[Total Charge]:[Total Charge]])</f>
        <v>0</v>
      </c>
      <c r="P57">
        <f>(AF32count[[#This Row],[131-140]]/AF32percent[[Total Charge]:[Total Charge]])</f>
        <v>0</v>
      </c>
      <c r="Q57">
        <v>0</v>
      </c>
      <c r="R57">
        <v>0</v>
      </c>
      <c r="S57" t="s">
        <v>6</v>
      </c>
      <c r="T57">
        <v>10</v>
      </c>
      <c r="U57" s="146">
        <v>588.88888888888891</v>
      </c>
      <c r="V57" s="146">
        <v>443.33332000000001</v>
      </c>
      <c r="W57">
        <f t="shared" si="1"/>
        <v>75.283016603773589</v>
      </c>
    </row>
    <row r="58" spans="1:23" x14ac:dyDescent="0.25">
      <c r="A58" t="s">
        <v>357</v>
      </c>
      <c r="B58" s="146" t="s">
        <v>358</v>
      </c>
      <c r="C58">
        <f>(AF32count[[#This Row],[0-10]]/AF32percent[[Total Charge]:[Total Charge]])</f>
        <v>0</v>
      </c>
      <c r="D58">
        <f>(AF32count[[#This Row],[11-20]]/AF32percent[[Total Charge]:[Total Charge]])</f>
        <v>0</v>
      </c>
      <c r="E58">
        <f>(AF32count[[#This Row],[21-30]]/AF32percent[[Total Charge]:[Total Charge]])</f>
        <v>0</v>
      </c>
      <c r="F58">
        <f>(AF32count[[#This Row],[31-40]]/AF32percent[[Total Charge]:[Total Charge]])</f>
        <v>0</v>
      </c>
      <c r="G58">
        <f>(AF32count[[#This Row],[41-50]]/AF32percent[[Total Charge]:[Total Charge]])</f>
        <v>0</v>
      </c>
      <c r="H58">
        <f>(AF32count[[#This Row],[51-60]]/AF32percent[[Total Charge]:[Total Charge]])</f>
        <v>0.125</v>
      </c>
      <c r="I58">
        <f>(AF32count[[#This Row],[61-70]]/AF32percent[[Total Charge]:[Total Charge]])</f>
        <v>0.125</v>
      </c>
      <c r="J58">
        <f>(AF32count[[#This Row],[71-80]]/AF32percent[[Total Charge]:[Total Charge]])</f>
        <v>0.375</v>
      </c>
      <c r="K58">
        <f>(AF32count[[#This Row],[81-90]]/AF32percent[[Total Charge]:[Total Charge]])</f>
        <v>0.125</v>
      </c>
      <c r="L58">
        <f>(AF32count[[#This Row],[91-100]]/AF32percent[[Total Charge]:[Total Charge]])</f>
        <v>0</v>
      </c>
      <c r="M58">
        <f>(AF32count[[#This Row],[101-110]]/AF32percent[[Total Charge]:[Total Charge]])</f>
        <v>0</v>
      </c>
      <c r="N58">
        <f>(AF32count[[#This Row],[111-120]]/AF32percent[[Total Charge]:[Total Charge]])</f>
        <v>0.25</v>
      </c>
      <c r="O58">
        <f>(AF32count[[#This Row],[121-130]]/AF32percent[[Total Charge]:[Total Charge]])</f>
        <v>0</v>
      </c>
      <c r="P58">
        <f>(AF32count[[#This Row],[131-140]]/AF32percent[[Total Charge]:[Total Charge]])</f>
        <v>0</v>
      </c>
      <c r="Q58">
        <v>1</v>
      </c>
      <c r="R58">
        <v>0</v>
      </c>
      <c r="S58" t="s">
        <v>97</v>
      </c>
      <c r="T58">
        <v>8</v>
      </c>
      <c r="U58" s="146">
        <v>469.44444444444446</v>
      </c>
      <c r="V58" s="146">
        <v>360</v>
      </c>
      <c r="W58">
        <f>(V58/U58)*100</f>
        <v>76.68639053254438</v>
      </c>
    </row>
    <row r="59" spans="1:23" x14ac:dyDescent="0.25">
      <c r="A59" t="s">
        <v>26</v>
      </c>
      <c r="B59" s="146" t="s">
        <v>359</v>
      </c>
      <c r="C59">
        <f>(AF32count[[#This Row],[0-10]]/AF32percent[[Total Charge]:[Total Charge]])</f>
        <v>0</v>
      </c>
      <c r="D59">
        <f>(AF32count[[#This Row],[11-20]]/AF32percent[[Total Charge]:[Total Charge]])</f>
        <v>0</v>
      </c>
      <c r="E59">
        <f>(AF32count[[#This Row],[21-30]]/AF32percent[[Total Charge]:[Total Charge]])</f>
        <v>0</v>
      </c>
      <c r="F59">
        <f>(AF32count[[#This Row],[31-40]]/AF32percent[[Total Charge]:[Total Charge]])</f>
        <v>0</v>
      </c>
      <c r="G59">
        <f>(AF32count[[#This Row],[41-50]]/AF32percent[[Total Charge]:[Total Charge]])</f>
        <v>0</v>
      </c>
      <c r="H59">
        <f>(AF32count[[#This Row],[51-60]]/AF32percent[[Total Charge]:[Total Charge]])</f>
        <v>0.125</v>
      </c>
      <c r="I59">
        <f>(AF32count[[#This Row],[61-70]]/AF32percent[[Total Charge]:[Total Charge]])</f>
        <v>0.125</v>
      </c>
      <c r="J59">
        <f>(AF32count[[#This Row],[71-80]]/AF32percent[[Total Charge]:[Total Charge]])</f>
        <v>0.375</v>
      </c>
      <c r="K59">
        <f>(AF32count[[#This Row],[81-90]]/AF32percent[[Total Charge]:[Total Charge]])</f>
        <v>0.125</v>
      </c>
      <c r="L59">
        <f>(AF32count[[#This Row],[91-100]]/AF32percent[[Total Charge]:[Total Charge]])</f>
        <v>0</v>
      </c>
      <c r="M59">
        <f>(AF32count[[#This Row],[101-110]]/AF32percent[[Total Charge]:[Total Charge]])</f>
        <v>0</v>
      </c>
      <c r="N59">
        <f>(AF32count[[#This Row],[111-120]]/AF32percent[[Total Charge]:[Total Charge]])</f>
        <v>0.25</v>
      </c>
      <c r="O59">
        <f>(AF32count[[#This Row],[121-130]]/AF32percent[[Total Charge]:[Total Charge]])</f>
        <v>0</v>
      </c>
      <c r="P59">
        <f>(AF32count[[#This Row],[131-140]]/AF32percent[[Total Charge]:[Total Charge]])</f>
        <v>0</v>
      </c>
      <c r="Q59">
        <v>1</v>
      </c>
      <c r="R59">
        <v>0</v>
      </c>
      <c r="S59" t="s">
        <v>97</v>
      </c>
      <c r="T59">
        <v>8</v>
      </c>
      <c r="U59" s="146">
        <v>2113.8888888888891</v>
      </c>
      <c r="V59" s="146">
        <v>1004.9999799999999</v>
      </c>
      <c r="W59">
        <f>(V59/U59)*100</f>
        <v>47.542706018396835</v>
      </c>
    </row>
    <row r="60" spans="1:23" x14ac:dyDescent="0.25">
      <c r="A60" t="s">
        <v>357</v>
      </c>
      <c r="B60" s="146" t="s">
        <v>360</v>
      </c>
      <c r="C60">
        <f>(AF32count[[#This Row],[0-10]]/AF32percent[[Total Charge]:[Total Charge]])</f>
        <v>0</v>
      </c>
      <c r="D60">
        <f>(AF32count[[#This Row],[11-20]]/AF32percent[[Total Charge]:[Total Charge]])</f>
        <v>0</v>
      </c>
      <c r="E60">
        <f>(AF32count[[#This Row],[21-30]]/AF32percent[[Total Charge]:[Total Charge]])</f>
        <v>0</v>
      </c>
      <c r="F60">
        <f>(AF32count[[#This Row],[31-40]]/AF32percent[[Total Charge]:[Total Charge]])</f>
        <v>0</v>
      </c>
      <c r="G60">
        <f>(AF32count[[#This Row],[41-50]]/AF32percent[[Total Charge]:[Total Charge]])</f>
        <v>0</v>
      </c>
      <c r="H60">
        <f>(AF32count[[#This Row],[51-60]]/AF32percent[[Total Charge]:[Total Charge]])</f>
        <v>0.125</v>
      </c>
      <c r="I60">
        <f>(AF32count[[#This Row],[61-70]]/AF32percent[[Total Charge]:[Total Charge]])</f>
        <v>0.125</v>
      </c>
      <c r="J60">
        <f>(AF32count[[#This Row],[71-80]]/AF32percent[[Total Charge]:[Total Charge]])</f>
        <v>0.375</v>
      </c>
      <c r="K60">
        <f>(AF32count[[#This Row],[81-90]]/AF32percent[[Total Charge]:[Total Charge]])</f>
        <v>0.125</v>
      </c>
      <c r="L60">
        <f>(AF32count[[#This Row],[91-100]]/AF32percent[[Total Charge]:[Total Charge]])</f>
        <v>0</v>
      </c>
      <c r="M60">
        <f>(AF32count[[#This Row],[101-110]]/AF32percent[[Total Charge]:[Total Charge]])</f>
        <v>0</v>
      </c>
      <c r="N60">
        <f>(AF32count[[#This Row],[111-120]]/AF32percent[[Total Charge]:[Total Charge]])</f>
        <v>0.25</v>
      </c>
      <c r="O60">
        <f>(AF32count[[#This Row],[121-130]]/AF32percent[[Total Charge]:[Total Charge]])</f>
        <v>0</v>
      </c>
      <c r="P60">
        <f>(AF32count[[#This Row],[131-140]]/AF32percent[[Total Charge]:[Total Charge]])</f>
        <v>0</v>
      </c>
      <c r="Q60">
        <v>1</v>
      </c>
      <c r="R60">
        <v>0</v>
      </c>
      <c r="S60" t="s">
        <v>97</v>
      </c>
      <c r="T60">
        <v>8</v>
      </c>
      <c r="U60" s="146">
        <v>1066.6666666666667</v>
      </c>
      <c r="V60" s="146">
        <v>680</v>
      </c>
      <c r="W60">
        <f>(V60/U60)*100</f>
        <v>63.749999999999993</v>
      </c>
    </row>
    <row r="61" spans="1:23" x14ac:dyDescent="0.25">
      <c r="A61" t="s">
        <v>361</v>
      </c>
      <c r="B61" s="146" t="s">
        <v>362</v>
      </c>
      <c r="C61">
        <f>(AF32count[[#This Row],[0-10]]/AF32percent[[Total Charge]:[Total Charge]])</f>
        <v>0</v>
      </c>
      <c r="D61">
        <f>(AF32count[[#This Row],[11-20]]/AF32percent[[Total Charge]:[Total Charge]])</f>
        <v>0</v>
      </c>
      <c r="E61">
        <f>(AF32count[[#This Row],[21-30]]/AF32percent[[Total Charge]:[Total Charge]])</f>
        <v>0</v>
      </c>
      <c r="F61">
        <f>(AF32count[[#This Row],[31-40]]/AF32percent[[Total Charge]:[Total Charge]])</f>
        <v>0</v>
      </c>
      <c r="G61">
        <f>(AF32count[[#This Row],[41-50]]/AF32percent[[Total Charge]:[Total Charge]])</f>
        <v>0.16666666666666666</v>
      </c>
      <c r="H61">
        <f>(AF32count[[#This Row],[51-60]]/AF32percent[[Total Charge]:[Total Charge]])</f>
        <v>0</v>
      </c>
      <c r="I61">
        <f>(AF32count[[#This Row],[61-70]]/AF32percent[[Total Charge]:[Total Charge]])</f>
        <v>0.16666666666666666</v>
      </c>
      <c r="J61">
        <f>(AF32count[[#This Row],[71-80]]/AF32percent[[Total Charge]:[Total Charge]])</f>
        <v>0</v>
      </c>
      <c r="K61">
        <f>(AF32count[[#This Row],[81-90]]/AF32percent[[Total Charge]:[Total Charge]])</f>
        <v>0</v>
      </c>
      <c r="L61">
        <f>(AF32count[[#This Row],[91-100]]/AF32percent[[Total Charge]:[Total Charge]])</f>
        <v>0.33333333333333331</v>
      </c>
      <c r="M61">
        <f>(AF32count[[#This Row],[101-110]]/AF32percent[[Total Charge]:[Total Charge]])</f>
        <v>0.16666666666666666</v>
      </c>
      <c r="N61">
        <f>(AF32count[[#This Row],[111-120]]/AF32percent[[Total Charge]:[Total Charge]])</f>
        <v>0.16666666666666666</v>
      </c>
      <c r="O61">
        <f>(AF32count[[#This Row],[121-130]]/AF32percent[[Total Charge]:[Total Charge]])</f>
        <v>0</v>
      </c>
      <c r="P61">
        <f>(AF32count[[#This Row],[131-140]]/AF32percent[[Total Charge]:[Total Charge]])</f>
        <v>0</v>
      </c>
      <c r="Q61">
        <v>0</v>
      </c>
      <c r="R61">
        <v>0</v>
      </c>
      <c r="S61" t="s">
        <v>73</v>
      </c>
      <c r="T61">
        <v>6</v>
      </c>
      <c r="U61" s="146">
        <v>2336.1111111111113</v>
      </c>
      <c r="V61" s="146">
        <v>926.66663999999992</v>
      </c>
      <c r="W61">
        <f t="shared" ref="W61:W71" si="2">(V61/U61)*100</f>
        <v>39.667061878715806</v>
      </c>
    </row>
    <row r="62" spans="1:23" x14ac:dyDescent="0.25">
      <c r="A62" t="s">
        <v>361</v>
      </c>
      <c r="B62" s="146" t="s">
        <v>363</v>
      </c>
      <c r="C62">
        <f>(AF32count[[#This Row],[0-10]]/AF32percent[[Total Charge]:[Total Charge]])</f>
        <v>0</v>
      </c>
      <c r="D62">
        <f>(AF32count[[#This Row],[11-20]]/AF32percent[[Total Charge]:[Total Charge]])</f>
        <v>0</v>
      </c>
      <c r="E62">
        <f>(AF32count[[#This Row],[21-30]]/AF32percent[[Total Charge]:[Total Charge]])</f>
        <v>0</v>
      </c>
      <c r="F62">
        <f>(AF32count[[#This Row],[31-40]]/AF32percent[[Total Charge]:[Total Charge]])</f>
        <v>0</v>
      </c>
      <c r="G62">
        <f>(AF32count[[#This Row],[41-50]]/AF32percent[[Total Charge]:[Total Charge]])</f>
        <v>0.16666666666666666</v>
      </c>
      <c r="H62">
        <f>(AF32count[[#This Row],[51-60]]/AF32percent[[Total Charge]:[Total Charge]])</f>
        <v>0</v>
      </c>
      <c r="I62">
        <f>(AF32count[[#This Row],[61-70]]/AF32percent[[Total Charge]:[Total Charge]])</f>
        <v>0.16666666666666666</v>
      </c>
      <c r="J62">
        <f>(AF32count[[#This Row],[71-80]]/AF32percent[[Total Charge]:[Total Charge]])</f>
        <v>0</v>
      </c>
      <c r="K62">
        <f>(AF32count[[#This Row],[81-90]]/AF32percent[[Total Charge]:[Total Charge]])</f>
        <v>0</v>
      </c>
      <c r="L62">
        <f>(AF32count[[#This Row],[91-100]]/AF32percent[[Total Charge]:[Total Charge]])</f>
        <v>0.33333333333333331</v>
      </c>
      <c r="M62">
        <f>(AF32count[[#This Row],[101-110]]/AF32percent[[Total Charge]:[Total Charge]])</f>
        <v>0.16666666666666666</v>
      </c>
      <c r="N62">
        <f>(AF32count[[#This Row],[111-120]]/AF32percent[[Total Charge]:[Total Charge]])</f>
        <v>0.16666666666666666</v>
      </c>
      <c r="O62">
        <f>(AF32count[[#This Row],[121-130]]/AF32percent[[Total Charge]:[Total Charge]])</f>
        <v>0</v>
      </c>
      <c r="P62">
        <f>(AF32count[[#This Row],[131-140]]/AF32percent[[Total Charge]:[Total Charge]])</f>
        <v>0</v>
      </c>
      <c r="Q62">
        <v>0</v>
      </c>
      <c r="R62">
        <v>0</v>
      </c>
      <c r="S62" t="s">
        <v>73</v>
      </c>
      <c r="T62">
        <v>6</v>
      </c>
      <c r="U62" s="146">
        <v>1644.4444444444443</v>
      </c>
      <c r="V62" s="146">
        <v>300</v>
      </c>
      <c r="W62">
        <f t="shared" si="2"/>
        <v>18.243243243243246</v>
      </c>
    </row>
    <row r="63" spans="1:23" x14ac:dyDescent="0.25">
      <c r="A63" t="s">
        <v>361</v>
      </c>
      <c r="B63" s="146" t="s">
        <v>364</v>
      </c>
      <c r="C63">
        <f>(AF32count[[#This Row],[0-10]]/AF32percent[[Total Charge]:[Total Charge]])</f>
        <v>0</v>
      </c>
      <c r="D63">
        <f>(AF32count[[#This Row],[11-20]]/AF32percent[[Total Charge]:[Total Charge]])</f>
        <v>0</v>
      </c>
      <c r="E63">
        <f>(AF32count[[#This Row],[21-30]]/AF32percent[[Total Charge]:[Total Charge]])</f>
        <v>0</v>
      </c>
      <c r="F63">
        <f>(AF32count[[#This Row],[31-40]]/AF32percent[[Total Charge]:[Total Charge]])</f>
        <v>0</v>
      </c>
      <c r="G63">
        <f>(AF32count[[#This Row],[41-50]]/AF32percent[[Total Charge]:[Total Charge]])</f>
        <v>0.16666666666666666</v>
      </c>
      <c r="H63">
        <f>(AF32count[[#This Row],[51-60]]/AF32percent[[Total Charge]:[Total Charge]])</f>
        <v>0</v>
      </c>
      <c r="I63">
        <f>(AF32count[[#This Row],[61-70]]/AF32percent[[Total Charge]:[Total Charge]])</f>
        <v>0.16666666666666666</v>
      </c>
      <c r="J63">
        <f>(AF32count[[#This Row],[71-80]]/AF32percent[[Total Charge]:[Total Charge]])</f>
        <v>0</v>
      </c>
      <c r="K63">
        <f>(AF32count[[#This Row],[81-90]]/AF32percent[[Total Charge]:[Total Charge]])</f>
        <v>0</v>
      </c>
      <c r="L63">
        <f>(AF32count[[#This Row],[91-100]]/AF32percent[[Total Charge]:[Total Charge]])</f>
        <v>0.33333333333333331</v>
      </c>
      <c r="M63">
        <f>(AF32count[[#This Row],[101-110]]/AF32percent[[Total Charge]:[Total Charge]])</f>
        <v>0.16666666666666666</v>
      </c>
      <c r="N63">
        <f>(AF32count[[#This Row],[111-120]]/AF32percent[[Total Charge]:[Total Charge]])</f>
        <v>0.16666666666666666</v>
      </c>
      <c r="O63">
        <f>(AF32count[[#This Row],[121-130]]/AF32percent[[Total Charge]:[Total Charge]])</f>
        <v>0</v>
      </c>
      <c r="P63">
        <f>(AF32count[[#This Row],[131-140]]/AF32percent[[Total Charge]:[Total Charge]])</f>
        <v>0</v>
      </c>
      <c r="Q63">
        <v>0</v>
      </c>
      <c r="R63">
        <v>0</v>
      </c>
      <c r="S63" t="s">
        <v>73</v>
      </c>
      <c r="T63">
        <v>6</v>
      </c>
      <c r="U63" s="146">
        <v>1088.8888888888889</v>
      </c>
      <c r="V63" s="146">
        <v>983.33331999999996</v>
      </c>
      <c r="W63">
        <f t="shared" si="2"/>
        <v>90.306121224489786</v>
      </c>
    </row>
    <row r="64" spans="1:23" x14ac:dyDescent="0.25">
      <c r="A64" t="s">
        <v>361</v>
      </c>
      <c r="B64" s="146" t="s">
        <v>365</v>
      </c>
      <c r="C64">
        <f>(AF32count[[#This Row],[0-10]]/AF32percent[[Total Charge]:[Total Charge]])</f>
        <v>0</v>
      </c>
      <c r="D64">
        <f>(AF32count[[#This Row],[11-20]]/AF32percent[[Total Charge]:[Total Charge]])</f>
        <v>0</v>
      </c>
      <c r="E64">
        <f>(AF32count[[#This Row],[21-30]]/AF32percent[[Total Charge]:[Total Charge]])</f>
        <v>0</v>
      </c>
      <c r="F64">
        <f>(AF32count[[#This Row],[31-40]]/AF32percent[[Total Charge]:[Total Charge]])</f>
        <v>0</v>
      </c>
      <c r="G64">
        <f>(AF32count[[#This Row],[41-50]]/AF32percent[[Total Charge]:[Total Charge]])</f>
        <v>0.16666666666666666</v>
      </c>
      <c r="H64">
        <f>(AF32count[[#This Row],[51-60]]/AF32percent[[Total Charge]:[Total Charge]])</f>
        <v>0</v>
      </c>
      <c r="I64">
        <f>(AF32count[[#This Row],[61-70]]/AF32percent[[Total Charge]:[Total Charge]])</f>
        <v>0.16666666666666666</v>
      </c>
      <c r="J64">
        <f>(AF32count[[#This Row],[71-80]]/AF32percent[[Total Charge]:[Total Charge]])</f>
        <v>0</v>
      </c>
      <c r="K64">
        <f>(AF32count[[#This Row],[81-90]]/AF32percent[[Total Charge]:[Total Charge]])</f>
        <v>0</v>
      </c>
      <c r="L64">
        <f>(AF32count[[#This Row],[91-100]]/AF32percent[[Total Charge]:[Total Charge]])</f>
        <v>0.33333333333333331</v>
      </c>
      <c r="M64">
        <f>(AF32count[[#This Row],[101-110]]/AF32percent[[Total Charge]:[Total Charge]])</f>
        <v>0.16666666666666666</v>
      </c>
      <c r="N64">
        <f>(AF32count[[#This Row],[111-120]]/AF32percent[[Total Charge]:[Total Charge]])</f>
        <v>0.16666666666666666</v>
      </c>
      <c r="O64">
        <f>(AF32count[[#This Row],[121-130]]/AF32percent[[Total Charge]:[Total Charge]])</f>
        <v>0</v>
      </c>
      <c r="P64">
        <f>(AF32count[[#This Row],[131-140]]/AF32percent[[Total Charge]:[Total Charge]])</f>
        <v>0</v>
      </c>
      <c r="Q64">
        <v>0</v>
      </c>
      <c r="R64">
        <v>0</v>
      </c>
      <c r="S64" t="s">
        <v>73</v>
      </c>
      <c r="T64">
        <v>6</v>
      </c>
      <c r="U64" s="146">
        <v>1069.4444444444446</v>
      </c>
      <c r="V64" s="146">
        <v>903.33331999999996</v>
      </c>
      <c r="W64">
        <f t="shared" si="2"/>
        <v>84.467531220779208</v>
      </c>
    </row>
    <row r="65" spans="1:23" x14ac:dyDescent="0.25">
      <c r="A65" t="s">
        <v>361</v>
      </c>
      <c r="B65" s="146" t="s">
        <v>366</v>
      </c>
      <c r="C65">
        <f>(AF32count[[#This Row],[0-10]]/AF32percent[[Total Charge]:[Total Charge]])</f>
        <v>0</v>
      </c>
      <c r="D65">
        <f>(AF32count[[#This Row],[11-20]]/AF32percent[[Total Charge]:[Total Charge]])</f>
        <v>0</v>
      </c>
      <c r="E65">
        <f>(AF32count[[#This Row],[21-30]]/AF32percent[[Total Charge]:[Total Charge]])</f>
        <v>0</v>
      </c>
      <c r="F65">
        <f>(AF32count[[#This Row],[31-40]]/AF32percent[[Total Charge]:[Total Charge]])</f>
        <v>0</v>
      </c>
      <c r="G65">
        <f>(AF32count[[#This Row],[41-50]]/AF32percent[[Total Charge]:[Total Charge]])</f>
        <v>0.16666666666666666</v>
      </c>
      <c r="H65">
        <f>(AF32count[[#This Row],[51-60]]/AF32percent[[Total Charge]:[Total Charge]])</f>
        <v>0</v>
      </c>
      <c r="I65">
        <f>(AF32count[[#This Row],[61-70]]/AF32percent[[Total Charge]:[Total Charge]])</f>
        <v>0.16666666666666666</v>
      </c>
      <c r="J65">
        <f>(AF32count[[#This Row],[71-80]]/AF32percent[[Total Charge]:[Total Charge]])</f>
        <v>0</v>
      </c>
      <c r="K65">
        <f>(AF32count[[#This Row],[81-90]]/AF32percent[[Total Charge]:[Total Charge]])</f>
        <v>0</v>
      </c>
      <c r="L65">
        <f>(AF32count[[#This Row],[91-100]]/AF32percent[[Total Charge]:[Total Charge]])</f>
        <v>0.33333333333333331</v>
      </c>
      <c r="M65">
        <f>(AF32count[[#This Row],[101-110]]/AF32percent[[Total Charge]:[Total Charge]])</f>
        <v>0.16666666666666666</v>
      </c>
      <c r="N65">
        <f>(AF32count[[#This Row],[111-120]]/AF32percent[[Total Charge]:[Total Charge]])</f>
        <v>0.16666666666666666</v>
      </c>
      <c r="O65">
        <f>(AF32count[[#This Row],[121-130]]/AF32percent[[Total Charge]:[Total Charge]])</f>
        <v>0</v>
      </c>
      <c r="P65">
        <f>(AF32count[[#This Row],[131-140]]/AF32percent[[Total Charge]:[Total Charge]])</f>
        <v>0</v>
      </c>
      <c r="Q65">
        <v>0</v>
      </c>
      <c r="R65">
        <v>0</v>
      </c>
      <c r="S65" t="s">
        <v>73</v>
      </c>
      <c r="T65">
        <v>6</v>
      </c>
      <c r="U65" s="146">
        <v>1150</v>
      </c>
      <c r="V65" s="146">
        <v>943.33331999999996</v>
      </c>
      <c r="W65">
        <f t="shared" si="2"/>
        <v>82.028984347826082</v>
      </c>
    </row>
    <row r="66" spans="1:23" x14ac:dyDescent="0.25">
      <c r="A66" t="s">
        <v>361</v>
      </c>
      <c r="B66" s="146" t="s">
        <v>367</v>
      </c>
      <c r="C66">
        <f>(AF32count[[#This Row],[0-10]]/AF32percent[[Total Charge]:[Total Charge]])</f>
        <v>0</v>
      </c>
      <c r="D66">
        <f>(AF32count[[#This Row],[11-20]]/AF32percent[[Total Charge]:[Total Charge]])</f>
        <v>0</v>
      </c>
      <c r="E66">
        <f>(AF32count[[#This Row],[21-30]]/AF32percent[[Total Charge]:[Total Charge]])</f>
        <v>0</v>
      </c>
      <c r="F66">
        <f>(AF32count[[#This Row],[31-40]]/AF32percent[[Total Charge]:[Total Charge]])</f>
        <v>0</v>
      </c>
      <c r="G66">
        <f>(AF32count[[#This Row],[41-50]]/AF32percent[[Total Charge]:[Total Charge]])</f>
        <v>0.16666666666666666</v>
      </c>
      <c r="H66">
        <f>(AF32count[[#This Row],[51-60]]/AF32percent[[Total Charge]:[Total Charge]])</f>
        <v>0</v>
      </c>
      <c r="I66">
        <f>(AF32count[[#This Row],[61-70]]/AF32percent[[Total Charge]:[Total Charge]])</f>
        <v>0.16666666666666666</v>
      </c>
      <c r="J66">
        <f>(AF32count[[#This Row],[71-80]]/AF32percent[[Total Charge]:[Total Charge]])</f>
        <v>0</v>
      </c>
      <c r="K66">
        <f>(AF32count[[#This Row],[81-90]]/AF32percent[[Total Charge]:[Total Charge]])</f>
        <v>0</v>
      </c>
      <c r="L66">
        <f>(AF32count[[#This Row],[91-100]]/AF32percent[[Total Charge]:[Total Charge]])</f>
        <v>0.33333333333333331</v>
      </c>
      <c r="M66">
        <f>(AF32count[[#This Row],[101-110]]/AF32percent[[Total Charge]:[Total Charge]])</f>
        <v>0.16666666666666666</v>
      </c>
      <c r="N66">
        <f>(AF32count[[#This Row],[111-120]]/AF32percent[[Total Charge]:[Total Charge]])</f>
        <v>0.16666666666666666</v>
      </c>
      <c r="O66">
        <f>(AF32count[[#This Row],[121-130]]/AF32percent[[Total Charge]:[Total Charge]])</f>
        <v>0</v>
      </c>
      <c r="P66">
        <f>(AF32count[[#This Row],[131-140]]/AF32percent[[Total Charge]:[Total Charge]])</f>
        <v>0</v>
      </c>
      <c r="Q66">
        <v>0</v>
      </c>
      <c r="R66">
        <v>0</v>
      </c>
      <c r="S66" t="s">
        <v>73</v>
      </c>
      <c r="T66">
        <v>6</v>
      </c>
      <c r="U66" s="146">
        <v>1138.8888888888889</v>
      </c>
      <c r="V66" s="146">
        <v>1036.6666</v>
      </c>
      <c r="W66">
        <f t="shared" si="2"/>
        <v>91.02438439024391</v>
      </c>
    </row>
    <row r="67" spans="1:23" x14ac:dyDescent="0.25">
      <c r="A67" t="s">
        <v>361</v>
      </c>
      <c r="B67" s="146" t="s">
        <v>368</v>
      </c>
      <c r="C67">
        <f>(AF32count[[#This Row],[0-10]]/AF32percent[[Total Charge]:[Total Charge]])</f>
        <v>0</v>
      </c>
      <c r="D67">
        <f>(AF32count[[#This Row],[11-20]]/AF32percent[[Total Charge]:[Total Charge]])</f>
        <v>0</v>
      </c>
      <c r="E67">
        <f>(AF32count[[#This Row],[21-30]]/AF32percent[[Total Charge]:[Total Charge]])</f>
        <v>0</v>
      </c>
      <c r="F67">
        <f>(AF32count[[#This Row],[31-40]]/AF32percent[[Total Charge]:[Total Charge]])</f>
        <v>0</v>
      </c>
      <c r="G67">
        <f>(AF32count[[#This Row],[41-50]]/AF32percent[[Total Charge]:[Total Charge]])</f>
        <v>0.16666666666666666</v>
      </c>
      <c r="H67">
        <f>(AF32count[[#This Row],[51-60]]/AF32percent[[Total Charge]:[Total Charge]])</f>
        <v>0</v>
      </c>
      <c r="I67">
        <f>(AF32count[[#This Row],[61-70]]/AF32percent[[Total Charge]:[Total Charge]])</f>
        <v>0.16666666666666666</v>
      </c>
      <c r="J67">
        <f>(AF32count[[#This Row],[71-80]]/AF32percent[[Total Charge]:[Total Charge]])</f>
        <v>0</v>
      </c>
      <c r="K67">
        <f>(AF32count[[#This Row],[81-90]]/AF32percent[[Total Charge]:[Total Charge]])</f>
        <v>0</v>
      </c>
      <c r="L67">
        <f>(AF32count[[#This Row],[91-100]]/AF32percent[[Total Charge]:[Total Charge]])</f>
        <v>0.33333333333333331</v>
      </c>
      <c r="M67">
        <f>(AF32count[[#This Row],[101-110]]/AF32percent[[Total Charge]:[Total Charge]])</f>
        <v>0.16666666666666666</v>
      </c>
      <c r="N67">
        <f>(AF32count[[#This Row],[111-120]]/AF32percent[[Total Charge]:[Total Charge]])</f>
        <v>0.16666666666666666</v>
      </c>
      <c r="O67">
        <f>(AF32count[[#This Row],[121-130]]/AF32percent[[Total Charge]:[Total Charge]])</f>
        <v>0</v>
      </c>
      <c r="P67">
        <f>(AF32count[[#This Row],[131-140]]/AF32percent[[Total Charge]:[Total Charge]])</f>
        <v>0</v>
      </c>
      <c r="Q67">
        <v>0</v>
      </c>
      <c r="R67">
        <v>0</v>
      </c>
      <c r="S67" t="s">
        <v>73</v>
      </c>
      <c r="T67">
        <v>6</v>
      </c>
      <c r="U67" s="146">
        <v>1684.4444444444443</v>
      </c>
      <c r="V67" s="146">
        <v>801.66665999999998</v>
      </c>
      <c r="W67">
        <f t="shared" si="2"/>
        <v>47.592347889182058</v>
      </c>
    </row>
    <row r="68" spans="1:23" x14ac:dyDescent="0.25">
      <c r="A68" t="s">
        <v>361</v>
      </c>
      <c r="B68" s="146" t="s">
        <v>369</v>
      </c>
      <c r="C68">
        <f>(AF32count[[#This Row],[0-10]]/AF32percent[[Total Charge]:[Total Charge]])</f>
        <v>0</v>
      </c>
      <c r="D68">
        <f>(AF32count[[#This Row],[11-20]]/AF32percent[[Total Charge]:[Total Charge]])</f>
        <v>0</v>
      </c>
      <c r="E68">
        <f>(AF32count[[#This Row],[21-30]]/AF32percent[[Total Charge]:[Total Charge]])</f>
        <v>0</v>
      </c>
      <c r="F68">
        <f>(AF32count[[#This Row],[31-40]]/AF32percent[[Total Charge]:[Total Charge]])</f>
        <v>0</v>
      </c>
      <c r="G68">
        <f>(AF32count[[#This Row],[41-50]]/AF32percent[[Total Charge]:[Total Charge]])</f>
        <v>0.16666666666666666</v>
      </c>
      <c r="H68">
        <f>(AF32count[[#This Row],[51-60]]/AF32percent[[Total Charge]:[Total Charge]])</f>
        <v>0</v>
      </c>
      <c r="I68">
        <f>(AF32count[[#This Row],[61-70]]/AF32percent[[Total Charge]:[Total Charge]])</f>
        <v>0.16666666666666666</v>
      </c>
      <c r="J68">
        <f>(AF32count[[#This Row],[71-80]]/AF32percent[[Total Charge]:[Total Charge]])</f>
        <v>0</v>
      </c>
      <c r="K68">
        <f>(AF32count[[#This Row],[81-90]]/AF32percent[[Total Charge]:[Total Charge]])</f>
        <v>0</v>
      </c>
      <c r="L68">
        <f>(AF32count[[#This Row],[91-100]]/AF32percent[[Total Charge]:[Total Charge]])</f>
        <v>0.33333333333333331</v>
      </c>
      <c r="M68">
        <f>(AF32count[[#This Row],[101-110]]/AF32percent[[Total Charge]:[Total Charge]])</f>
        <v>0.16666666666666666</v>
      </c>
      <c r="N68">
        <f>(AF32count[[#This Row],[111-120]]/AF32percent[[Total Charge]:[Total Charge]])</f>
        <v>0.16666666666666666</v>
      </c>
      <c r="O68">
        <f>(AF32count[[#This Row],[121-130]]/AF32percent[[Total Charge]:[Total Charge]])</f>
        <v>0</v>
      </c>
      <c r="P68">
        <f>(AF32count[[#This Row],[131-140]]/AF32percent[[Total Charge]:[Total Charge]])</f>
        <v>0</v>
      </c>
      <c r="Q68">
        <v>0</v>
      </c>
      <c r="R68">
        <v>0</v>
      </c>
      <c r="S68" t="s">
        <v>73</v>
      </c>
      <c r="T68">
        <v>6</v>
      </c>
      <c r="U68" s="146">
        <v>1058.3333333333335</v>
      </c>
      <c r="V68" s="146">
        <v>983.33331999999996</v>
      </c>
      <c r="W68">
        <f t="shared" si="2"/>
        <v>92.913384566929111</v>
      </c>
    </row>
    <row r="69" spans="1:23" x14ac:dyDescent="0.25">
      <c r="A69" t="s">
        <v>361</v>
      </c>
      <c r="B69" s="146" t="s">
        <v>370</v>
      </c>
      <c r="C69">
        <f>(AF32count[[#This Row],[0-10]]/AF32percent[[Total Charge]:[Total Charge]])</f>
        <v>0</v>
      </c>
      <c r="D69">
        <f>(AF32count[[#This Row],[11-20]]/AF32percent[[Total Charge]:[Total Charge]])</f>
        <v>0</v>
      </c>
      <c r="E69">
        <f>(AF32count[[#This Row],[21-30]]/AF32percent[[Total Charge]:[Total Charge]])</f>
        <v>0</v>
      </c>
      <c r="F69">
        <f>(AF32count[[#This Row],[31-40]]/AF32percent[[Total Charge]:[Total Charge]])</f>
        <v>0</v>
      </c>
      <c r="G69">
        <f>(AF32count[[#This Row],[41-50]]/AF32percent[[Total Charge]:[Total Charge]])</f>
        <v>0.16666666666666666</v>
      </c>
      <c r="H69">
        <f>(AF32count[[#This Row],[51-60]]/AF32percent[[Total Charge]:[Total Charge]])</f>
        <v>0</v>
      </c>
      <c r="I69">
        <f>(AF32count[[#This Row],[61-70]]/AF32percent[[Total Charge]:[Total Charge]])</f>
        <v>0.16666666666666666</v>
      </c>
      <c r="J69">
        <f>(AF32count[[#This Row],[71-80]]/AF32percent[[Total Charge]:[Total Charge]])</f>
        <v>0</v>
      </c>
      <c r="K69">
        <f>(AF32count[[#This Row],[81-90]]/AF32percent[[Total Charge]:[Total Charge]])</f>
        <v>0</v>
      </c>
      <c r="L69">
        <f>(AF32count[[#This Row],[91-100]]/AF32percent[[Total Charge]:[Total Charge]])</f>
        <v>0.33333333333333331</v>
      </c>
      <c r="M69">
        <f>(AF32count[[#This Row],[101-110]]/AF32percent[[Total Charge]:[Total Charge]])</f>
        <v>0.16666666666666666</v>
      </c>
      <c r="N69">
        <f>(AF32count[[#This Row],[111-120]]/AF32percent[[Total Charge]:[Total Charge]])</f>
        <v>0.16666666666666666</v>
      </c>
      <c r="O69">
        <f>(AF32count[[#This Row],[121-130]]/AF32percent[[Total Charge]:[Total Charge]])</f>
        <v>0</v>
      </c>
      <c r="P69">
        <f>(AF32count[[#This Row],[131-140]]/AF32percent[[Total Charge]:[Total Charge]])</f>
        <v>0</v>
      </c>
      <c r="Q69">
        <v>0</v>
      </c>
      <c r="R69">
        <v>0</v>
      </c>
      <c r="S69" t="s">
        <v>73</v>
      </c>
      <c r="T69">
        <v>6</v>
      </c>
      <c r="U69" s="146">
        <v>1066.6666666666665</v>
      </c>
      <c r="V69" s="146">
        <v>940</v>
      </c>
      <c r="W69">
        <f t="shared" si="2"/>
        <v>88.125000000000014</v>
      </c>
    </row>
    <row r="70" spans="1:23" x14ac:dyDescent="0.25">
      <c r="A70" t="s">
        <v>361</v>
      </c>
      <c r="B70" s="146" t="s">
        <v>371</v>
      </c>
      <c r="C70">
        <f>(AF32count[[#This Row],[0-10]]/AF32percent[[Total Charge]:[Total Charge]])</f>
        <v>0</v>
      </c>
      <c r="D70">
        <f>(AF32count[[#This Row],[11-20]]/AF32percent[[Total Charge]:[Total Charge]])</f>
        <v>0</v>
      </c>
      <c r="E70">
        <f>(AF32count[[#This Row],[21-30]]/AF32percent[[Total Charge]:[Total Charge]])</f>
        <v>0</v>
      </c>
      <c r="F70">
        <f>(AF32count[[#This Row],[31-40]]/AF32percent[[Total Charge]:[Total Charge]])</f>
        <v>0</v>
      </c>
      <c r="G70">
        <f>(AF32count[[#This Row],[41-50]]/AF32percent[[Total Charge]:[Total Charge]])</f>
        <v>0.16666666666666666</v>
      </c>
      <c r="H70">
        <f>(AF32count[[#This Row],[51-60]]/AF32percent[[Total Charge]:[Total Charge]])</f>
        <v>0</v>
      </c>
      <c r="I70">
        <f>(AF32count[[#This Row],[61-70]]/AF32percent[[Total Charge]:[Total Charge]])</f>
        <v>0.16666666666666666</v>
      </c>
      <c r="J70">
        <f>(AF32count[[#This Row],[71-80]]/AF32percent[[Total Charge]:[Total Charge]])</f>
        <v>0</v>
      </c>
      <c r="K70">
        <f>(AF32count[[#This Row],[81-90]]/AF32percent[[Total Charge]:[Total Charge]])</f>
        <v>0</v>
      </c>
      <c r="L70">
        <f>(AF32count[[#This Row],[91-100]]/AF32percent[[Total Charge]:[Total Charge]])</f>
        <v>0.33333333333333331</v>
      </c>
      <c r="M70">
        <f>(AF32count[[#This Row],[101-110]]/AF32percent[[Total Charge]:[Total Charge]])</f>
        <v>0.16666666666666666</v>
      </c>
      <c r="N70">
        <f>(AF32count[[#This Row],[111-120]]/AF32percent[[Total Charge]:[Total Charge]])</f>
        <v>0.16666666666666666</v>
      </c>
      <c r="O70">
        <f>(AF32count[[#This Row],[121-130]]/AF32percent[[Total Charge]:[Total Charge]])</f>
        <v>0</v>
      </c>
      <c r="P70">
        <f>(AF32count[[#This Row],[131-140]]/AF32percent[[Total Charge]:[Total Charge]])</f>
        <v>0</v>
      </c>
      <c r="Q70">
        <v>0</v>
      </c>
      <c r="R70">
        <v>0</v>
      </c>
      <c r="S70" t="s">
        <v>73</v>
      </c>
      <c r="T70">
        <v>6</v>
      </c>
      <c r="U70" s="146">
        <v>1575</v>
      </c>
      <c r="V70" s="146">
        <v>1193.3332800000001</v>
      </c>
      <c r="W70">
        <f t="shared" si="2"/>
        <v>75.76719238095238</v>
      </c>
    </row>
    <row r="71" spans="1:23" x14ac:dyDescent="0.25">
      <c r="A71" t="s">
        <v>361</v>
      </c>
      <c r="B71" s="146" t="s">
        <v>372</v>
      </c>
      <c r="C71">
        <f>(AF32count[[#This Row],[0-10]]/AF32percent[[Total Charge]:[Total Charge]])</f>
        <v>0</v>
      </c>
      <c r="D71">
        <f>(AF32count[[#This Row],[11-20]]/AF32percent[[Total Charge]:[Total Charge]])</f>
        <v>0</v>
      </c>
      <c r="E71">
        <f>(AF32count[[#This Row],[21-30]]/AF32percent[[Total Charge]:[Total Charge]])</f>
        <v>0</v>
      </c>
      <c r="F71">
        <f>(AF32count[[#This Row],[31-40]]/AF32percent[[Total Charge]:[Total Charge]])</f>
        <v>0</v>
      </c>
      <c r="G71">
        <f>(AF32count[[#This Row],[41-50]]/AF32percent[[Total Charge]:[Total Charge]])</f>
        <v>0.16666666666666666</v>
      </c>
      <c r="H71">
        <f>(AF32count[[#This Row],[51-60]]/AF32percent[[Total Charge]:[Total Charge]])</f>
        <v>0</v>
      </c>
      <c r="I71">
        <f>(AF32count[[#This Row],[61-70]]/AF32percent[[Total Charge]:[Total Charge]])</f>
        <v>0.16666666666666666</v>
      </c>
      <c r="J71">
        <f>(AF32count[[#This Row],[71-80]]/AF32percent[[Total Charge]:[Total Charge]])</f>
        <v>0</v>
      </c>
      <c r="K71">
        <f>(AF32count[[#This Row],[81-90]]/AF32percent[[Total Charge]:[Total Charge]])</f>
        <v>0</v>
      </c>
      <c r="L71">
        <f>(AF32count[[#This Row],[91-100]]/AF32percent[[Total Charge]:[Total Charge]])</f>
        <v>0.33333333333333331</v>
      </c>
      <c r="M71">
        <f>(AF32count[[#This Row],[101-110]]/AF32percent[[Total Charge]:[Total Charge]])</f>
        <v>0.16666666666666666</v>
      </c>
      <c r="N71">
        <f>(AF32count[[#This Row],[111-120]]/AF32percent[[Total Charge]:[Total Charge]])</f>
        <v>0.16666666666666666</v>
      </c>
      <c r="O71">
        <f>(AF32count[[#This Row],[121-130]]/AF32percent[[Total Charge]:[Total Charge]])</f>
        <v>0</v>
      </c>
      <c r="P71">
        <f>(AF32count[[#This Row],[131-140]]/AF32percent[[Total Charge]:[Total Charge]])</f>
        <v>0</v>
      </c>
      <c r="Q71">
        <v>0</v>
      </c>
      <c r="R71">
        <v>0</v>
      </c>
      <c r="S71" t="s">
        <v>73</v>
      </c>
      <c r="T71">
        <v>6</v>
      </c>
      <c r="U71" s="146">
        <v>494.44444444444446</v>
      </c>
      <c r="V71" s="146">
        <v>400</v>
      </c>
      <c r="W71">
        <f t="shared" si="2"/>
        <v>80.898876404494374</v>
      </c>
    </row>
    <row r="72" spans="1:23" x14ac:dyDescent="0.25">
      <c r="A72" t="s">
        <v>117</v>
      </c>
      <c r="B72" s="146" t="s">
        <v>373</v>
      </c>
      <c r="C72">
        <f>(AF32count[[#This Row],[0-10]]/AF32percent[[Total Charge]:[Total Charge]])</f>
        <v>0</v>
      </c>
      <c r="D72">
        <f>(AF32count[[#This Row],[11-20]]/AF32percent[[Total Charge]:[Total Charge]])</f>
        <v>0</v>
      </c>
      <c r="E72">
        <f>(AF32count[[#This Row],[21-30]]/AF32percent[[Total Charge]:[Total Charge]])</f>
        <v>0</v>
      </c>
      <c r="F72">
        <f>(AF32count[[#This Row],[31-40]]/AF32percent[[Total Charge]:[Total Charge]])</f>
        <v>0</v>
      </c>
      <c r="G72">
        <f>(AF32count[[#This Row],[41-50]]/AF32percent[[Total Charge]:[Total Charge]])</f>
        <v>0</v>
      </c>
      <c r="H72">
        <f>(AF32count[[#This Row],[51-60]]/AF32percent[[Total Charge]:[Total Charge]])</f>
        <v>8.3333333333333329E-2</v>
      </c>
      <c r="I72">
        <f>(AF32count[[#This Row],[61-70]]/AF32percent[[Total Charge]:[Total Charge]])</f>
        <v>0.16666666666666666</v>
      </c>
      <c r="J72">
        <f>(AF32count[[#This Row],[71-80]]/AF32percent[[Total Charge]:[Total Charge]])</f>
        <v>0.33333333333333331</v>
      </c>
      <c r="K72">
        <f>(AF32count[[#This Row],[81-90]]/AF32percent[[Total Charge]:[Total Charge]])</f>
        <v>8.3333333333333329E-2</v>
      </c>
      <c r="L72">
        <f>(AF32count[[#This Row],[91-100]]/AF32percent[[Total Charge]:[Total Charge]])</f>
        <v>0.25</v>
      </c>
      <c r="M72">
        <f>(AF32count[[#This Row],[101-110]]/AF32percent[[Total Charge]:[Total Charge]])</f>
        <v>8.3333333333333329E-2</v>
      </c>
      <c r="N72">
        <f>(AF32count[[#This Row],[111-120]]/AF32percent[[Total Charge]:[Total Charge]])</f>
        <v>0</v>
      </c>
      <c r="O72">
        <f>(AF32count[[#This Row],[121-130]]/AF32percent[[Total Charge]:[Total Charge]])</f>
        <v>0</v>
      </c>
      <c r="P72">
        <f>(AF32count[[#This Row],[131-140]]/AF32percent[[Total Charge]:[Total Charge]])</f>
        <v>0</v>
      </c>
      <c r="Q72">
        <v>0</v>
      </c>
      <c r="R72">
        <v>0</v>
      </c>
      <c r="S72" t="s">
        <v>98</v>
      </c>
      <c r="T72">
        <v>12</v>
      </c>
      <c r="U72" s="146">
        <v>1683.3333333333335</v>
      </c>
      <c r="V72" s="146">
        <v>1489.9999600000001</v>
      </c>
      <c r="W72">
        <f>(V72/U72)*100</f>
        <v>88.51484910891088</v>
      </c>
    </row>
    <row r="73" spans="1:23" x14ac:dyDescent="0.25">
      <c r="A73" t="s">
        <v>120</v>
      </c>
      <c r="B73" s="146" t="s">
        <v>374</v>
      </c>
      <c r="C73">
        <f>(AF32count[[#This Row],[0-10]]/AF32percent[[Total Charge]:[Total Charge]])</f>
        <v>0</v>
      </c>
      <c r="D73">
        <f>(AF32count[[#This Row],[11-20]]/AF32percent[[Total Charge]:[Total Charge]])</f>
        <v>0</v>
      </c>
      <c r="E73">
        <f>(AF32count[[#This Row],[21-30]]/AF32percent[[Total Charge]:[Total Charge]])</f>
        <v>0</v>
      </c>
      <c r="F73">
        <f>(AF32count[[#This Row],[31-40]]/AF32percent[[Total Charge]:[Total Charge]])</f>
        <v>0</v>
      </c>
      <c r="G73">
        <f>(AF32count[[#This Row],[41-50]]/AF32percent[[Total Charge]:[Total Charge]])</f>
        <v>0</v>
      </c>
      <c r="H73">
        <f>(AF32count[[#This Row],[51-60]]/AF32percent[[Total Charge]:[Total Charge]])</f>
        <v>0.14285714285714285</v>
      </c>
      <c r="I73">
        <f>(AF32count[[#This Row],[61-70]]/AF32percent[[Total Charge]:[Total Charge]])</f>
        <v>0.14285714285714285</v>
      </c>
      <c r="J73">
        <f>(AF32count[[#This Row],[71-80]]/AF32percent[[Total Charge]:[Total Charge]])</f>
        <v>0.14285714285714285</v>
      </c>
      <c r="K73">
        <f>(AF32count[[#This Row],[81-90]]/AF32percent[[Total Charge]:[Total Charge]])</f>
        <v>0.14285714285714285</v>
      </c>
      <c r="L73">
        <f>(AF32count[[#This Row],[91-100]]/AF32percent[[Total Charge]:[Total Charge]])</f>
        <v>0.2857142857142857</v>
      </c>
      <c r="M73">
        <f>(AF32count[[#This Row],[101-110]]/AF32percent[[Total Charge]:[Total Charge]])</f>
        <v>0.14285714285714285</v>
      </c>
      <c r="N73">
        <f>(AF32count[[#This Row],[111-120]]/AF32percent[[Total Charge]:[Total Charge]])</f>
        <v>0</v>
      </c>
      <c r="O73">
        <f>(AF32count[[#This Row],[121-130]]/AF32percent[[Total Charge]:[Total Charge]])</f>
        <v>0</v>
      </c>
      <c r="P73">
        <f>(AF32count[[#This Row],[131-140]]/AF32percent[[Total Charge]:[Total Charge]])</f>
        <v>0</v>
      </c>
      <c r="T73">
        <v>7</v>
      </c>
      <c r="U73" s="146">
        <v>1583.3333333333335</v>
      </c>
      <c r="V73" s="146">
        <v>1363.33332</v>
      </c>
      <c r="W73">
        <f t="shared" ref="W73:W75" si="3">(V73/U73)*100</f>
        <v>86.10526231578946</v>
      </c>
    </row>
    <row r="74" spans="1:23" x14ac:dyDescent="0.25">
      <c r="A74" t="s">
        <v>120</v>
      </c>
      <c r="B74" s="146" t="s">
        <v>375</v>
      </c>
      <c r="C74">
        <f>(AF32count[[#This Row],[0-10]]/AF32percent[[Total Charge]:[Total Charge]])</f>
        <v>0</v>
      </c>
      <c r="D74">
        <f>(AF32count[[#This Row],[11-20]]/AF32percent[[Total Charge]:[Total Charge]])</f>
        <v>0</v>
      </c>
      <c r="E74">
        <f>(AF32count[[#This Row],[21-30]]/AF32percent[[Total Charge]:[Total Charge]])</f>
        <v>0</v>
      </c>
      <c r="F74">
        <f>(AF32count[[#This Row],[31-40]]/AF32percent[[Total Charge]:[Total Charge]])</f>
        <v>0</v>
      </c>
      <c r="G74">
        <f>(AF32count[[#This Row],[41-50]]/AF32percent[[Total Charge]:[Total Charge]])</f>
        <v>0</v>
      </c>
      <c r="H74">
        <f>(AF32count[[#This Row],[51-60]]/AF32percent[[Total Charge]:[Total Charge]])</f>
        <v>0.14285714285714285</v>
      </c>
      <c r="I74">
        <f>(AF32count[[#This Row],[61-70]]/AF32percent[[Total Charge]:[Total Charge]])</f>
        <v>0.14285714285714285</v>
      </c>
      <c r="J74">
        <f>(AF32count[[#This Row],[71-80]]/AF32percent[[Total Charge]:[Total Charge]])</f>
        <v>0.14285714285714285</v>
      </c>
      <c r="K74">
        <f>(AF32count[[#This Row],[81-90]]/AF32percent[[Total Charge]:[Total Charge]])</f>
        <v>0.14285714285714285</v>
      </c>
      <c r="L74">
        <f>(AF32count[[#This Row],[91-100]]/AF32percent[[Total Charge]:[Total Charge]])</f>
        <v>0.2857142857142857</v>
      </c>
      <c r="M74">
        <f>(AF32count[[#This Row],[101-110]]/AF32percent[[Total Charge]:[Total Charge]])</f>
        <v>0.14285714285714285</v>
      </c>
      <c r="N74">
        <f>(AF32count[[#This Row],[111-120]]/AF32percent[[Total Charge]:[Total Charge]])</f>
        <v>0</v>
      </c>
      <c r="O74">
        <f>(AF32count[[#This Row],[121-130]]/AF32percent[[Total Charge]:[Total Charge]])</f>
        <v>0</v>
      </c>
      <c r="P74">
        <f>(AF32count[[#This Row],[131-140]]/AF32percent[[Total Charge]:[Total Charge]])</f>
        <v>0</v>
      </c>
      <c r="T74">
        <v>7</v>
      </c>
      <c r="U74" s="146">
        <v>1730.5555555555554</v>
      </c>
      <c r="V74" s="146">
        <v>1223.33332</v>
      </c>
      <c r="W74">
        <f t="shared" si="3"/>
        <v>70.690207897271279</v>
      </c>
    </row>
    <row r="75" spans="1:23" x14ac:dyDescent="0.25">
      <c r="A75" t="s">
        <v>120</v>
      </c>
      <c r="B75" s="146" t="s">
        <v>376</v>
      </c>
      <c r="C75">
        <f>(AF32count[[#This Row],[0-10]]/AF32percent[[Total Charge]:[Total Charge]])</f>
        <v>0</v>
      </c>
      <c r="D75">
        <f>(AF32count[[#This Row],[11-20]]/AF32percent[[Total Charge]:[Total Charge]])</f>
        <v>0</v>
      </c>
      <c r="E75">
        <f>(AF32count[[#This Row],[21-30]]/AF32percent[[Total Charge]:[Total Charge]])</f>
        <v>0</v>
      </c>
      <c r="F75">
        <f>(AF32count[[#This Row],[31-40]]/AF32percent[[Total Charge]:[Total Charge]])</f>
        <v>0</v>
      </c>
      <c r="G75">
        <f>(AF32count[[#This Row],[41-50]]/AF32percent[[Total Charge]:[Total Charge]])</f>
        <v>0</v>
      </c>
      <c r="H75">
        <f>(AF32count[[#This Row],[51-60]]/AF32percent[[Total Charge]:[Total Charge]])</f>
        <v>0.14285714285714285</v>
      </c>
      <c r="I75">
        <f>(AF32count[[#This Row],[61-70]]/AF32percent[[Total Charge]:[Total Charge]])</f>
        <v>0.14285714285714285</v>
      </c>
      <c r="J75">
        <f>(AF32count[[#This Row],[71-80]]/AF32percent[[Total Charge]:[Total Charge]])</f>
        <v>0.14285714285714285</v>
      </c>
      <c r="K75">
        <f>(AF32count[[#This Row],[81-90]]/AF32percent[[Total Charge]:[Total Charge]])</f>
        <v>0.14285714285714285</v>
      </c>
      <c r="L75">
        <f>(AF32count[[#This Row],[91-100]]/AF32percent[[Total Charge]:[Total Charge]])</f>
        <v>0.2857142857142857</v>
      </c>
      <c r="M75">
        <f>(AF32count[[#This Row],[101-110]]/AF32percent[[Total Charge]:[Total Charge]])</f>
        <v>0.14285714285714285</v>
      </c>
      <c r="N75">
        <f>(AF32count[[#This Row],[111-120]]/AF32percent[[Total Charge]:[Total Charge]])</f>
        <v>0</v>
      </c>
      <c r="O75">
        <f>(AF32count[[#This Row],[121-130]]/AF32percent[[Total Charge]:[Total Charge]])</f>
        <v>0</v>
      </c>
      <c r="P75">
        <f>(AF32count[[#This Row],[131-140]]/AF32percent[[Total Charge]:[Total Charge]])</f>
        <v>0</v>
      </c>
      <c r="T75">
        <v>7</v>
      </c>
      <c r="U75" s="146">
        <v>1605.5555555555554</v>
      </c>
      <c r="V75" s="146">
        <v>824.99997999999994</v>
      </c>
      <c r="W75">
        <f t="shared" si="3"/>
        <v>51.384081799307957</v>
      </c>
    </row>
    <row r="76" spans="1:23" x14ac:dyDescent="0.25">
      <c r="A76" t="s">
        <v>122</v>
      </c>
      <c r="B76" s="146" t="s">
        <v>377</v>
      </c>
      <c r="C76">
        <f>(AF32count[[#This Row],[0-10]]/AF32percent[[Total Charge]:[Total Charge]])</f>
        <v>0</v>
      </c>
      <c r="D76">
        <f>(AF32count[[#This Row],[11-20]]/AF32percent[[Total Charge]:[Total Charge]])</f>
        <v>0</v>
      </c>
      <c r="E76">
        <f>(AF32count[[#This Row],[21-30]]/AF32percent[[Total Charge]:[Total Charge]])</f>
        <v>0</v>
      </c>
      <c r="F76">
        <f>(AF32count[[#This Row],[31-40]]/AF32percent[[Total Charge]:[Total Charge]])</f>
        <v>0</v>
      </c>
      <c r="G76">
        <f>(AF32count[[#This Row],[41-50]]/AF32percent[[Total Charge]:[Total Charge]])</f>
        <v>0.125</v>
      </c>
      <c r="H76">
        <f>(AF32count[[#This Row],[51-60]]/AF32percent[[Total Charge]:[Total Charge]])</f>
        <v>0</v>
      </c>
      <c r="I76">
        <f>(AF32count[[#This Row],[61-70]]/AF32percent[[Total Charge]:[Total Charge]])</f>
        <v>0.25</v>
      </c>
      <c r="J76">
        <f>(AF32count[[#This Row],[71-80]]/AF32percent[[Total Charge]:[Total Charge]])</f>
        <v>0.125</v>
      </c>
      <c r="K76">
        <f>(AF32count[[#This Row],[81-90]]/AF32percent[[Total Charge]:[Total Charge]])</f>
        <v>0.25</v>
      </c>
      <c r="L76">
        <f>(AF32count[[#This Row],[91-100]]/AF32percent[[Total Charge]:[Total Charge]])</f>
        <v>0.25</v>
      </c>
      <c r="M76">
        <f>(AF32count[[#This Row],[101-110]]/AF32percent[[Total Charge]:[Total Charge]])</f>
        <v>0</v>
      </c>
      <c r="N76">
        <f>(AF32count[[#This Row],[111-120]]/AF32percent[[Total Charge]:[Total Charge]])</f>
        <v>0</v>
      </c>
      <c r="O76">
        <f>(AF32count[[#This Row],[121-130]]/AF32percent[[Total Charge]:[Total Charge]])</f>
        <v>0</v>
      </c>
      <c r="P76">
        <f>(AF32count[[#This Row],[131-140]]/AF32percent[[Total Charge]:[Total Charge]])</f>
        <v>0</v>
      </c>
      <c r="T76">
        <v>8</v>
      </c>
      <c r="U76" s="146">
        <v>2216.6666666666665</v>
      </c>
      <c r="V76" s="146">
        <v>1383.33332</v>
      </c>
      <c r="W76">
        <f>(V76/U76)*100</f>
        <v>62.406014436090231</v>
      </c>
    </row>
    <row r="77" spans="1:23" x14ac:dyDescent="0.25">
      <c r="A77" t="s">
        <v>122</v>
      </c>
      <c r="B77" s="146" t="s">
        <v>378</v>
      </c>
      <c r="C77">
        <f>(AF32count[[#This Row],[0-10]]/AF32percent[[Total Charge]:[Total Charge]])</f>
        <v>0</v>
      </c>
      <c r="D77">
        <f>(AF32count[[#This Row],[11-20]]/AF32percent[[Total Charge]:[Total Charge]])</f>
        <v>0</v>
      </c>
      <c r="E77">
        <f>(AF32count[[#This Row],[21-30]]/AF32percent[[Total Charge]:[Total Charge]])</f>
        <v>0</v>
      </c>
      <c r="F77">
        <f>(AF32count[[#This Row],[31-40]]/AF32percent[[Total Charge]:[Total Charge]])</f>
        <v>0</v>
      </c>
      <c r="G77">
        <f>(AF32count[[#This Row],[41-50]]/AF32percent[[Total Charge]:[Total Charge]])</f>
        <v>0.125</v>
      </c>
      <c r="H77">
        <f>(AF32count[[#This Row],[51-60]]/AF32percent[[Total Charge]:[Total Charge]])</f>
        <v>0</v>
      </c>
      <c r="I77">
        <f>(AF32count[[#This Row],[61-70]]/AF32percent[[Total Charge]:[Total Charge]])</f>
        <v>0.25</v>
      </c>
      <c r="J77">
        <f>(AF32count[[#This Row],[71-80]]/AF32percent[[Total Charge]:[Total Charge]])</f>
        <v>0.125</v>
      </c>
      <c r="K77">
        <f>(AF32count[[#This Row],[81-90]]/AF32percent[[Total Charge]:[Total Charge]])</f>
        <v>0.25</v>
      </c>
      <c r="L77">
        <f>(AF32count[[#This Row],[91-100]]/AF32percent[[Total Charge]:[Total Charge]])</f>
        <v>0.25</v>
      </c>
      <c r="M77">
        <f>(AF32count[[#This Row],[101-110]]/AF32percent[[Total Charge]:[Total Charge]])</f>
        <v>0</v>
      </c>
      <c r="N77">
        <f>(AF32count[[#This Row],[111-120]]/AF32percent[[Total Charge]:[Total Charge]])</f>
        <v>0</v>
      </c>
      <c r="O77">
        <f>(AF32count[[#This Row],[121-130]]/AF32percent[[Total Charge]:[Total Charge]])</f>
        <v>0</v>
      </c>
      <c r="P77">
        <f>(AF32count[[#This Row],[131-140]]/AF32percent[[Total Charge]:[Total Charge]])</f>
        <v>0</v>
      </c>
      <c r="T77">
        <v>8</v>
      </c>
      <c r="U77" s="146">
        <v>1513.8888888888889</v>
      </c>
      <c r="V77" s="146">
        <v>886.66663999999992</v>
      </c>
      <c r="W77">
        <f>(V77/U77)*100</f>
        <v>58.568805577981642</v>
      </c>
    </row>
    <row r="78" spans="1:23" x14ac:dyDescent="0.25">
      <c r="A78" t="s">
        <v>123</v>
      </c>
      <c r="B78" s="146" t="s">
        <v>379</v>
      </c>
      <c r="C78">
        <f>(AF32count[[#This Row],[0-10]]/AF32percent[[Total Charge]:[Total Charge]])</f>
        <v>0</v>
      </c>
      <c r="D78">
        <f>(AF32count[[#This Row],[11-20]]/AF32percent[[Total Charge]:[Total Charge]])</f>
        <v>0</v>
      </c>
      <c r="E78">
        <f>(AF32count[[#This Row],[21-30]]/AF32percent[[Total Charge]:[Total Charge]])</f>
        <v>0</v>
      </c>
      <c r="F78">
        <f>(AF32count[[#This Row],[31-40]]/AF32percent[[Total Charge]:[Total Charge]])</f>
        <v>0</v>
      </c>
      <c r="G78">
        <f>(AF32count[[#This Row],[41-50]]/AF32percent[[Total Charge]:[Total Charge]])</f>
        <v>0</v>
      </c>
      <c r="H78">
        <f>(AF32count[[#This Row],[51-60]]/AF32percent[[Total Charge]:[Total Charge]])</f>
        <v>0</v>
      </c>
      <c r="I78">
        <f>(AF32count[[#This Row],[61-70]]/AF32percent[[Total Charge]:[Total Charge]])</f>
        <v>0.25</v>
      </c>
      <c r="J78">
        <f>(AF32count[[#This Row],[71-80]]/AF32percent[[Total Charge]:[Total Charge]])</f>
        <v>0.5</v>
      </c>
      <c r="K78">
        <f>(AF32count[[#This Row],[81-90]]/AF32percent[[Total Charge]:[Total Charge]])</f>
        <v>0</v>
      </c>
      <c r="L78">
        <f>(AF32count[[#This Row],[91-100]]/AF32percent[[Total Charge]:[Total Charge]])</f>
        <v>0.25</v>
      </c>
      <c r="M78">
        <f>(AF32count[[#This Row],[101-110]]/AF32percent[[Total Charge]:[Total Charge]])</f>
        <v>0</v>
      </c>
      <c r="N78">
        <f>(AF32count[[#This Row],[111-120]]/AF32percent[[Total Charge]:[Total Charge]])</f>
        <v>0</v>
      </c>
      <c r="O78">
        <f>(AF32count[[#This Row],[121-130]]/AF32percent[[Total Charge]:[Total Charge]])</f>
        <v>0</v>
      </c>
      <c r="P78">
        <f>(AF32count[[#This Row],[131-140]]/AF32percent[[Total Charge]:[Total Charge]])</f>
        <v>0</v>
      </c>
      <c r="T78">
        <v>4</v>
      </c>
      <c r="U78" s="146">
        <v>1722.2222222222222</v>
      </c>
      <c r="V78" s="146">
        <v>0</v>
      </c>
      <c r="W78">
        <f>(V78/U78)*100</f>
        <v>0</v>
      </c>
    </row>
    <row r="79" spans="1:23" x14ac:dyDescent="0.25">
      <c r="A79" t="s">
        <v>123</v>
      </c>
      <c r="B79" s="146" t="s">
        <v>380</v>
      </c>
      <c r="C79">
        <f>(AF32count[[#This Row],[0-10]]/AF32percent[[Total Charge]:[Total Charge]])</f>
        <v>0</v>
      </c>
      <c r="D79">
        <f>(AF32count[[#This Row],[11-20]]/AF32percent[[Total Charge]:[Total Charge]])</f>
        <v>0</v>
      </c>
      <c r="E79">
        <f>(AF32count[[#This Row],[21-30]]/AF32percent[[Total Charge]:[Total Charge]])</f>
        <v>0</v>
      </c>
      <c r="F79">
        <f>(AF32count[[#This Row],[31-40]]/AF32percent[[Total Charge]:[Total Charge]])</f>
        <v>0</v>
      </c>
      <c r="G79">
        <f>(AF32count[[#This Row],[41-50]]/AF32percent[[Total Charge]:[Total Charge]])</f>
        <v>0</v>
      </c>
      <c r="H79">
        <f>(AF32count[[#This Row],[51-60]]/AF32percent[[Total Charge]:[Total Charge]])</f>
        <v>0</v>
      </c>
      <c r="I79">
        <f>(AF32count[[#This Row],[61-70]]/AF32percent[[Total Charge]:[Total Charge]])</f>
        <v>0.25</v>
      </c>
      <c r="J79">
        <f>(AF32count[[#This Row],[71-80]]/AF32percent[[Total Charge]:[Total Charge]])</f>
        <v>0.5</v>
      </c>
      <c r="K79">
        <f>(AF32count[[#This Row],[81-90]]/AF32percent[[Total Charge]:[Total Charge]])</f>
        <v>0</v>
      </c>
      <c r="L79">
        <f>(AF32count[[#This Row],[91-100]]/AF32percent[[Total Charge]:[Total Charge]])</f>
        <v>0.25</v>
      </c>
      <c r="M79">
        <f>(AF32count[[#This Row],[101-110]]/AF32percent[[Total Charge]:[Total Charge]])</f>
        <v>0</v>
      </c>
      <c r="N79">
        <f>(AF32count[[#This Row],[111-120]]/AF32percent[[Total Charge]:[Total Charge]])</f>
        <v>0</v>
      </c>
      <c r="O79">
        <f>(AF32count[[#This Row],[121-130]]/AF32percent[[Total Charge]:[Total Charge]])</f>
        <v>0</v>
      </c>
      <c r="P79">
        <f>(AF32count[[#This Row],[131-140]]/AF32percent[[Total Charge]:[Total Charge]])</f>
        <v>0</v>
      </c>
      <c r="T79">
        <v>4</v>
      </c>
      <c r="U79" s="146">
        <v>2333.333333333333</v>
      </c>
      <c r="V79" s="146">
        <v>0</v>
      </c>
      <c r="W79">
        <f t="shared" ref="W79:W80" si="4">(V79/U79)*100</f>
        <v>0</v>
      </c>
    </row>
    <row r="80" spans="1:23" x14ac:dyDescent="0.25">
      <c r="A80" t="s">
        <v>123</v>
      </c>
      <c r="B80" s="146" t="s">
        <v>381</v>
      </c>
      <c r="C80">
        <f>(AF32count[[#This Row],[0-10]]/AF32percent[[Total Charge]:[Total Charge]])</f>
        <v>0</v>
      </c>
      <c r="D80">
        <f>(AF32count[[#This Row],[11-20]]/AF32percent[[Total Charge]:[Total Charge]])</f>
        <v>0</v>
      </c>
      <c r="E80">
        <f>(AF32count[[#This Row],[21-30]]/AF32percent[[Total Charge]:[Total Charge]])</f>
        <v>0</v>
      </c>
      <c r="F80">
        <f>(AF32count[[#This Row],[31-40]]/AF32percent[[Total Charge]:[Total Charge]])</f>
        <v>0</v>
      </c>
      <c r="G80">
        <f>(AF32count[[#This Row],[41-50]]/AF32percent[[Total Charge]:[Total Charge]])</f>
        <v>0</v>
      </c>
      <c r="H80">
        <f>(AF32count[[#This Row],[51-60]]/AF32percent[[Total Charge]:[Total Charge]])</f>
        <v>0</v>
      </c>
      <c r="I80">
        <f>(AF32count[[#This Row],[61-70]]/AF32percent[[Total Charge]:[Total Charge]])</f>
        <v>0.25</v>
      </c>
      <c r="J80">
        <f>(AF32count[[#This Row],[71-80]]/AF32percent[[Total Charge]:[Total Charge]])</f>
        <v>0.5</v>
      </c>
      <c r="K80">
        <f>(AF32count[[#This Row],[81-90]]/AF32percent[[Total Charge]:[Total Charge]])</f>
        <v>0</v>
      </c>
      <c r="L80">
        <f>(AF32count[[#This Row],[91-100]]/AF32percent[[Total Charge]:[Total Charge]])</f>
        <v>0.25</v>
      </c>
      <c r="M80">
        <f>(AF32count[[#This Row],[101-110]]/AF32percent[[Total Charge]:[Total Charge]])</f>
        <v>0</v>
      </c>
      <c r="N80">
        <f>(AF32count[[#This Row],[111-120]]/AF32percent[[Total Charge]:[Total Charge]])</f>
        <v>0</v>
      </c>
      <c r="O80">
        <f>(AF32count[[#This Row],[121-130]]/AF32percent[[Total Charge]:[Total Charge]])</f>
        <v>0</v>
      </c>
      <c r="P80">
        <f>(AF32count[[#This Row],[131-140]]/AF32percent[[Total Charge]:[Total Charge]])</f>
        <v>0</v>
      </c>
      <c r="T80">
        <v>4</v>
      </c>
      <c r="U80" s="146">
        <v>1750.0000000000002</v>
      </c>
      <c r="V80" s="146">
        <v>140</v>
      </c>
      <c r="W80">
        <f t="shared" si="4"/>
        <v>7.9999999999999991</v>
      </c>
    </row>
    <row r="81" spans="1:23" x14ac:dyDescent="0.25">
      <c r="A81" t="s">
        <v>123</v>
      </c>
      <c r="B81" s="146" t="s">
        <v>382</v>
      </c>
      <c r="C81">
        <f>(AF32count[[#This Row],[0-10]]/AF32percent[[Total Charge]:[Total Charge]])</f>
        <v>0</v>
      </c>
      <c r="D81">
        <f>(AF32count[[#This Row],[11-20]]/AF32percent[[Total Charge]:[Total Charge]])</f>
        <v>0</v>
      </c>
      <c r="E81">
        <f>(AF32count[[#This Row],[21-30]]/AF32percent[[Total Charge]:[Total Charge]])</f>
        <v>0</v>
      </c>
      <c r="F81">
        <f>(AF32count[[#This Row],[31-40]]/AF32percent[[Total Charge]:[Total Charge]])</f>
        <v>0</v>
      </c>
      <c r="G81">
        <f>(AF32count[[#This Row],[41-50]]/AF32percent[[Total Charge]:[Total Charge]])</f>
        <v>0</v>
      </c>
      <c r="H81">
        <f>(AF32count[[#This Row],[51-60]]/AF32percent[[Total Charge]:[Total Charge]])</f>
        <v>0</v>
      </c>
      <c r="I81">
        <f>(AF32count[[#This Row],[61-70]]/AF32percent[[Total Charge]:[Total Charge]])</f>
        <v>0.25</v>
      </c>
      <c r="J81">
        <f>(AF32count[[#This Row],[71-80]]/AF32percent[[Total Charge]:[Total Charge]])</f>
        <v>0.5</v>
      </c>
      <c r="K81">
        <f>(AF32count[[#This Row],[81-90]]/AF32percent[[Total Charge]:[Total Charge]])</f>
        <v>0</v>
      </c>
      <c r="L81">
        <f>(AF32count[[#This Row],[91-100]]/AF32percent[[Total Charge]:[Total Charge]])</f>
        <v>0.25</v>
      </c>
      <c r="M81">
        <f>(AF32count[[#This Row],[101-110]]/AF32percent[[Total Charge]:[Total Charge]])</f>
        <v>0</v>
      </c>
      <c r="N81">
        <f>(AF32count[[#This Row],[111-120]]/AF32percent[[Total Charge]:[Total Charge]])</f>
        <v>0</v>
      </c>
      <c r="O81">
        <f>(AF32count[[#This Row],[121-130]]/AF32percent[[Total Charge]:[Total Charge]])</f>
        <v>0</v>
      </c>
      <c r="P81">
        <f>(AF32count[[#This Row],[131-140]]/AF32percent[[Total Charge]:[Total Charge]])</f>
        <v>0</v>
      </c>
      <c r="T81">
        <v>4</v>
      </c>
      <c r="U81" s="146">
        <v>1152.7777777777778</v>
      </c>
      <c r="V81" s="146">
        <v>140</v>
      </c>
      <c r="W81">
        <f>(V81/U81)*100</f>
        <v>12.144578313253012</v>
      </c>
    </row>
    <row r="82" spans="1:23" x14ac:dyDescent="0.25">
      <c r="A82" t="s">
        <v>123</v>
      </c>
      <c r="B82" s="146" t="s">
        <v>383</v>
      </c>
      <c r="C82">
        <f>(AF32count[[#This Row],[0-10]]/AF32percent[[Total Charge]:[Total Charge]])</f>
        <v>0</v>
      </c>
      <c r="D82">
        <f>(AF32count[[#This Row],[11-20]]/AF32percent[[Total Charge]:[Total Charge]])</f>
        <v>0</v>
      </c>
      <c r="E82">
        <f>(AF32count[[#This Row],[21-30]]/AF32percent[[Total Charge]:[Total Charge]])</f>
        <v>0</v>
      </c>
      <c r="F82">
        <f>(AF32count[[#This Row],[31-40]]/AF32percent[[Total Charge]:[Total Charge]])</f>
        <v>0</v>
      </c>
      <c r="G82">
        <f>(AF32count[[#This Row],[41-50]]/AF32percent[[Total Charge]:[Total Charge]])</f>
        <v>0</v>
      </c>
      <c r="H82">
        <f>(AF32count[[#This Row],[51-60]]/AF32percent[[Total Charge]:[Total Charge]])</f>
        <v>0</v>
      </c>
      <c r="I82">
        <f>(AF32count[[#This Row],[61-70]]/AF32percent[[Total Charge]:[Total Charge]])</f>
        <v>0.25</v>
      </c>
      <c r="J82">
        <f>(AF32count[[#This Row],[71-80]]/AF32percent[[Total Charge]:[Total Charge]])</f>
        <v>0.5</v>
      </c>
      <c r="K82">
        <f>(AF32count[[#This Row],[81-90]]/AF32percent[[Total Charge]:[Total Charge]])</f>
        <v>0</v>
      </c>
      <c r="L82">
        <f>(AF32count[[#This Row],[91-100]]/AF32percent[[Total Charge]:[Total Charge]])</f>
        <v>0.25</v>
      </c>
      <c r="M82">
        <f>(AF32count[[#This Row],[101-110]]/AF32percent[[Total Charge]:[Total Charge]])</f>
        <v>0</v>
      </c>
      <c r="N82">
        <f>(AF32count[[#This Row],[111-120]]/AF32percent[[Total Charge]:[Total Charge]])</f>
        <v>0</v>
      </c>
      <c r="O82">
        <f>(AF32count[[#This Row],[121-130]]/AF32percent[[Total Charge]:[Total Charge]])</f>
        <v>0</v>
      </c>
      <c r="P82">
        <f>(AF32count[[#This Row],[131-140]]/AF32percent[[Total Charge]:[Total Charge]])</f>
        <v>0</v>
      </c>
      <c r="T82">
        <v>4</v>
      </c>
      <c r="U82" s="146">
        <v>1650</v>
      </c>
      <c r="V82" s="146">
        <v>580</v>
      </c>
      <c r="W82">
        <f>(V82/U82)*100</f>
        <v>35.151515151515149</v>
      </c>
    </row>
    <row r="83" spans="1:23" x14ac:dyDescent="0.25">
      <c r="A83" t="s">
        <v>123</v>
      </c>
      <c r="B83" s="146" t="s">
        <v>384</v>
      </c>
      <c r="C83">
        <f>(AF32count[[#This Row],[0-10]]/AF32percent[[Total Charge]:[Total Charge]])</f>
        <v>0</v>
      </c>
      <c r="D83">
        <f>(AF32count[[#This Row],[11-20]]/AF32percent[[Total Charge]:[Total Charge]])</f>
        <v>0</v>
      </c>
      <c r="E83">
        <f>(AF32count[[#This Row],[21-30]]/AF32percent[[Total Charge]:[Total Charge]])</f>
        <v>0</v>
      </c>
      <c r="F83">
        <f>(AF32count[[#This Row],[31-40]]/AF32percent[[Total Charge]:[Total Charge]])</f>
        <v>0</v>
      </c>
      <c r="G83">
        <f>(AF32count[[#This Row],[41-50]]/AF32percent[[Total Charge]:[Total Charge]])</f>
        <v>0</v>
      </c>
      <c r="H83">
        <f>(AF32count[[#This Row],[51-60]]/AF32percent[[Total Charge]:[Total Charge]])</f>
        <v>0</v>
      </c>
      <c r="I83">
        <f>(AF32count[[#This Row],[61-70]]/AF32percent[[Total Charge]:[Total Charge]])</f>
        <v>0.25</v>
      </c>
      <c r="J83">
        <f>(AF32count[[#This Row],[71-80]]/AF32percent[[Total Charge]:[Total Charge]])</f>
        <v>0.5</v>
      </c>
      <c r="K83">
        <f>(AF32count[[#This Row],[81-90]]/AF32percent[[Total Charge]:[Total Charge]])</f>
        <v>0</v>
      </c>
      <c r="L83">
        <f>(AF32count[[#This Row],[91-100]]/AF32percent[[Total Charge]:[Total Charge]])</f>
        <v>0.25</v>
      </c>
      <c r="M83">
        <f>(AF32count[[#This Row],[101-110]]/AF32percent[[Total Charge]:[Total Charge]])</f>
        <v>0</v>
      </c>
      <c r="N83">
        <f>(AF32count[[#This Row],[111-120]]/AF32percent[[Total Charge]:[Total Charge]])</f>
        <v>0</v>
      </c>
      <c r="O83">
        <f>(AF32count[[#This Row],[121-130]]/AF32percent[[Total Charge]:[Total Charge]])</f>
        <v>0</v>
      </c>
      <c r="P83">
        <f>(AF32count[[#This Row],[131-140]]/AF32percent[[Total Charge]:[Total Charge]])</f>
        <v>0</v>
      </c>
      <c r="T83">
        <v>4</v>
      </c>
      <c r="U83" s="146">
        <v>1672.2222222222224</v>
      </c>
      <c r="V83" s="146">
        <v>1043.33332</v>
      </c>
      <c r="W83">
        <f>(V83/U83)*100</f>
        <v>62.39202578073089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S17" sqref="S17"/>
    </sheetView>
  </sheetViews>
  <sheetFormatPr defaultRowHeight="15" x14ac:dyDescent="0.25"/>
  <cols>
    <col min="1" max="1" width="13.140625" bestFit="1" customWidth="1"/>
    <col min="2" max="2" width="18.28515625" bestFit="1" customWidth="1"/>
    <col min="3" max="3" width="21.7109375" bestFit="1" customWidth="1"/>
    <col min="4" max="4" width="15.7109375" bestFit="1" customWidth="1"/>
  </cols>
  <sheetData>
    <row r="3" spans="1:4" x14ac:dyDescent="0.25">
      <c r="A3" s="147" t="s">
        <v>208</v>
      </c>
      <c r="B3" t="s">
        <v>249</v>
      </c>
      <c r="C3" t="s">
        <v>250</v>
      </c>
      <c r="D3" t="s">
        <v>385</v>
      </c>
    </row>
    <row r="4" spans="1:4" x14ac:dyDescent="0.25">
      <c r="A4" s="109" t="s">
        <v>386</v>
      </c>
      <c r="B4" s="148">
        <v>6013.8888888888878</v>
      </c>
      <c r="C4" s="148">
        <v>1420</v>
      </c>
      <c r="D4" s="149">
        <v>23.612009237875291</v>
      </c>
    </row>
    <row r="5" spans="1:4" x14ac:dyDescent="0.25">
      <c r="A5" s="109" t="s">
        <v>387</v>
      </c>
      <c r="B5" s="148">
        <v>3506.666666666667</v>
      </c>
      <c r="C5" s="148">
        <v>20</v>
      </c>
      <c r="D5" s="149">
        <v>0.5703422053231938</v>
      </c>
    </row>
    <row r="6" spans="1:4" x14ac:dyDescent="0.25">
      <c r="A6" s="109" t="s">
        <v>307</v>
      </c>
      <c r="B6" s="148">
        <v>10240.555555555555</v>
      </c>
      <c r="C6" s="148">
        <v>7976.6665199999998</v>
      </c>
      <c r="D6" s="149">
        <v>77.892908023653234</v>
      </c>
    </row>
    <row r="7" spans="1:4" x14ac:dyDescent="0.25">
      <c r="A7" s="109" t="s">
        <v>321</v>
      </c>
      <c r="B7" s="148">
        <v>9617.2222222222226</v>
      </c>
      <c r="C7" s="148">
        <v>1641.6666599999999</v>
      </c>
      <c r="D7" s="149">
        <v>17.070070983767543</v>
      </c>
    </row>
    <row r="8" spans="1:4" x14ac:dyDescent="0.25">
      <c r="A8" s="109" t="s">
        <v>327</v>
      </c>
      <c r="B8" s="148">
        <v>8428.8888888888887</v>
      </c>
      <c r="C8" s="148">
        <v>5466.6665599999997</v>
      </c>
      <c r="D8" s="149">
        <v>64.856312997627214</v>
      </c>
    </row>
    <row r="9" spans="1:4" x14ac:dyDescent="0.25">
      <c r="A9" s="109" t="s">
        <v>24</v>
      </c>
      <c r="B9" s="148">
        <v>19789.444444444445</v>
      </c>
      <c r="C9" s="148">
        <v>14949.999879999999</v>
      </c>
      <c r="D9" s="149">
        <v>75.545323780915737</v>
      </c>
    </row>
    <row r="10" spans="1:4" x14ac:dyDescent="0.25">
      <c r="A10" s="109" t="s">
        <v>335</v>
      </c>
      <c r="B10" s="148">
        <v>4907.7777777777774</v>
      </c>
      <c r="C10" s="148">
        <v>3159.9999200000002</v>
      </c>
      <c r="D10" s="149">
        <v>64.387591759112524</v>
      </c>
    </row>
    <row r="11" spans="1:4" x14ac:dyDescent="0.25">
      <c r="A11" s="109" t="s">
        <v>26</v>
      </c>
      <c r="B11" s="148">
        <v>2113.8888888888891</v>
      </c>
      <c r="C11" s="148">
        <v>1004.9999799999999</v>
      </c>
      <c r="D11" s="149">
        <v>47.542706018396835</v>
      </c>
    </row>
    <row r="12" spans="1:4" x14ac:dyDescent="0.25">
      <c r="A12" s="109" t="s">
        <v>357</v>
      </c>
      <c r="B12" s="148">
        <v>1536.1111111111113</v>
      </c>
      <c r="C12" s="148">
        <v>1040</v>
      </c>
      <c r="D12" s="149">
        <v>67.703435804701613</v>
      </c>
    </row>
    <row r="13" spans="1:4" x14ac:dyDescent="0.25">
      <c r="A13" s="109" t="s">
        <v>361</v>
      </c>
      <c r="B13" s="148">
        <v>14306.666666666668</v>
      </c>
      <c r="C13" s="148">
        <v>9411.6664599999986</v>
      </c>
      <c r="D13" s="149">
        <v>65.785180288909586</v>
      </c>
    </row>
    <row r="14" spans="1:4" x14ac:dyDescent="0.25">
      <c r="A14" s="109" t="s">
        <v>117</v>
      </c>
      <c r="B14" s="148">
        <v>1683.3333333333335</v>
      </c>
      <c r="C14" s="148">
        <v>1489.9999600000001</v>
      </c>
      <c r="D14" s="149">
        <v>88.51484910891088</v>
      </c>
    </row>
    <row r="15" spans="1:4" x14ac:dyDescent="0.25">
      <c r="A15" s="109" t="s">
        <v>120</v>
      </c>
      <c r="B15" s="148">
        <v>4919.4444444444443</v>
      </c>
      <c r="C15" s="148">
        <v>3411.66662</v>
      </c>
      <c r="D15" s="149">
        <v>69.35064840203276</v>
      </c>
    </row>
    <row r="16" spans="1:4" x14ac:dyDescent="0.25">
      <c r="A16" s="109" t="s">
        <v>122</v>
      </c>
      <c r="B16" s="148">
        <v>3730.5555555555557</v>
      </c>
      <c r="C16" s="148">
        <v>2269.9999600000001</v>
      </c>
      <c r="D16" s="149">
        <v>60.848844795234548</v>
      </c>
    </row>
    <row r="17" spans="1:4" x14ac:dyDescent="0.25">
      <c r="A17" s="109" t="s">
        <v>123</v>
      </c>
      <c r="B17" s="148">
        <v>10280.555555555557</v>
      </c>
      <c r="C17" s="148">
        <v>1903.33332</v>
      </c>
      <c r="D17" s="149">
        <v>18.513915028370707</v>
      </c>
    </row>
    <row r="18" spans="1:4" x14ac:dyDescent="0.25">
      <c r="A18" s="109" t="s">
        <v>209</v>
      </c>
      <c r="B18" s="148">
        <v>101075</v>
      </c>
      <c r="C18" s="148">
        <v>55166.665839999994</v>
      </c>
      <c r="D18" s="149">
        <v>54.579931575562689</v>
      </c>
    </row>
  </sheetData>
  <pageMargins left="0.7" right="0.7" top="0.75" bottom="0.75" header="0.3" footer="0.3"/>
  <pageSetup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150" zoomScaleNormal="150" workbookViewId="0">
      <selection activeCell="R21" sqref="R21"/>
    </sheetView>
  </sheetViews>
  <sheetFormatPr defaultRowHeight="15" x14ac:dyDescent="0.25"/>
  <sheetData>
    <row r="1" spans="1:1" x14ac:dyDescent="0.25">
      <c r="A1" s="17" t="s">
        <v>128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zoomScale="85" zoomScaleNormal="85" workbookViewId="0">
      <pane ySplit="1" topLeftCell="A2" activePane="bottomLeft" state="frozen"/>
      <selection pane="bottomLeft" activeCell="B45" sqref="B45:B48"/>
    </sheetView>
  </sheetViews>
  <sheetFormatPr defaultRowHeight="15" x14ac:dyDescent="0.25"/>
  <cols>
    <col min="2" max="5" width="10.7109375" customWidth="1"/>
    <col min="6" max="6" width="11.140625" bestFit="1" customWidth="1"/>
    <col min="7" max="14" width="10.7109375" customWidth="1"/>
  </cols>
  <sheetData>
    <row r="1" spans="2:14" ht="30" x14ac:dyDescent="0.25">
      <c r="B1" s="122" t="s">
        <v>107</v>
      </c>
      <c r="C1" s="122" t="s">
        <v>100</v>
      </c>
      <c r="D1" s="122" t="s">
        <v>101</v>
      </c>
      <c r="E1" s="122" t="s">
        <v>102</v>
      </c>
      <c r="F1" s="122" t="s">
        <v>103</v>
      </c>
      <c r="G1" s="122" t="s">
        <v>104</v>
      </c>
      <c r="H1" s="122" t="s">
        <v>108</v>
      </c>
      <c r="I1" s="122" t="s">
        <v>10</v>
      </c>
      <c r="J1" s="122" t="s">
        <v>109</v>
      </c>
      <c r="K1" s="122" t="s">
        <v>110</v>
      </c>
      <c r="L1" s="122" t="s">
        <v>111</v>
      </c>
      <c r="M1" s="122" t="s">
        <v>112</v>
      </c>
      <c r="N1" s="122" t="s">
        <v>113</v>
      </c>
    </row>
    <row r="2" spans="2:14" x14ac:dyDescent="0.25">
      <c r="B2" s="169" t="s">
        <v>26</v>
      </c>
      <c r="C2" s="7">
        <v>709</v>
      </c>
      <c r="D2" s="7">
        <v>76</v>
      </c>
      <c r="E2" s="7"/>
      <c r="F2" s="7"/>
      <c r="G2" s="123">
        <v>86</v>
      </c>
      <c r="H2" s="123"/>
      <c r="I2" s="169">
        <v>75.8</v>
      </c>
      <c r="J2" s="169">
        <v>43.9</v>
      </c>
      <c r="K2" s="169">
        <v>2260</v>
      </c>
      <c r="L2" s="171">
        <v>1928.5</v>
      </c>
      <c r="M2" s="173">
        <v>1</v>
      </c>
      <c r="N2" s="155" t="s">
        <v>114</v>
      </c>
    </row>
    <row r="3" spans="2:14" x14ac:dyDescent="0.25">
      <c r="B3" s="169"/>
      <c r="C3" s="7">
        <v>710</v>
      </c>
      <c r="D3" s="7">
        <v>79</v>
      </c>
      <c r="E3" s="7"/>
      <c r="F3" s="7"/>
      <c r="G3" s="123">
        <v>82</v>
      </c>
      <c r="H3" s="123"/>
      <c r="I3" s="169"/>
      <c r="J3" s="169"/>
      <c r="K3" s="169"/>
      <c r="L3" s="171"/>
      <c r="M3" s="173"/>
      <c r="N3" s="155"/>
    </row>
    <row r="4" spans="2:14" x14ac:dyDescent="0.25">
      <c r="B4" s="169"/>
      <c r="C4" s="7">
        <v>711</v>
      </c>
      <c r="D4" s="7">
        <v>65</v>
      </c>
      <c r="E4" s="7"/>
      <c r="F4" s="7"/>
      <c r="G4" s="123">
        <v>84</v>
      </c>
      <c r="H4" s="123"/>
      <c r="I4" s="169"/>
      <c r="J4" s="169"/>
      <c r="K4" s="169"/>
      <c r="L4" s="171"/>
      <c r="M4" s="173"/>
      <c r="N4" s="155"/>
    </row>
    <row r="5" spans="2:14" x14ac:dyDescent="0.25">
      <c r="B5" s="169"/>
      <c r="C5" s="7">
        <v>712</v>
      </c>
      <c r="D5" s="7">
        <v>75</v>
      </c>
      <c r="E5" s="7"/>
      <c r="F5" s="7"/>
      <c r="G5" s="123">
        <v>82</v>
      </c>
      <c r="H5" s="123"/>
      <c r="I5" s="169"/>
      <c r="J5" s="169"/>
      <c r="K5" s="169"/>
      <c r="L5" s="171"/>
      <c r="M5" s="173"/>
      <c r="N5" s="155"/>
    </row>
    <row r="6" spans="2:14" x14ac:dyDescent="0.25">
      <c r="B6" s="169"/>
      <c r="C6" s="7">
        <v>713</v>
      </c>
      <c r="D6" s="7">
        <v>52</v>
      </c>
      <c r="E6" s="7"/>
      <c r="F6" s="7"/>
      <c r="G6" s="123">
        <v>81</v>
      </c>
      <c r="H6" s="123"/>
      <c r="I6" s="169"/>
      <c r="J6" s="169"/>
      <c r="K6" s="169"/>
      <c r="L6" s="171"/>
      <c r="M6" s="173"/>
      <c r="N6" s="155"/>
    </row>
    <row r="7" spans="2:14" x14ac:dyDescent="0.25">
      <c r="B7" s="169"/>
      <c r="C7" s="7">
        <v>714</v>
      </c>
      <c r="D7" s="7">
        <v>88</v>
      </c>
      <c r="E7" s="7"/>
      <c r="F7" s="7"/>
      <c r="G7" s="123">
        <v>87</v>
      </c>
      <c r="H7" s="123"/>
      <c r="I7" s="169"/>
      <c r="J7" s="169"/>
      <c r="K7" s="169"/>
      <c r="L7" s="171"/>
      <c r="M7" s="173"/>
      <c r="N7" s="155"/>
    </row>
    <row r="8" spans="2:14" x14ac:dyDescent="0.25">
      <c r="B8" s="169"/>
      <c r="C8" s="7">
        <v>715</v>
      </c>
      <c r="D8" s="7">
        <v>111</v>
      </c>
      <c r="E8" s="7"/>
      <c r="F8" s="7"/>
      <c r="G8" s="123">
        <v>85</v>
      </c>
      <c r="H8" s="123"/>
      <c r="I8" s="169"/>
      <c r="J8" s="169"/>
      <c r="K8" s="169"/>
      <c r="L8" s="171"/>
      <c r="M8" s="173"/>
      <c r="N8" s="155"/>
    </row>
    <row r="9" spans="2:14" x14ac:dyDescent="0.25">
      <c r="B9" s="170"/>
      <c r="C9" s="124">
        <v>716</v>
      </c>
      <c r="D9" s="124">
        <v>111</v>
      </c>
      <c r="E9" s="124"/>
      <c r="F9" s="124"/>
      <c r="G9" s="125">
        <v>84</v>
      </c>
      <c r="H9" s="125"/>
      <c r="I9" s="170"/>
      <c r="J9" s="170"/>
      <c r="K9" s="170"/>
      <c r="L9" s="172"/>
      <c r="M9" s="174"/>
      <c r="N9" s="156"/>
    </row>
    <row r="10" spans="2:14" x14ac:dyDescent="0.25">
      <c r="B10" s="157" t="s">
        <v>115</v>
      </c>
      <c r="C10" s="126">
        <v>717</v>
      </c>
      <c r="D10" s="126">
        <v>97</v>
      </c>
      <c r="E10" s="126">
        <v>43</v>
      </c>
      <c r="F10" s="126">
        <v>5479</v>
      </c>
      <c r="G10" s="127">
        <v>87</v>
      </c>
      <c r="H10" s="128">
        <v>1</v>
      </c>
      <c r="I10" s="157">
        <v>78</v>
      </c>
      <c r="J10" s="157">
        <v>42.6</v>
      </c>
      <c r="K10" s="157">
        <v>2080</v>
      </c>
      <c r="L10" s="160">
        <v>34713</v>
      </c>
      <c r="M10" s="163">
        <v>18</v>
      </c>
      <c r="N10" s="166" t="s">
        <v>116</v>
      </c>
    </row>
    <row r="11" spans="2:14" x14ac:dyDescent="0.25">
      <c r="B11" s="158"/>
      <c r="C11" s="129">
        <v>720</v>
      </c>
      <c r="D11" s="129">
        <v>69</v>
      </c>
      <c r="E11" s="129">
        <v>42.4</v>
      </c>
      <c r="F11" s="129">
        <v>2839</v>
      </c>
      <c r="G11" s="130">
        <v>87</v>
      </c>
      <c r="H11" s="131">
        <v>1</v>
      </c>
      <c r="I11" s="158"/>
      <c r="J11" s="158"/>
      <c r="K11" s="158"/>
      <c r="L11" s="161"/>
      <c r="M11" s="164"/>
      <c r="N11" s="167"/>
    </row>
    <row r="12" spans="2:14" x14ac:dyDescent="0.25">
      <c r="B12" s="158"/>
      <c r="C12" s="129">
        <v>723</v>
      </c>
      <c r="D12" s="129">
        <v>91</v>
      </c>
      <c r="E12" s="129">
        <v>42.6</v>
      </c>
      <c r="F12" s="129">
        <v>4619</v>
      </c>
      <c r="G12" s="130">
        <v>87.8</v>
      </c>
      <c r="H12" s="131">
        <v>0.5</v>
      </c>
      <c r="I12" s="158"/>
      <c r="J12" s="158"/>
      <c r="K12" s="158"/>
      <c r="L12" s="161"/>
      <c r="M12" s="164"/>
      <c r="N12" s="167"/>
    </row>
    <row r="13" spans="2:14" x14ac:dyDescent="0.25">
      <c r="B13" s="158"/>
      <c r="C13" s="129">
        <v>725</v>
      </c>
      <c r="D13" s="129">
        <v>100.1</v>
      </c>
      <c r="E13" s="129">
        <v>43.1</v>
      </c>
      <c r="F13" s="129">
        <v>3319</v>
      </c>
      <c r="G13" s="130">
        <v>87.12</v>
      </c>
      <c r="H13" s="131">
        <v>1</v>
      </c>
      <c r="I13" s="158"/>
      <c r="J13" s="158"/>
      <c r="K13" s="158"/>
      <c r="L13" s="161"/>
      <c r="M13" s="164"/>
      <c r="N13" s="167"/>
    </row>
    <row r="14" spans="2:14" x14ac:dyDescent="0.25">
      <c r="B14" s="158"/>
      <c r="C14" s="129">
        <v>729</v>
      </c>
      <c r="D14" s="129">
        <v>49</v>
      </c>
      <c r="E14" s="129"/>
      <c r="F14" s="129">
        <v>2379</v>
      </c>
      <c r="G14" s="130">
        <v>87</v>
      </c>
      <c r="H14" s="131">
        <v>1</v>
      </c>
      <c r="I14" s="158"/>
      <c r="J14" s="158"/>
      <c r="K14" s="158"/>
      <c r="L14" s="161"/>
      <c r="M14" s="164"/>
      <c r="N14" s="167"/>
    </row>
    <row r="15" spans="2:14" x14ac:dyDescent="0.25">
      <c r="B15" s="158"/>
      <c r="C15" s="129">
        <v>732</v>
      </c>
      <c r="D15" s="129">
        <v>116</v>
      </c>
      <c r="E15" s="129"/>
      <c r="F15" s="129"/>
      <c r="G15" s="130">
        <v>87</v>
      </c>
      <c r="H15" s="131">
        <v>1</v>
      </c>
      <c r="I15" s="158"/>
      <c r="J15" s="158"/>
      <c r="K15" s="158"/>
      <c r="L15" s="161"/>
      <c r="M15" s="164"/>
      <c r="N15" s="167"/>
    </row>
    <row r="16" spans="2:14" x14ac:dyDescent="0.25">
      <c r="B16" s="159"/>
      <c r="C16" s="94">
        <v>735</v>
      </c>
      <c r="D16" s="94">
        <v>108</v>
      </c>
      <c r="E16" s="94"/>
      <c r="F16" s="94"/>
      <c r="G16" s="132">
        <v>87</v>
      </c>
      <c r="H16" s="133">
        <v>0.33</v>
      </c>
      <c r="I16" s="159"/>
      <c r="J16" s="159"/>
      <c r="K16" s="159"/>
      <c r="L16" s="162"/>
      <c r="M16" s="165"/>
      <c r="N16" s="168"/>
    </row>
    <row r="17" spans="2:14" x14ac:dyDescent="0.25">
      <c r="B17" s="177" t="s">
        <v>117</v>
      </c>
      <c r="C17" s="134">
        <v>718</v>
      </c>
      <c r="D17" s="134">
        <v>65</v>
      </c>
      <c r="E17" s="134"/>
      <c r="F17" s="134"/>
      <c r="G17" s="135">
        <v>82</v>
      </c>
      <c r="H17" s="136"/>
      <c r="I17" s="177">
        <v>76</v>
      </c>
      <c r="J17" s="177">
        <v>43.1</v>
      </c>
      <c r="K17" s="177">
        <v>2340</v>
      </c>
      <c r="L17" s="178">
        <v>551</v>
      </c>
      <c r="M17" s="179">
        <v>1</v>
      </c>
      <c r="N17" s="175" t="s">
        <v>114</v>
      </c>
    </row>
    <row r="18" spans="2:14" x14ac:dyDescent="0.25">
      <c r="B18" s="169"/>
      <c r="C18" s="7">
        <v>719</v>
      </c>
      <c r="D18" s="7">
        <v>94</v>
      </c>
      <c r="E18" s="7"/>
      <c r="F18" s="7"/>
      <c r="G18" s="123">
        <v>87</v>
      </c>
      <c r="H18" s="137"/>
      <c r="I18" s="169"/>
      <c r="J18" s="169"/>
      <c r="K18" s="169"/>
      <c r="L18" s="171"/>
      <c r="M18" s="173"/>
      <c r="N18" s="155"/>
    </row>
    <row r="19" spans="2:14" x14ac:dyDescent="0.25">
      <c r="B19" s="169"/>
      <c r="C19" s="7">
        <v>721</v>
      </c>
      <c r="D19" s="7">
        <v>53</v>
      </c>
      <c r="E19" s="7"/>
      <c r="F19" s="7"/>
      <c r="G19" s="123">
        <v>87.4</v>
      </c>
      <c r="H19" s="137"/>
      <c r="I19" s="169"/>
      <c r="J19" s="169"/>
      <c r="K19" s="169"/>
      <c r="L19" s="171"/>
      <c r="M19" s="173"/>
      <c r="N19" s="155"/>
    </row>
    <row r="20" spans="2:14" x14ac:dyDescent="0.25">
      <c r="B20" s="169"/>
      <c r="C20" s="7">
        <v>722</v>
      </c>
      <c r="D20" s="7">
        <v>64</v>
      </c>
      <c r="E20" s="7"/>
      <c r="F20" s="7"/>
      <c r="G20" s="123">
        <v>86.5</v>
      </c>
      <c r="H20" s="137"/>
      <c r="I20" s="169"/>
      <c r="J20" s="169"/>
      <c r="K20" s="169"/>
      <c r="L20" s="171"/>
      <c r="M20" s="173"/>
      <c r="N20" s="155"/>
    </row>
    <row r="21" spans="2:14" x14ac:dyDescent="0.25">
      <c r="B21" s="169"/>
      <c r="C21" s="7">
        <v>724</v>
      </c>
      <c r="D21" s="7">
        <v>83</v>
      </c>
      <c r="E21" s="7"/>
      <c r="F21" s="7"/>
      <c r="G21" s="123">
        <v>87.3</v>
      </c>
      <c r="H21" s="137"/>
      <c r="I21" s="169"/>
      <c r="J21" s="169"/>
      <c r="K21" s="169"/>
      <c r="L21" s="171"/>
      <c r="M21" s="173"/>
      <c r="N21" s="155"/>
    </row>
    <row r="22" spans="2:14" x14ac:dyDescent="0.25">
      <c r="B22" s="169"/>
      <c r="C22" s="7">
        <v>726</v>
      </c>
      <c r="D22" s="7">
        <v>95</v>
      </c>
      <c r="E22" s="7"/>
      <c r="F22" s="7"/>
      <c r="G22" s="123">
        <v>87.5</v>
      </c>
      <c r="H22" s="137"/>
      <c r="I22" s="169"/>
      <c r="J22" s="169"/>
      <c r="K22" s="169"/>
      <c r="L22" s="171"/>
      <c r="M22" s="173"/>
      <c r="N22" s="155"/>
    </row>
    <row r="23" spans="2:14" x14ac:dyDescent="0.25">
      <c r="B23" s="169"/>
      <c r="C23" s="7">
        <v>727</v>
      </c>
      <c r="D23" s="7">
        <v>72</v>
      </c>
      <c r="E23" s="7"/>
      <c r="F23" s="7"/>
      <c r="G23" s="123">
        <v>85.1</v>
      </c>
      <c r="H23" s="137"/>
      <c r="I23" s="169"/>
      <c r="J23" s="169"/>
      <c r="K23" s="169"/>
      <c r="L23" s="171"/>
      <c r="M23" s="173"/>
      <c r="N23" s="155"/>
    </row>
    <row r="24" spans="2:14" x14ac:dyDescent="0.25">
      <c r="B24" s="169"/>
      <c r="C24" s="7">
        <v>728</v>
      </c>
      <c r="D24" s="7">
        <v>75</v>
      </c>
      <c r="E24" s="7"/>
      <c r="F24" s="7"/>
      <c r="G24" s="123">
        <v>85.7</v>
      </c>
      <c r="H24" s="137"/>
      <c r="I24" s="169"/>
      <c r="J24" s="169"/>
      <c r="K24" s="169"/>
      <c r="L24" s="171"/>
      <c r="M24" s="173"/>
      <c r="N24" s="155"/>
    </row>
    <row r="25" spans="2:14" x14ac:dyDescent="0.25">
      <c r="B25" s="169"/>
      <c r="C25" s="7">
        <v>730</v>
      </c>
      <c r="D25" s="7">
        <v>76</v>
      </c>
      <c r="E25" s="7"/>
      <c r="F25" s="7"/>
      <c r="G25" s="123">
        <v>88</v>
      </c>
      <c r="H25" s="137"/>
      <c r="I25" s="169"/>
      <c r="J25" s="169"/>
      <c r="K25" s="169"/>
      <c r="L25" s="171"/>
      <c r="M25" s="173"/>
      <c r="N25" s="155"/>
    </row>
    <row r="26" spans="2:14" x14ac:dyDescent="0.25">
      <c r="B26" s="169"/>
      <c r="C26" s="7">
        <v>731</v>
      </c>
      <c r="D26" s="7">
        <v>79</v>
      </c>
      <c r="E26" s="7"/>
      <c r="F26" s="7"/>
      <c r="G26" s="123"/>
      <c r="H26" s="137"/>
      <c r="I26" s="169"/>
      <c r="J26" s="169"/>
      <c r="K26" s="169"/>
      <c r="L26" s="171"/>
      <c r="M26" s="173"/>
      <c r="N26" s="155"/>
    </row>
    <row r="27" spans="2:14" x14ac:dyDescent="0.25">
      <c r="B27" s="169"/>
      <c r="C27" s="7">
        <v>733</v>
      </c>
      <c r="D27" s="7">
        <v>95</v>
      </c>
      <c r="E27" s="7"/>
      <c r="F27" s="7"/>
      <c r="G27" s="123"/>
      <c r="H27" s="137"/>
      <c r="I27" s="169"/>
      <c r="J27" s="169"/>
      <c r="K27" s="169"/>
      <c r="L27" s="171"/>
      <c r="M27" s="173"/>
      <c r="N27" s="155"/>
    </row>
    <row r="28" spans="2:14" x14ac:dyDescent="0.25">
      <c r="B28" s="170"/>
      <c r="C28" s="124">
        <v>734</v>
      </c>
      <c r="D28" s="124">
        <v>102</v>
      </c>
      <c r="E28" s="124"/>
      <c r="F28" s="124"/>
      <c r="G28" s="125">
        <v>87.3</v>
      </c>
      <c r="H28" s="138"/>
      <c r="I28" s="170"/>
      <c r="J28" s="170"/>
      <c r="K28" s="170"/>
      <c r="L28" s="172"/>
      <c r="M28" s="174"/>
      <c r="N28" s="156"/>
    </row>
    <row r="29" spans="2:14" ht="30" x14ac:dyDescent="0.25">
      <c r="B29" s="139" t="s">
        <v>118</v>
      </c>
      <c r="C29" s="176" t="s">
        <v>119</v>
      </c>
      <c r="D29" s="176"/>
      <c r="E29" s="176"/>
      <c r="F29" s="176"/>
      <c r="G29" s="176"/>
      <c r="H29" s="139"/>
      <c r="I29" s="139">
        <v>72.3</v>
      </c>
      <c r="J29" s="139">
        <v>42.3</v>
      </c>
      <c r="K29" s="139">
        <v>2180</v>
      </c>
      <c r="L29" s="140">
        <v>1818.3</v>
      </c>
      <c r="M29" s="141">
        <v>2</v>
      </c>
      <c r="N29" s="142" t="s">
        <v>114</v>
      </c>
    </row>
    <row r="30" spans="2:14" x14ac:dyDescent="0.25">
      <c r="B30" s="177" t="s">
        <v>120</v>
      </c>
      <c r="C30" s="134">
        <v>736</v>
      </c>
      <c r="D30" s="134">
        <v>107</v>
      </c>
      <c r="E30" s="134">
        <v>43.2</v>
      </c>
      <c r="F30" s="134">
        <v>2479</v>
      </c>
      <c r="G30" s="135">
        <v>79</v>
      </c>
      <c r="H30" s="135"/>
      <c r="I30" s="177">
        <v>75</v>
      </c>
      <c r="J30" s="177">
        <v>42.3</v>
      </c>
      <c r="K30" s="177">
        <v>2879</v>
      </c>
      <c r="L30" s="178">
        <v>5785.5</v>
      </c>
      <c r="M30" s="179">
        <v>3</v>
      </c>
      <c r="N30" s="175" t="s">
        <v>121</v>
      </c>
    </row>
    <row r="31" spans="2:14" x14ac:dyDescent="0.25">
      <c r="B31" s="169"/>
      <c r="C31" s="7">
        <v>737</v>
      </c>
      <c r="D31" s="7">
        <v>99</v>
      </c>
      <c r="E31" s="7">
        <v>42.3</v>
      </c>
      <c r="F31" s="7">
        <v>3439</v>
      </c>
      <c r="G31" s="123">
        <v>85</v>
      </c>
      <c r="H31" s="123"/>
      <c r="I31" s="169"/>
      <c r="J31" s="169"/>
      <c r="K31" s="169"/>
      <c r="L31" s="171"/>
      <c r="M31" s="173"/>
      <c r="N31" s="155"/>
    </row>
    <row r="32" spans="2:14" x14ac:dyDescent="0.25">
      <c r="B32" s="169"/>
      <c r="C32" s="7">
        <v>738</v>
      </c>
      <c r="D32" s="7">
        <v>87</v>
      </c>
      <c r="E32" s="7">
        <v>42.1</v>
      </c>
      <c r="F32" s="7">
        <v>2519</v>
      </c>
      <c r="G32" s="123">
        <v>87</v>
      </c>
      <c r="H32" s="123"/>
      <c r="I32" s="169"/>
      <c r="J32" s="169"/>
      <c r="K32" s="169"/>
      <c r="L32" s="171"/>
      <c r="M32" s="173"/>
      <c r="N32" s="155"/>
    </row>
    <row r="33" spans="2:15" x14ac:dyDescent="0.25">
      <c r="B33" s="169"/>
      <c r="C33" s="7">
        <v>739</v>
      </c>
      <c r="D33" s="7">
        <v>93</v>
      </c>
      <c r="E33" s="7">
        <v>42.9</v>
      </c>
      <c r="F33" s="7">
        <v>5819</v>
      </c>
      <c r="G33" s="123">
        <v>80</v>
      </c>
      <c r="H33" s="123"/>
      <c r="I33" s="169"/>
      <c r="J33" s="169"/>
      <c r="K33" s="169"/>
      <c r="L33" s="171"/>
      <c r="M33" s="173"/>
      <c r="N33" s="155"/>
    </row>
    <row r="34" spans="2:15" x14ac:dyDescent="0.25">
      <c r="B34" s="169"/>
      <c r="C34" s="7">
        <v>740</v>
      </c>
      <c r="D34" s="7">
        <v>69</v>
      </c>
      <c r="E34" s="7">
        <v>43</v>
      </c>
      <c r="F34" s="7">
        <v>859</v>
      </c>
      <c r="G34" s="123">
        <v>86</v>
      </c>
      <c r="H34" s="123"/>
      <c r="I34" s="169"/>
      <c r="J34" s="169"/>
      <c r="K34" s="169"/>
      <c r="L34" s="171"/>
      <c r="M34" s="173"/>
      <c r="N34" s="155"/>
    </row>
    <row r="35" spans="2:15" x14ac:dyDescent="0.25">
      <c r="B35" s="169"/>
      <c r="C35" s="7">
        <v>741</v>
      </c>
      <c r="D35" s="7">
        <v>58</v>
      </c>
      <c r="E35" s="7">
        <v>42.2</v>
      </c>
      <c r="F35" s="7">
        <v>1300</v>
      </c>
      <c r="G35" s="123">
        <v>83</v>
      </c>
      <c r="H35" s="123"/>
      <c r="I35" s="169"/>
      <c r="J35" s="169"/>
      <c r="K35" s="169"/>
      <c r="L35" s="171"/>
      <c r="M35" s="173"/>
      <c r="N35" s="155"/>
    </row>
    <row r="36" spans="2:15" x14ac:dyDescent="0.25">
      <c r="B36" s="170"/>
      <c r="C36" s="124">
        <v>742</v>
      </c>
      <c r="D36" s="124">
        <v>72</v>
      </c>
      <c r="E36" s="124">
        <v>42.8</v>
      </c>
      <c r="F36" s="124">
        <v>1540</v>
      </c>
      <c r="G36" s="125">
        <v>78</v>
      </c>
      <c r="H36" s="125"/>
      <c r="I36" s="170"/>
      <c r="J36" s="170"/>
      <c r="K36" s="170"/>
      <c r="L36" s="172"/>
      <c r="M36" s="174"/>
      <c r="N36" s="156"/>
    </row>
    <row r="37" spans="2:15" x14ac:dyDescent="0.25">
      <c r="B37" s="177" t="s">
        <v>122</v>
      </c>
      <c r="C37" s="3">
        <v>743</v>
      </c>
      <c r="D37" s="3">
        <v>68</v>
      </c>
      <c r="E37" s="3">
        <v>42.6</v>
      </c>
      <c r="F37" s="3">
        <v>1100</v>
      </c>
      <c r="G37" s="143">
        <v>85.280799354507366</v>
      </c>
      <c r="H37" s="143"/>
      <c r="I37" s="177">
        <v>74.5</v>
      </c>
      <c r="J37" s="177">
        <v>42.7</v>
      </c>
      <c r="K37" s="177">
        <v>1740</v>
      </c>
      <c r="L37" s="178">
        <v>9301.9</v>
      </c>
      <c r="M37" s="179">
        <v>7</v>
      </c>
      <c r="N37" s="175" t="s">
        <v>114</v>
      </c>
      <c r="O37" s="45"/>
    </row>
    <row r="38" spans="2:15" x14ac:dyDescent="0.25">
      <c r="B38" s="181"/>
      <c r="C38" s="3">
        <v>744</v>
      </c>
      <c r="D38" s="3">
        <v>50</v>
      </c>
      <c r="E38" s="3">
        <v>42.5</v>
      </c>
      <c r="F38" s="3">
        <v>780</v>
      </c>
      <c r="G38" s="143">
        <v>87.306515340736638</v>
      </c>
      <c r="H38" s="143"/>
      <c r="I38" s="181"/>
      <c r="J38" s="181"/>
      <c r="K38" s="181"/>
      <c r="L38" s="182"/>
      <c r="M38" s="183"/>
      <c r="N38" s="180"/>
      <c r="O38" s="45"/>
    </row>
    <row r="39" spans="2:15" x14ac:dyDescent="0.25">
      <c r="B39" s="181"/>
      <c r="C39" s="3">
        <v>746</v>
      </c>
      <c r="D39" s="3">
        <v>69</v>
      </c>
      <c r="E39" s="3">
        <v>42.6</v>
      </c>
      <c r="F39" s="3">
        <v>1320</v>
      </c>
      <c r="G39" s="143">
        <v>87.043473563813052</v>
      </c>
      <c r="H39" s="143"/>
      <c r="I39" s="181"/>
      <c r="J39" s="181"/>
      <c r="K39" s="181"/>
      <c r="L39" s="182"/>
      <c r="M39" s="183"/>
      <c r="N39" s="180"/>
      <c r="O39" s="45"/>
    </row>
    <row r="40" spans="2:15" x14ac:dyDescent="0.25">
      <c r="B40" s="181"/>
      <c r="C40" s="3">
        <v>747</v>
      </c>
      <c r="D40" s="3">
        <v>72</v>
      </c>
      <c r="E40" s="3">
        <v>43.1</v>
      </c>
      <c r="F40" s="3">
        <v>1420</v>
      </c>
      <c r="G40" s="143">
        <v>83.209493927579686</v>
      </c>
      <c r="H40" s="143"/>
      <c r="I40" s="181"/>
      <c r="J40" s="181"/>
      <c r="K40" s="181"/>
      <c r="L40" s="182"/>
      <c r="M40" s="183"/>
      <c r="N40" s="180"/>
      <c r="O40" s="45"/>
    </row>
    <row r="41" spans="2:15" x14ac:dyDescent="0.25">
      <c r="B41" s="181"/>
      <c r="C41" s="3">
        <v>748</v>
      </c>
      <c r="D41" s="3">
        <v>86</v>
      </c>
      <c r="E41" s="3">
        <v>43.6</v>
      </c>
      <c r="F41" s="3">
        <v>3579</v>
      </c>
      <c r="G41" s="143">
        <v>86.267701629657452</v>
      </c>
      <c r="H41" s="143"/>
      <c r="I41" s="181"/>
      <c r="J41" s="181"/>
      <c r="K41" s="181"/>
      <c r="L41" s="182"/>
      <c r="M41" s="183"/>
      <c r="N41" s="180"/>
      <c r="O41" s="45"/>
    </row>
    <row r="42" spans="2:15" x14ac:dyDescent="0.25">
      <c r="B42" s="181"/>
      <c r="C42" s="3">
        <v>749</v>
      </c>
      <c r="D42" s="3">
        <v>99</v>
      </c>
      <c r="E42" s="3"/>
      <c r="F42" s="3"/>
      <c r="G42" s="143">
        <v>86.456401875709616</v>
      </c>
      <c r="H42" s="143"/>
      <c r="I42" s="181"/>
      <c r="J42" s="181"/>
      <c r="K42" s="181"/>
      <c r="L42" s="182"/>
      <c r="M42" s="183"/>
      <c r="N42" s="180"/>
      <c r="O42" s="45"/>
    </row>
    <row r="43" spans="2:15" x14ac:dyDescent="0.25">
      <c r="B43" s="181"/>
      <c r="C43" s="3">
        <v>750</v>
      </c>
      <c r="D43" s="3">
        <v>95</v>
      </c>
      <c r="E43" s="3">
        <v>43.2</v>
      </c>
      <c r="F43" s="3"/>
      <c r="G43" s="143">
        <v>86.652852663058525</v>
      </c>
      <c r="H43" s="143"/>
      <c r="I43" s="181"/>
      <c r="J43" s="181"/>
      <c r="K43" s="181"/>
      <c r="L43" s="182"/>
      <c r="M43" s="183"/>
      <c r="N43" s="180"/>
      <c r="O43" s="45"/>
    </row>
    <row r="44" spans="2:15" x14ac:dyDescent="0.25">
      <c r="B44" s="170"/>
      <c r="C44" s="124">
        <v>757</v>
      </c>
      <c r="D44" s="124">
        <v>87</v>
      </c>
      <c r="E44" s="124">
        <v>42.7</v>
      </c>
      <c r="F44" s="124">
        <v>2000</v>
      </c>
      <c r="G44" s="125">
        <v>87.307057905528623</v>
      </c>
      <c r="H44" s="125"/>
      <c r="I44" s="170"/>
      <c r="J44" s="170"/>
      <c r="K44" s="170"/>
      <c r="L44" s="172"/>
      <c r="M44" s="174"/>
      <c r="N44" s="156"/>
      <c r="O44" s="45"/>
    </row>
    <row r="45" spans="2:15" x14ac:dyDescent="0.25">
      <c r="B45" s="177" t="s">
        <v>123</v>
      </c>
      <c r="C45" s="134">
        <v>751</v>
      </c>
      <c r="D45" s="134">
        <v>75</v>
      </c>
      <c r="E45" s="134"/>
      <c r="F45" s="134"/>
      <c r="G45" s="135">
        <v>86.899717350393004</v>
      </c>
      <c r="H45" s="135"/>
      <c r="I45" s="177">
        <v>74</v>
      </c>
      <c r="J45" s="177">
        <v>42.3</v>
      </c>
      <c r="K45" s="177">
        <v>1900</v>
      </c>
      <c r="L45" s="178">
        <v>8866.1</v>
      </c>
      <c r="M45" s="179">
        <v>6</v>
      </c>
      <c r="N45" s="175" t="s">
        <v>114</v>
      </c>
      <c r="O45" s="45"/>
    </row>
    <row r="46" spans="2:15" x14ac:dyDescent="0.25">
      <c r="B46" s="169"/>
      <c r="C46" s="7">
        <v>752</v>
      </c>
      <c r="D46" s="7">
        <v>98</v>
      </c>
      <c r="E46" s="7"/>
      <c r="F46" s="7"/>
      <c r="G46" s="123">
        <v>86.449567159850815</v>
      </c>
      <c r="H46" s="123"/>
      <c r="I46" s="169"/>
      <c r="J46" s="169"/>
      <c r="K46" s="169"/>
      <c r="L46" s="171"/>
      <c r="M46" s="173"/>
      <c r="N46" s="155"/>
      <c r="O46" s="45"/>
    </row>
    <row r="47" spans="2:15" x14ac:dyDescent="0.25">
      <c r="B47" s="169"/>
      <c r="C47" s="7">
        <v>753</v>
      </c>
      <c r="D47" s="7">
        <v>70</v>
      </c>
      <c r="E47" s="7"/>
      <c r="F47" s="7"/>
      <c r="G47" s="123">
        <v>84.198363558848044</v>
      </c>
      <c r="H47" s="123"/>
      <c r="I47" s="169"/>
      <c r="J47" s="169"/>
      <c r="K47" s="169"/>
      <c r="L47" s="171"/>
      <c r="M47" s="173"/>
      <c r="N47" s="155"/>
      <c r="O47" s="45"/>
    </row>
    <row r="48" spans="2:15" x14ac:dyDescent="0.25">
      <c r="B48" s="170"/>
      <c r="C48" s="124">
        <v>759</v>
      </c>
      <c r="D48" s="124">
        <v>73</v>
      </c>
      <c r="E48" s="124">
        <v>42</v>
      </c>
      <c r="F48" s="124">
        <v>1680</v>
      </c>
      <c r="G48" s="125">
        <v>88.247213214102587</v>
      </c>
      <c r="H48" s="125"/>
      <c r="I48" s="170"/>
      <c r="J48" s="170"/>
      <c r="K48" s="170"/>
      <c r="L48" s="172"/>
      <c r="M48" s="174"/>
      <c r="N48" s="156"/>
      <c r="O48" s="45"/>
    </row>
    <row r="49" spans="2:15" x14ac:dyDescent="0.25">
      <c r="B49" s="177" t="s">
        <v>99</v>
      </c>
      <c r="C49" s="134">
        <v>766</v>
      </c>
      <c r="D49" s="134">
        <v>77</v>
      </c>
      <c r="E49" s="134">
        <v>42.5</v>
      </c>
      <c r="F49" s="134">
        <v>2599</v>
      </c>
      <c r="G49" s="135">
        <v>81.029672280203258</v>
      </c>
      <c r="H49" s="135"/>
      <c r="I49" s="177">
        <v>71.400000000000006</v>
      </c>
      <c r="J49" s="177">
        <v>42.1</v>
      </c>
      <c r="K49" s="177">
        <v>1960</v>
      </c>
      <c r="L49" s="178">
        <v>3857</v>
      </c>
      <c r="M49" s="179">
        <v>2</v>
      </c>
      <c r="N49" s="175" t="s">
        <v>114</v>
      </c>
      <c r="O49" s="45"/>
    </row>
    <row r="50" spans="2:15" x14ac:dyDescent="0.25">
      <c r="B50" s="169"/>
      <c r="C50" s="7">
        <v>767</v>
      </c>
      <c r="D50" s="7">
        <v>100</v>
      </c>
      <c r="E50" s="7">
        <v>42.5</v>
      </c>
      <c r="F50" s="7">
        <v>2320</v>
      </c>
      <c r="G50" s="123">
        <v>86.8</v>
      </c>
      <c r="H50" s="123"/>
      <c r="I50" s="169"/>
      <c r="J50" s="169"/>
      <c r="K50" s="169"/>
      <c r="L50" s="171"/>
      <c r="M50" s="173"/>
      <c r="N50" s="155"/>
      <c r="O50" s="45"/>
    </row>
    <row r="51" spans="2:15" x14ac:dyDescent="0.25">
      <c r="B51" s="169"/>
      <c r="C51" s="7">
        <v>768</v>
      </c>
      <c r="D51" s="7">
        <v>66</v>
      </c>
      <c r="E51" s="7">
        <v>43.4</v>
      </c>
      <c r="F51" s="7">
        <v>2300</v>
      </c>
      <c r="G51" s="123">
        <v>87.264334954238663</v>
      </c>
      <c r="H51" s="123"/>
      <c r="I51" s="169"/>
      <c r="J51" s="169"/>
      <c r="K51" s="169"/>
      <c r="L51" s="171"/>
      <c r="M51" s="173"/>
      <c r="N51" s="155"/>
      <c r="O51" s="45"/>
    </row>
    <row r="52" spans="2:15" x14ac:dyDescent="0.25">
      <c r="B52" s="169"/>
      <c r="C52" s="7">
        <v>769</v>
      </c>
      <c r="D52" s="7">
        <v>121</v>
      </c>
      <c r="E52" s="7">
        <v>43.4</v>
      </c>
      <c r="F52" s="12">
        <v>999999999</v>
      </c>
      <c r="G52" s="123">
        <v>80.761558341779576</v>
      </c>
      <c r="H52" s="123"/>
      <c r="I52" s="169"/>
      <c r="J52" s="169"/>
      <c r="K52" s="169"/>
      <c r="L52" s="171"/>
      <c r="M52" s="173"/>
      <c r="N52" s="155"/>
      <c r="O52" s="45"/>
    </row>
    <row r="53" spans="2:15" x14ac:dyDescent="0.25">
      <c r="B53" s="169"/>
      <c r="C53" s="7">
        <v>771</v>
      </c>
      <c r="D53" s="7">
        <v>87</v>
      </c>
      <c r="E53" s="7">
        <v>42.7</v>
      </c>
      <c r="F53" s="7">
        <v>2859</v>
      </c>
      <c r="G53" s="123">
        <v>74.744894979444098</v>
      </c>
      <c r="H53" s="123"/>
      <c r="I53" s="169"/>
      <c r="J53" s="169"/>
      <c r="K53" s="169"/>
      <c r="L53" s="171"/>
      <c r="M53" s="173"/>
      <c r="N53" s="155"/>
      <c r="O53" s="45"/>
    </row>
    <row r="54" spans="2:15" x14ac:dyDescent="0.25">
      <c r="B54" s="169"/>
      <c r="C54" s="7">
        <v>773</v>
      </c>
      <c r="D54" s="7">
        <v>56</v>
      </c>
      <c r="E54" s="7">
        <v>43</v>
      </c>
      <c r="F54" s="7" t="s">
        <v>105</v>
      </c>
      <c r="G54" s="123">
        <v>82.34880923577343</v>
      </c>
      <c r="H54" s="123"/>
      <c r="I54" s="169"/>
      <c r="J54" s="169"/>
      <c r="K54" s="169"/>
      <c r="L54" s="171"/>
      <c r="M54" s="173"/>
      <c r="N54" s="155"/>
      <c r="O54" s="45"/>
    </row>
    <row r="55" spans="2:15" x14ac:dyDescent="0.25">
      <c r="B55" s="169"/>
      <c r="C55" s="7">
        <v>781</v>
      </c>
      <c r="D55" s="7">
        <v>64</v>
      </c>
      <c r="E55" s="7">
        <v>42.4</v>
      </c>
      <c r="F55" s="7">
        <v>1140</v>
      </c>
      <c r="G55" s="123">
        <v>68.936323650093968</v>
      </c>
      <c r="H55" s="123"/>
      <c r="I55" s="169"/>
      <c r="J55" s="169"/>
      <c r="K55" s="169"/>
      <c r="L55" s="171"/>
      <c r="M55" s="173"/>
      <c r="N55" s="155"/>
      <c r="O55" s="45"/>
    </row>
    <row r="56" spans="2:15" x14ac:dyDescent="0.25">
      <c r="B56" s="169"/>
      <c r="C56" s="7">
        <v>782</v>
      </c>
      <c r="D56" s="7">
        <v>78</v>
      </c>
      <c r="E56" s="7">
        <v>42.6</v>
      </c>
      <c r="F56" s="7">
        <v>1960</v>
      </c>
      <c r="G56" s="123">
        <v>82.296287271161191</v>
      </c>
      <c r="H56" s="123"/>
      <c r="I56" s="169"/>
      <c r="J56" s="169"/>
      <c r="K56" s="169"/>
      <c r="L56" s="171"/>
      <c r="M56" s="173"/>
      <c r="N56" s="155"/>
      <c r="O56" s="45"/>
    </row>
    <row r="57" spans="2:15" x14ac:dyDescent="0.25">
      <c r="B57" s="170"/>
      <c r="C57" s="124">
        <v>783</v>
      </c>
      <c r="D57" s="124">
        <v>63</v>
      </c>
      <c r="E57" s="124" t="s">
        <v>105</v>
      </c>
      <c r="F57" s="124" t="s">
        <v>105</v>
      </c>
      <c r="G57" s="125">
        <v>79.607781530900027</v>
      </c>
      <c r="H57" s="125"/>
      <c r="I57" s="170"/>
      <c r="J57" s="170"/>
      <c r="K57" s="170"/>
      <c r="L57" s="172"/>
      <c r="M57" s="174"/>
      <c r="N57" s="156"/>
      <c r="O57" s="45"/>
    </row>
  </sheetData>
  <mergeCells count="50">
    <mergeCell ref="N49:N57"/>
    <mergeCell ref="B49:B57"/>
    <mergeCell ref="I49:I57"/>
    <mergeCell ref="J49:J57"/>
    <mergeCell ref="K49:K57"/>
    <mergeCell ref="L49:L57"/>
    <mergeCell ref="M49:M57"/>
    <mergeCell ref="N37:N44"/>
    <mergeCell ref="B45:B48"/>
    <mergeCell ref="I45:I48"/>
    <mergeCell ref="J45:J48"/>
    <mergeCell ref="K45:K48"/>
    <mergeCell ref="L45:L48"/>
    <mergeCell ref="M45:M48"/>
    <mergeCell ref="N45:N48"/>
    <mergeCell ref="B37:B44"/>
    <mergeCell ref="I37:I44"/>
    <mergeCell ref="J37:J44"/>
    <mergeCell ref="K37:K44"/>
    <mergeCell ref="L37:L44"/>
    <mergeCell ref="M37:M44"/>
    <mergeCell ref="N17:N28"/>
    <mergeCell ref="C29:G29"/>
    <mergeCell ref="B30:B36"/>
    <mergeCell ref="I30:I36"/>
    <mergeCell ref="J30:J36"/>
    <mergeCell ref="K30:K36"/>
    <mergeCell ref="L30:L36"/>
    <mergeCell ref="M30:M36"/>
    <mergeCell ref="N30:N36"/>
    <mergeCell ref="B17:B28"/>
    <mergeCell ref="I17:I28"/>
    <mergeCell ref="J17:J28"/>
    <mergeCell ref="K17:K28"/>
    <mergeCell ref="L17:L28"/>
    <mergeCell ref="M17:M28"/>
    <mergeCell ref="N2:N9"/>
    <mergeCell ref="B10:B16"/>
    <mergeCell ref="I10:I16"/>
    <mergeCell ref="J10:J16"/>
    <mergeCell ref="K10:K16"/>
    <mergeCell ref="L10:L16"/>
    <mergeCell ref="M10:M16"/>
    <mergeCell ref="N10:N16"/>
    <mergeCell ref="B2:B9"/>
    <mergeCell ref="I2:I9"/>
    <mergeCell ref="J2:J9"/>
    <mergeCell ref="K2:K9"/>
    <mergeCell ref="L2:L9"/>
    <mergeCell ref="M2:M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T18" sqref="T18"/>
    </sheetView>
  </sheetViews>
  <sheetFormatPr defaultRowHeight="15" x14ac:dyDescent="0.25"/>
  <cols>
    <col min="1" max="1" width="16.28515625" bestFit="1" customWidth="1"/>
    <col min="2" max="2" width="11.7109375" customWidth="1"/>
    <col min="3" max="3" width="10.28515625" customWidth="1"/>
    <col min="4" max="4" width="10.5703125" customWidth="1"/>
    <col min="5" max="5" width="10.28515625" customWidth="1"/>
    <col min="6" max="6" width="11.28515625" customWidth="1"/>
    <col min="7" max="7" width="9.7109375" customWidth="1"/>
    <col min="8" max="8" width="11.85546875" customWidth="1"/>
    <col min="9" max="9" width="12.7109375" customWidth="1"/>
    <col min="12" max="12" width="10.85546875" customWidth="1"/>
    <col min="13" max="13" width="11.85546875" customWidth="1"/>
    <col min="14" max="14" width="11.5703125" customWidth="1"/>
    <col min="15" max="15" width="12" customWidth="1"/>
    <col min="16" max="16" width="11" customWidth="1"/>
    <col min="17" max="17" width="9.85546875" customWidth="1"/>
    <col min="18" max="18" width="32.42578125" bestFit="1" customWidth="1"/>
    <col min="19" max="19" width="12" bestFit="1" customWidth="1"/>
    <col min="20" max="20" width="11.42578125" bestFit="1" customWidth="1"/>
    <col min="21" max="21" width="13.85546875" customWidth="1"/>
    <col min="22" max="22" width="19" customWidth="1"/>
  </cols>
  <sheetData>
    <row r="1" spans="1:22" x14ac:dyDescent="0.25">
      <c r="A1" s="111" t="s">
        <v>79</v>
      </c>
      <c r="B1" s="111" t="s">
        <v>80</v>
      </c>
      <c r="C1" s="111" t="s">
        <v>94</v>
      </c>
      <c r="D1" s="111" t="s">
        <v>81</v>
      </c>
      <c r="E1" s="111" t="s">
        <v>82</v>
      </c>
      <c r="F1" s="111" t="s">
        <v>83</v>
      </c>
      <c r="G1" s="111" t="s">
        <v>84</v>
      </c>
      <c r="H1" s="111" t="s">
        <v>85</v>
      </c>
      <c r="I1" s="111" t="s">
        <v>86</v>
      </c>
      <c r="J1" s="111" t="s">
        <v>87</v>
      </c>
      <c r="K1" s="111" t="s">
        <v>88</v>
      </c>
      <c r="L1" s="111" t="s">
        <v>89</v>
      </c>
      <c r="M1" s="111" t="s">
        <v>90</v>
      </c>
      <c r="N1" s="111" t="s">
        <v>91</v>
      </c>
      <c r="O1" s="111" t="s">
        <v>92</v>
      </c>
      <c r="P1" s="111" t="s">
        <v>38</v>
      </c>
      <c r="Q1" s="111" t="s">
        <v>93</v>
      </c>
      <c r="R1" s="111" t="s">
        <v>59</v>
      </c>
      <c r="S1" s="111" t="s">
        <v>95</v>
      </c>
      <c r="T1" s="111" t="s">
        <v>96</v>
      </c>
      <c r="U1" s="111" t="s">
        <v>124</v>
      </c>
      <c r="V1" s="111" t="s">
        <v>125</v>
      </c>
    </row>
    <row r="2" spans="1:22" x14ac:dyDescent="0.25">
      <c r="A2" t="str">
        <f>'Data From Lance'!$A$6</f>
        <v>1D6D527</v>
      </c>
      <c r="B2">
        <f>COUNTIFS('Data From Lance'!$D$6:$D$18,"&gt;= 0",'Data From Lance'!$D$6:$D$18,"&lt;=10")</f>
        <v>0</v>
      </c>
      <c r="C2">
        <f>COUNTIFS('Data From Lance'!$D6:$D18,"&gt;= 11",'Data From Lance'!$D6:$D18,"&lt;=20")</f>
        <v>0</v>
      </c>
      <c r="D2">
        <f>COUNTIFS('Data From Lance'!$D6:$D18,"&gt;= 21",'Data From Lance'!$D6:$D18,"&lt;=30")</f>
        <v>0</v>
      </c>
      <c r="E2">
        <f>COUNTIFS('Data From Lance'!$D6:$D18,"&gt;= 31",'Data From Lance'!$D6:$D18,"&lt;=40")</f>
        <v>1</v>
      </c>
      <c r="F2">
        <f>COUNTIFS('Data From Lance'!$D6:$D18,"&gt;= 41",'Data From Lance'!$D6:$D18,"&lt;=50")</f>
        <v>2</v>
      </c>
      <c r="G2">
        <f>COUNTIFS('Data From Lance'!$D6:$D18,"&gt;= 51",'Data From Lance'!$D6:$D18,"&lt;=60")</f>
        <v>2</v>
      </c>
      <c r="H2">
        <f>COUNTIFS('Data From Lance'!$D6:$D18,"&gt;= 61",'Data From Lance'!$D6:$D18,"&lt;=70")</f>
        <v>1</v>
      </c>
      <c r="I2">
        <f>COUNTIFS('Data From Lance'!$D6:$D18,"&gt;= 71",'Data From Lance'!$D6:$D18,"&lt;=80")</f>
        <v>1</v>
      </c>
      <c r="J2">
        <f>COUNTIFS('Data From Lance'!$D6:$D18,"&gt;= 81",'Data From Lance'!$D6:$D18,"&lt;=90")</f>
        <v>0</v>
      </c>
      <c r="K2">
        <f>COUNTIFS('Data From Lance'!$D6:$D18,"&gt;= 91",'Data From Lance'!$D6:$D18,"&lt;=100")</f>
        <v>2</v>
      </c>
      <c r="L2">
        <f>COUNTIFS('Data From Lance'!$D6:$D18,"&gt;= 101",'Data From Lance'!$D6:$D18,"&lt;=110")</f>
        <v>1</v>
      </c>
      <c r="M2">
        <f>COUNTIFS('Data From Lance'!$D6:$D18,"&gt;= 111",'Data From Lance'!$D6:$D18,"&lt;=120")</f>
        <v>3</v>
      </c>
      <c r="N2">
        <f>COUNTIFS('Data From Lance'!$D6:$D18,"&gt;= 121",'Data From Lance'!$D6:$D18,"&lt;=130")</f>
        <v>0</v>
      </c>
      <c r="O2">
        <f>COUNTIFS('Data From Lance'!$D6:$D18,"&gt;= 131",'Data From Lance'!$D6:$D18,"&lt;=140")</f>
        <v>0</v>
      </c>
      <c r="P2">
        <v>0</v>
      </c>
      <c r="Q2">
        <v>0</v>
      </c>
      <c r="R2" t="s">
        <v>6</v>
      </c>
      <c r="S2">
        <f>SUM(B2:O2)</f>
        <v>13</v>
      </c>
      <c r="T2" s="112"/>
    </row>
    <row r="3" spans="1:22" x14ac:dyDescent="0.25">
      <c r="A3" t="str">
        <f>'Data From Lance'!$A$19</f>
        <v>1D6D528</v>
      </c>
      <c r="B3">
        <f>COUNTIFS('Data From Lance'!$D19:$D24,"&gt;= 0",'Data From Lance'!$D19:$D24,"&lt;=10")</f>
        <v>0</v>
      </c>
      <c r="C3">
        <f>COUNTIFS('Data From Lance'!$D19:$D24,"&gt;= 11",'Data From Lance'!$D19:$D24,"&lt;=20")</f>
        <v>0</v>
      </c>
      <c r="D3">
        <f>COUNTIFS('Data From Lance'!$D19:$D24,"&gt;= 21",'Data From Lance'!$D19:$D24,"&lt;=30")</f>
        <v>0</v>
      </c>
      <c r="E3">
        <f>COUNTIFS('Data From Lance'!$D19:$D24,"&gt;= 31",'Data From Lance'!$D19:$D24,"&lt;=40")</f>
        <v>0</v>
      </c>
      <c r="F3">
        <f>COUNTIFS('Data From Lance'!$D19:$D24,"&gt;= 41",'Data From Lance'!$D19:$D24,"&lt;=50")</f>
        <v>1</v>
      </c>
      <c r="G3">
        <f>COUNTIFS('Data From Lance'!$D19:$D24,"&gt;= 51",'Data From Lance'!$D19:$D24,"&lt;=60")</f>
        <v>1</v>
      </c>
      <c r="H3">
        <f>COUNTIFS('Data From Lance'!$D19:$D24,"&gt;= 61",'Data From Lance'!$D19:$D24,"&lt;=70")</f>
        <v>1</v>
      </c>
      <c r="I3">
        <f>COUNTIFS('Data From Lance'!$D19:$D24,"&gt;= 71",'Data From Lance'!$D19:$D24,"&lt;=80")</f>
        <v>0</v>
      </c>
      <c r="J3">
        <f>COUNTIFS('Data From Lance'!$D19:$D24,"&gt;= 81",'Data From Lance'!$D19:$D24,"&lt;=90")</f>
        <v>0</v>
      </c>
      <c r="K3">
        <f>COUNTIFS('Data From Lance'!$D19:$D24,"&gt;= 91",'Data From Lance'!$D19:$D24,"&lt;=100")</f>
        <v>2</v>
      </c>
      <c r="L3">
        <f>COUNTIFS('Data From Lance'!$D19:$D24,"&gt;= 101",'Data From Lance'!$D19:$D24,"&lt;=110")</f>
        <v>1</v>
      </c>
      <c r="M3">
        <f>COUNTIFS('Data From Lance'!$D19:$D24,"&gt;= 111",'Data From Lance'!$D19:$D24,"&lt;=120")</f>
        <v>0</v>
      </c>
      <c r="N3">
        <f>COUNTIFS('Data From Lance'!$D19:$D24,"&gt;= 121",'Data From Lance'!$D19:$D24,"&lt;=130")</f>
        <v>0</v>
      </c>
      <c r="O3">
        <f>COUNTIFS('Data From Lance'!$D19:$D24,"&gt;= 131",'Data From Lance'!$D19:$D24,"&lt;=140")</f>
        <v>0</v>
      </c>
      <c r="P3">
        <v>0</v>
      </c>
      <c r="Q3">
        <v>0</v>
      </c>
      <c r="R3" t="s">
        <v>6</v>
      </c>
      <c r="S3">
        <f t="shared" ref="S3:S16" si="0">SUM(B3:O3)</f>
        <v>6</v>
      </c>
      <c r="T3" s="112"/>
    </row>
    <row r="4" spans="1:22" x14ac:dyDescent="0.25">
      <c r="A4" t="str">
        <f>'Data From Lance'!$A$25</f>
        <v>1D08J82</v>
      </c>
      <c r="B4">
        <f>COUNTIFS('Data From Lance'!$D25:$D34,"&gt;= 0",'Data From Lance'!$D25:$D34,"&lt;=10")</f>
        <v>0</v>
      </c>
      <c r="C4">
        <f>COUNTIFS('Data From Lance'!$D25:$D34,"&gt;= 11",'Data From Lance'!$D25:$D34,"&lt;=20")</f>
        <v>0</v>
      </c>
      <c r="D4">
        <f>COUNTIFS('Data From Lance'!$D25:$D34,"&gt;= 21",'Data From Lance'!$D25:$D34,"&lt;=30")</f>
        <v>1</v>
      </c>
      <c r="E4">
        <f>COUNTIFS('Data From Lance'!$D25:$D34,"&gt;= 31",'Data From Lance'!$D25:$D34,"&lt;=40")</f>
        <v>0</v>
      </c>
      <c r="F4">
        <f>COUNTIFS('Data From Lance'!$D25:$D34,"&gt;= 41",'Data From Lance'!$D25:$D34,"&lt;=50")</f>
        <v>0</v>
      </c>
      <c r="G4">
        <f>COUNTIFS('Data From Lance'!$D25:$D34,"&gt;= 51",'Data From Lance'!$D25:$D34,"&lt;=60")</f>
        <v>2</v>
      </c>
      <c r="H4">
        <f>COUNTIFS('Data From Lance'!$D25:$D34,"&gt;= 61",'Data From Lance'!$D25:$D34,"&lt;=70")</f>
        <v>0</v>
      </c>
      <c r="I4">
        <f>COUNTIFS('Data From Lance'!$D25:$D34,"&gt;= 71",'Data From Lance'!$D25:$D34,"&lt;=80")</f>
        <v>0</v>
      </c>
      <c r="J4">
        <f>COUNTIFS('Data From Lance'!$D25:$D34,"&gt;= 81",'Data From Lance'!$D25:$D34,"&lt;=90")</f>
        <v>1</v>
      </c>
      <c r="K4">
        <f>COUNTIFS('Data From Lance'!$D25:$D34,"&gt;= 91",'Data From Lance'!$D25:$D34,"&lt;=100")</f>
        <v>0</v>
      </c>
      <c r="L4">
        <f>COUNTIFS('Data From Lance'!$D25:$D34,"&gt;= 101",'Data From Lance'!$D25:$D34,"&lt;=110")</f>
        <v>3</v>
      </c>
      <c r="M4">
        <f>COUNTIFS('Data From Lance'!$D25:$D34,"&gt;= 111",'Data From Lance'!$D25:$D34,"&lt;=120")</f>
        <v>0</v>
      </c>
      <c r="N4">
        <f>COUNTIFS('Data From Lance'!$D25:$D34,"&gt;= 121",'Data From Lance'!$D25:$D34,"&lt;=130")</f>
        <v>3</v>
      </c>
      <c r="O4">
        <f>COUNTIFS('Data From Lance'!$D25:$D34,"&gt;= 131",'Data From Lance'!$D25:$D34,"&lt;=140")</f>
        <v>0</v>
      </c>
      <c r="P4">
        <v>0</v>
      </c>
      <c r="Q4">
        <v>0</v>
      </c>
      <c r="R4" t="s">
        <v>6</v>
      </c>
      <c r="S4">
        <f t="shared" si="0"/>
        <v>10</v>
      </c>
      <c r="T4" s="112"/>
    </row>
    <row r="5" spans="1:22" x14ac:dyDescent="0.25">
      <c r="A5" t="str">
        <f>'Data From Lance'!$A$35</f>
        <v>1D09L01</v>
      </c>
      <c r="B5">
        <f>COUNTIFS('Data From Lance'!$D35:$D39,"&gt;= 0",'Data From Lance'!$D35:$D39,"&lt;=10")</f>
        <v>0</v>
      </c>
      <c r="C5">
        <f>COUNTIFS('Data From Lance'!$D35:$D39,"&gt;= 11",'Data From Lance'!$D35:$D39,"&lt;=20")</f>
        <v>0</v>
      </c>
      <c r="D5">
        <f>COUNTIFS('Data From Lance'!$D35:$D39,"&gt;= 21",'Data From Lance'!$D35:$D39,"&lt;=30")</f>
        <v>0</v>
      </c>
      <c r="E5">
        <f>COUNTIFS('Data From Lance'!$D35:$D39,"&gt;= 31",'Data From Lance'!$D35:$D39,"&lt;=40")</f>
        <v>0</v>
      </c>
      <c r="F5">
        <f>COUNTIFS('Data From Lance'!$D35:$D39,"&gt;= 41",'Data From Lance'!$D35:$D39,"&lt;=50")</f>
        <v>0</v>
      </c>
      <c r="G5">
        <f>COUNTIFS('Data From Lance'!$D35:$D39,"&gt;= 51",'Data From Lance'!$D35:$D39,"&lt;=60")</f>
        <v>0</v>
      </c>
      <c r="H5">
        <f>COUNTIFS('Data From Lance'!$D35:$D39,"&gt;= 61",'Data From Lance'!$D35:$D39,"&lt;=70")</f>
        <v>2</v>
      </c>
      <c r="I5">
        <f>COUNTIFS('Data From Lance'!$D35:$D39,"&gt;= 71",'Data From Lance'!$D35:$D39,"&lt;=80")</f>
        <v>1</v>
      </c>
      <c r="J5">
        <f>COUNTIFS('Data From Lance'!$D35:$D39,"&gt;= 81",'Data From Lance'!$D35:$D39,"&lt;=90")</f>
        <v>2</v>
      </c>
      <c r="K5">
        <f>COUNTIFS('Data From Lance'!$D35:$D39,"&gt;= 91",'Data From Lance'!$D35:$D39,"&lt;=100")</f>
        <v>0</v>
      </c>
      <c r="L5">
        <f>COUNTIFS('Data From Lance'!$D35:$D39,"&gt;= 101",'Data From Lance'!$D35:$D39,"&lt;=110")</f>
        <v>0</v>
      </c>
      <c r="M5">
        <f>COUNTIFS('Data From Lance'!$D35:$D39,"&gt;= 111",'Data From Lance'!$D35:$D39,"&lt;=120")</f>
        <v>0</v>
      </c>
      <c r="N5">
        <f>COUNTIFS('Data From Lance'!$D35:$D39,"&gt;= 121",'Data From Lance'!$D35:$D39,"&lt;=130")</f>
        <v>0</v>
      </c>
      <c r="O5">
        <f>COUNTIFS('Data From Lance'!$D35:$D39,"&gt;= 131",'Data From Lance'!$D35:$D39,"&lt;=140")</f>
        <v>0</v>
      </c>
      <c r="P5">
        <v>1</v>
      </c>
      <c r="Q5">
        <v>1</v>
      </c>
      <c r="R5" t="str">
        <f>'Data From Lance'!$A$36</f>
        <v>Holes and shrinkage</v>
      </c>
      <c r="S5">
        <f t="shared" si="0"/>
        <v>5</v>
      </c>
      <c r="T5" s="113"/>
    </row>
    <row r="6" spans="1:22" x14ac:dyDescent="0.25">
      <c r="A6" t="str">
        <f>'Data From Lance'!$A$40</f>
        <v>1D10L58</v>
      </c>
      <c r="B6">
        <f>COUNTIFS('Data From Lance'!$D40:$D45,"&gt;= 0",'Data From Lance'!$D40:$D45,"&lt;=10")</f>
        <v>0</v>
      </c>
      <c r="C6">
        <f>COUNTIFS('Data From Lance'!$D40:$D45,"&gt;= 11",'Data From Lance'!$D40:$D45,"&lt;=20")</f>
        <v>0</v>
      </c>
      <c r="D6">
        <f>COUNTIFS('Data From Lance'!$D40:$D45,"&gt;= 21",'Data From Lance'!$D40:$D45,"&lt;=30")</f>
        <v>0</v>
      </c>
      <c r="E6">
        <f>COUNTIFS('Data From Lance'!$D40:$D45,"&gt;= 31",'Data From Lance'!$D40:$D45,"&lt;=40")</f>
        <v>0</v>
      </c>
      <c r="F6">
        <f>COUNTIFS('Data From Lance'!$D40:$D45,"&gt;= 41",'Data From Lance'!$D40:$D45,"&lt;=50")</f>
        <v>0</v>
      </c>
      <c r="G6">
        <f>COUNTIFS('Data From Lance'!$D40:$D45,"&gt;= 51",'Data From Lance'!$D40:$D45,"&lt;=60")</f>
        <v>0</v>
      </c>
      <c r="H6">
        <f>COUNTIFS('Data From Lance'!$D40:$D45,"&gt;= 61",'Data From Lance'!$D40:$D45,"&lt;=70")</f>
        <v>2</v>
      </c>
      <c r="I6">
        <f>COUNTIFS('Data From Lance'!$D40:$D45,"&gt;= 71",'Data From Lance'!$D40:$D45,"&lt;=80")</f>
        <v>0</v>
      </c>
      <c r="J6">
        <f>COUNTIFS('Data From Lance'!$D40:$D45,"&gt;= 81",'Data From Lance'!$D40:$D45,"&lt;=90")</f>
        <v>2</v>
      </c>
      <c r="K6">
        <f>COUNTIFS('Data From Lance'!$D40:$D45,"&gt;= 91",'Data From Lance'!$D40:$D45,"&lt;=100")</f>
        <v>0</v>
      </c>
      <c r="L6">
        <f>COUNTIFS('Data From Lance'!$D40:$D45,"&gt;= 101",'Data From Lance'!$D40:$D45,"&lt;=110")</f>
        <v>1</v>
      </c>
      <c r="M6">
        <f>COUNTIFS('Data From Lance'!$D40:$D45,"&gt;= 111",'Data From Lance'!$D40:$D45,"&lt;=120")</f>
        <v>0</v>
      </c>
      <c r="N6">
        <f>COUNTIFS('Data From Lance'!$D40:$D45,"&gt;= 121",'Data From Lance'!$D40:$D45,"&lt;=130")</f>
        <v>1</v>
      </c>
      <c r="O6">
        <f>COUNTIFS('Data From Lance'!$D40:$D45,"&gt;= 131",'Data From Lance'!$D40:$D45,"&lt;=140")</f>
        <v>0</v>
      </c>
      <c r="P6">
        <v>0</v>
      </c>
      <c r="Q6">
        <v>0</v>
      </c>
      <c r="R6" t="str">
        <f>'Data From Lance'!$A$41</f>
        <v>Too hard</v>
      </c>
      <c r="S6">
        <f t="shared" si="0"/>
        <v>6</v>
      </c>
      <c r="T6" s="114"/>
    </row>
    <row r="7" spans="1:22" x14ac:dyDescent="0.25">
      <c r="A7" t="str">
        <f>'Data From Lance'!$A$46</f>
        <v>1D11J22</v>
      </c>
      <c r="B7">
        <f>COUNTIFS('Data From Lance'!$D46:$D55,"&gt;= 0",'Data From Lance'!$D46:$D55,"&lt;=10")</f>
        <v>0</v>
      </c>
      <c r="C7">
        <f>COUNTIFS('Data From Lance'!$D46:$D55,"&gt;= 11",'Data From Lance'!$D46:$D55,"&lt;=20")</f>
        <v>0</v>
      </c>
      <c r="D7">
        <f>COUNTIFS('Data From Lance'!$D46:$D55,"&gt;= 21",'Data From Lance'!$D46:$D55,"&lt;=30")</f>
        <v>0</v>
      </c>
      <c r="E7">
        <f>COUNTIFS('Data From Lance'!$D46:$D55,"&gt;= 31",'Data From Lance'!$D46:$D55,"&lt;=40")</f>
        <v>0</v>
      </c>
      <c r="F7">
        <f>COUNTIFS('Data From Lance'!$D46:$D55,"&gt;= 41",'Data From Lance'!$D46:$D55,"&lt;=50")</f>
        <v>0</v>
      </c>
      <c r="G7">
        <f>COUNTIFS('Data From Lance'!$D46:$D55,"&gt;= 51",'Data From Lance'!$D46:$D55,"&lt;=60")</f>
        <v>0</v>
      </c>
      <c r="H7">
        <f>COUNTIFS('Data From Lance'!$D46:$D55,"&gt;= 61",'Data From Lance'!$D46:$D55,"&lt;=70")</f>
        <v>5</v>
      </c>
      <c r="I7">
        <f>COUNTIFS('Data From Lance'!$D46:$D55,"&gt;= 71",'Data From Lance'!$D46:$D55,"&lt;=80")</f>
        <v>1</v>
      </c>
      <c r="J7">
        <f>COUNTIFS('Data From Lance'!$D46:$D55,"&gt;= 81",'Data From Lance'!$D46:$D55,"&lt;=90")</f>
        <v>0</v>
      </c>
      <c r="K7">
        <f>COUNTIFS('Data From Lance'!$D46:$D55,"&gt;= 91",'Data From Lance'!$D46:$D55,"&lt;=100")</f>
        <v>2</v>
      </c>
      <c r="L7">
        <f>COUNTIFS('Data From Lance'!$D46:$D55,"&gt;= 101",'Data From Lance'!$D46:$D55,"&lt;=110")</f>
        <v>0</v>
      </c>
      <c r="M7">
        <f>COUNTIFS('Data From Lance'!$D46:$D55,"&gt;= 111",'Data From Lance'!$D46:$D55,"&lt;=120")</f>
        <v>1</v>
      </c>
      <c r="N7">
        <f>COUNTIFS('Data From Lance'!$D46:$D55,"&gt;= 121",'Data From Lance'!$D46:$D55,"&lt;=130")</f>
        <v>1</v>
      </c>
      <c r="O7">
        <f>COUNTIFS('Data From Lance'!$D46:$D55,"&gt;= 131",'Data From Lance'!$D46:$D55,"&lt;=140")</f>
        <v>0</v>
      </c>
      <c r="P7">
        <v>1</v>
      </c>
      <c r="Q7">
        <v>0</v>
      </c>
      <c r="R7" t="str">
        <f>'Data From Lance'!$A$47</f>
        <v>Shrinkage</v>
      </c>
      <c r="S7">
        <f t="shared" si="0"/>
        <v>10</v>
      </c>
      <c r="T7" s="114"/>
    </row>
    <row r="8" spans="1:22" x14ac:dyDescent="0.25">
      <c r="A8" t="str">
        <f>'Data From Lance'!$A$56</f>
        <v>1D12F32/F33</v>
      </c>
      <c r="B8">
        <f>COUNTIFS('Data From Lance'!$D56:$D65,"&gt;= 0",'Data From Lance'!$D56:$D65,"&lt;=10")</f>
        <v>0</v>
      </c>
      <c r="C8">
        <f>COUNTIFS('Data From Lance'!$D56:$D65,"&gt;= 11",'Data From Lance'!$D56:$D65,"&lt;=20")</f>
        <v>0</v>
      </c>
      <c r="D8">
        <f>COUNTIFS('Data From Lance'!$D56:$D65,"&gt;= 21",'Data From Lance'!$D56:$D65,"&lt;=30")</f>
        <v>0</v>
      </c>
      <c r="E8">
        <f>COUNTIFS('Data From Lance'!$D56:$D65,"&gt;= 31",'Data From Lance'!$D56:$D65,"&lt;=40")</f>
        <v>1</v>
      </c>
      <c r="F8">
        <f>COUNTIFS('Data From Lance'!$D56:$D65,"&gt;= 41",'Data From Lance'!$D56:$D65,"&lt;=50")</f>
        <v>1</v>
      </c>
      <c r="G8">
        <f>COUNTIFS('Data From Lance'!$D56:$D65,"&gt;= 51",'Data From Lance'!$D56:$D65,"&lt;=60")</f>
        <v>0</v>
      </c>
      <c r="H8">
        <f>COUNTIFS('Data From Lance'!$D56:$D65,"&gt;= 61",'Data From Lance'!$D56:$D65,"&lt;=70")</f>
        <v>0</v>
      </c>
      <c r="I8">
        <f>COUNTIFS('Data From Lance'!$D56:$D65,"&gt;= 71",'Data From Lance'!$D56:$D65,"&lt;=80")</f>
        <v>1</v>
      </c>
      <c r="J8">
        <f>COUNTIFS('Data From Lance'!$D56:$D65,"&gt;= 81",'Data From Lance'!$D56:$D65,"&lt;=90")</f>
        <v>1</v>
      </c>
      <c r="K8">
        <f>COUNTIFS('Data From Lance'!$D56:$D65,"&gt;= 91",'Data From Lance'!$D56:$D65,"&lt;=100")</f>
        <v>5</v>
      </c>
      <c r="L8">
        <f>COUNTIFS('Data From Lance'!$D56:$D65,"&gt;= 101",'Data From Lance'!$D56:$D65,"&lt;=110")</f>
        <v>1</v>
      </c>
      <c r="M8">
        <f>COUNTIFS('Data From Lance'!$D56:$D65,"&gt;= 111",'Data From Lance'!$D56:$D65,"&lt;=120")</f>
        <v>0</v>
      </c>
      <c r="N8">
        <f>COUNTIFS('Data From Lance'!$D56:$D65,"&gt;= 121",'Data From Lance'!$D56:$D65,"&lt;=130")</f>
        <v>0</v>
      </c>
      <c r="O8">
        <f>COUNTIFS('Data From Lance'!$D56:$D65,"&gt;= 131",'Data From Lance'!$D56:$D65,"&lt;=140")</f>
        <v>0</v>
      </c>
      <c r="P8">
        <v>0</v>
      </c>
      <c r="Q8">
        <v>0</v>
      </c>
      <c r="R8" t="str">
        <f>'Data From Lance'!$A$57</f>
        <v>Good</v>
      </c>
      <c r="S8">
        <f t="shared" si="0"/>
        <v>10</v>
      </c>
      <c r="T8" s="112"/>
    </row>
    <row r="9" spans="1:22" x14ac:dyDescent="0.25">
      <c r="A9" t="str">
        <f>'Data From Lance'!$A$66</f>
        <v>1D12F34</v>
      </c>
      <c r="B9">
        <f>COUNTIFS('Data From Lance'!$D66:$D69,"&gt;= 0",'Data From Lance'!$D66:$D69,"&lt;=10")</f>
        <v>0</v>
      </c>
      <c r="C9">
        <f>COUNTIFS('Data From Lance'!$D66:$D69,"&gt;= 11",'Data From Lance'!$D66:$D69,"&lt;=20")</f>
        <v>0</v>
      </c>
      <c r="D9">
        <f>COUNTIFS('Data From Lance'!$D66:$D69,"&gt;= 21",'Data From Lance'!$D66:$D69,"&lt;=30")</f>
        <v>1</v>
      </c>
      <c r="E9">
        <f>COUNTIFS('Data From Lance'!$D66:$D69,"&gt;= 31",'Data From Lance'!$D66:$D69,"&lt;=40")</f>
        <v>0</v>
      </c>
      <c r="F9">
        <f>COUNTIFS('Data From Lance'!$D66:$D69,"&gt;= 41",'Data From Lance'!$D66:$D69,"&lt;=50")</f>
        <v>0</v>
      </c>
      <c r="G9">
        <f>COUNTIFS('Data From Lance'!$D66:$D69,"&gt;= 51",'Data From Lance'!$D66:$D69,"&lt;=60")</f>
        <v>0</v>
      </c>
      <c r="H9">
        <f>COUNTIFS('Data From Lance'!$D66:$D69,"&gt;= 61",'Data From Lance'!$D66:$D69,"&lt;=70")</f>
        <v>0</v>
      </c>
      <c r="I9">
        <f>COUNTIFS('Data From Lance'!$D66:$D69,"&gt;= 71",'Data From Lance'!$D66:$D69,"&lt;=80")</f>
        <v>0</v>
      </c>
      <c r="J9">
        <f>COUNTIFS('Data From Lance'!$D66:$D69,"&gt;= 81",'Data From Lance'!$D66:$D69,"&lt;=90")</f>
        <v>0</v>
      </c>
      <c r="K9">
        <f>COUNTIFS('Data From Lance'!$D66:$D69,"&gt;= 91",'Data From Lance'!$D66:$D69,"&lt;=100")</f>
        <v>1</v>
      </c>
      <c r="L9">
        <f>COUNTIFS('Data From Lance'!$D66:$D69,"&gt;= 101",'Data From Lance'!$D66:$D69,"&lt;=110")</f>
        <v>2</v>
      </c>
      <c r="M9">
        <f>COUNTIFS('Data From Lance'!$D66:$D69,"&gt;= 111",'Data From Lance'!$D66:$D69,"&lt;=120")</f>
        <v>0</v>
      </c>
      <c r="N9">
        <f>COUNTIFS('Data From Lance'!$D66:$D69,"&gt;= 121",'Data From Lance'!$D66:$D69,"&lt;=130")</f>
        <v>0</v>
      </c>
      <c r="O9">
        <f>COUNTIFS('Data From Lance'!$D66:$D69,"&gt;= 131",'Data From Lance'!$D66:$D69,"&lt;=140")</f>
        <v>0</v>
      </c>
      <c r="P9">
        <v>0</v>
      </c>
      <c r="Q9">
        <v>0</v>
      </c>
      <c r="R9" t="str">
        <f>'Data From Lance'!$A$67</f>
        <v>Good</v>
      </c>
      <c r="S9">
        <f t="shared" si="0"/>
        <v>4</v>
      </c>
      <c r="T9" s="112"/>
    </row>
    <row r="10" spans="1:22" x14ac:dyDescent="0.25">
      <c r="A10" t="str">
        <f>'Data From Lance'!$A$70</f>
        <v>1D14A22</v>
      </c>
      <c r="B10">
        <f>COUNTIFS('Data From Lance'!$D70:$D77,"&gt;= 0",'Data From Lance'!$D70:$D77,"&lt;=10")</f>
        <v>0</v>
      </c>
      <c r="C10">
        <f>COUNTIFS('Data From Lance'!$D70:$D77,"&gt;= 11",'Data From Lance'!$D70:$D77,"&lt;=20")</f>
        <v>0</v>
      </c>
      <c r="D10">
        <f>COUNTIFS('Data From Lance'!$D70:$D77,"&gt;= 21",'Data From Lance'!$D70:$D77,"&lt;=30")</f>
        <v>0</v>
      </c>
      <c r="E10">
        <f>COUNTIFS('Data From Lance'!$D70:$D77,"&gt;= 31",'Data From Lance'!$D70:$D77,"&lt;=40")</f>
        <v>0</v>
      </c>
      <c r="F10">
        <f>COUNTIFS('Data From Lance'!$D70:$D77,"&gt;= 41",'Data From Lance'!$D70:$D77,"&lt;=50")</f>
        <v>0</v>
      </c>
      <c r="G10">
        <f>COUNTIFS('Data From Lance'!$D70:$D77,"&gt;= 51",'Data From Lance'!$D70:$D77,"&lt;=60")</f>
        <v>1</v>
      </c>
      <c r="H10">
        <f>COUNTIFS('Data From Lance'!$D70:$D77,"&gt;= 61",'Data From Lance'!$D70:$D77,"&lt;=70")</f>
        <v>1</v>
      </c>
      <c r="I10">
        <f>COUNTIFS('Data From Lance'!$D70:$D77,"&gt;= 71",'Data From Lance'!$D70:$D77,"&lt;=80")</f>
        <v>3</v>
      </c>
      <c r="J10">
        <f>COUNTIFS('Data From Lance'!$D70:$D77,"&gt;= 81",'Data From Lance'!$D70:$D77,"&lt;=90")</f>
        <v>1</v>
      </c>
      <c r="K10">
        <f>COUNTIFS('Data From Lance'!$D70:$D77,"&gt;= 91",'Data From Lance'!$D70:$D77,"&lt;=100")</f>
        <v>0</v>
      </c>
      <c r="L10">
        <f>COUNTIFS('Data From Lance'!$D70:$D77,"&gt;= 101",'Data From Lance'!$D70:$D77,"&lt;=110")</f>
        <v>0</v>
      </c>
      <c r="M10">
        <f>COUNTIFS('Data From Lance'!$D70:$D77,"&gt;= 111",'Data From Lance'!$D70:$D77,"&lt;=120")</f>
        <v>2</v>
      </c>
      <c r="N10">
        <f>COUNTIFS('Data From Lance'!$D70:$D77,"&gt;= 121",'Data From Lance'!$D70:$D77,"&lt;=130")</f>
        <v>0</v>
      </c>
      <c r="O10">
        <f>COUNTIFS('Data From Lance'!$D70:$D77,"&gt;= 131",'Data From Lance'!$D70:$D77,"&lt;=140")</f>
        <v>0</v>
      </c>
      <c r="P10">
        <v>1</v>
      </c>
      <c r="Q10">
        <v>0</v>
      </c>
      <c r="R10" t="s">
        <v>97</v>
      </c>
      <c r="S10">
        <f t="shared" si="0"/>
        <v>8</v>
      </c>
      <c r="T10" s="114"/>
    </row>
    <row r="11" spans="1:22" x14ac:dyDescent="0.25">
      <c r="A11" t="str">
        <f>'Data From Lance'!$A$78</f>
        <v>1D15L11/1D15L13</v>
      </c>
      <c r="B11">
        <f>COUNTIFS('Data From Lance'!$D78:$D89,"&gt;= 0",'Data From Lance'!$D78:$D89,"&lt;=10")</f>
        <v>0</v>
      </c>
      <c r="C11">
        <f>COUNTIFS('Data From Lance'!$D78:$D89,"&gt;= 11",'Data From Lance'!$D78:$D89,"&lt;=20")</f>
        <v>0</v>
      </c>
      <c r="D11">
        <f>COUNTIFS('Data From Lance'!$D78:$D89,"&gt;= 21",'Data From Lance'!$D78:$D89,"&lt;=30")</f>
        <v>0</v>
      </c>
      <c r="E11">
        <f>COUNTIFS('Data From Lance'!$D78:$D89,"&gt;= 31",'Data From Lance'!$D78:$D89,"&lt;=40")</f>
        <v>0</v>
      </c>
      <c r="F11">
        <f>COUNTIFS('Data From Lance'!$D78:$D89,"&gt;= 41",'Data From Lance'!$D78:$D89,"&lt;=50")</f>
        <v>0</v>
      </c>
      <c r="G11">
        <f>COUNTIFS('Data From Lance'!$D78:$D89,"&gt;= 51",'Data From Lance'!$D78:$D89,"&lt;=60")</f>
        <v>1</v>
      </c>
      <c r="H11">
        <f>COUNTIFS('Data From Lance'!$D78:$D89,"&gt;= 61",'Data From Lance'!$D78:$D89,"&lt;=70")</f>
        <v>2</v>
      </c>
      <c r="I11">
        <f>COUNTIFS('Data From Lance'!$D78:$D89,"&gt;= 71",'Data From Lance'!$D78:$D89,"&lt;=80")</f>
        <v>4</v>
      </c>
      <c r="J11">
        <f>COUNTIFS('Data From Lance'!$D78:$D89,"&gt;= 81",'Data From Lance'!$D78:$D89,"&lt;=90")</f>
        <v>1</v>
      </c>
      <c r="K11">
        <f>COUNTIFS('Data From Lance'!$D78:$D89,"&gt;= 91",'Data From Lance'!$D78:$D89,"&lt;=100")</f>
        <v>3</v>
      </c>
      <c r="L11">
        <f>COUNTIFS('Data From Lance'!$D78:$D89,"&gt;= 101",'Data From Lance'!$D78:$D89,"&lt;=110")</f>
        <v>1</v>
      </c>
      <c r="M11">
        <f>COUNTIFS('Data From Lance'!$D78:$D89,"&gt;= 111",'Data From Lance'!$D78:$D89,"&lt;=120")</f>
        <v>0</v>
      </c>
      <c r="N11">
        <f>COUNTIFS('Data From Lance'!$D78:$D89,"&gt;= 121",'Data From Lance'!$D78:$D89,"&lt;=130")</f>
        <v>0</v>
      </c>
      <c r="O11">
        <f>COUNTIFS('Data From Lance'!$D78:$D89,"&gt;= 131",'Data From Lance'!$D78:$D89,"&lt;=140")</f>
        <v>0</v>
      </c>
      <c r="P11">
        <v>0</v>
      </c>
      <c r="Q11">
        <v>0</v>
      </c>
      <c r="R11" t="str">
        <f>'Data From Lance'!$A$80</f>
        <v>good</v>
      </c>
      <c r="S11">
        <f t="shared" si="0"/>
        <v>12</v>
      </c>
      <c r="T11" s="112"/>
    </row>
    <row r="12" spans="1:22" x14ac:dyDescent="0.25">
      <c r="A12" t="str">
        <f>'Data From Lance'!$A$90</f>
        <v>1D15L12</v>
      </c>
      <c r="B12">
        <f>COUNTIFS('Data From Lance'!$D90:$D96,"&gt;= 0",'Data From Lance'!$D90:$D96,"&lt;=10")</f>
        <v>0</v>
      </c>
      <c r="C12">
        <f>COUNTIFS('Data From Lance'!$D90:$D96,"&gt;= 11",'Data From Lance'!$D90:$D96,"&lt;=20")</f>
        <v>0</v>
      </c>
      <c r="D12">
        <f>COUNTIFS('Data From Lance'!$D90:$D96,"&gt;= 21",'Data From Lance'!$D90:$D96,"&lt;=30")</f>
        <v>0</v>
      </c>
      <c r="E12">
        <f>COUNTIFS('Data From Lance'!$D90:$D96,"&gt;= 31",'Data From Lance'!$D90:$D96,"&lt;=40")</f>
        <v>0</v>
      </c>
      <c r="F12">
        <f>COUNTIFS('Data From Lance'!$D90:$D96,"&gt;= 41",'Data From Lance'!$D90:$D96,"&lt;=50")</f>
        <v>1</v>
      </c>
      <c r="G12">
        <f>COUNTIFS('Data From Lance'!$D90:$D96,"&gt;= 51",'Data From Lance'!$D90:$D96,"&lt;=60")</f>
        <v>0</v>
      </c>
      <c r="H12">
        <f>COUNTIFS('Data From Lance'!$D90:$D96,"&gt;= 61",'Data From Lance'!$D90:$D96,"&lt;=70")</f>
        <v>1</v>
      </c>
      <c r="I12">
        <f>COUNTIFS('Data From Lance'!$D90:$D96,"&gt;= 71",'Data From Lance'!$D90:$D96,"&lt;=80")</f>
        <v>0</v>
      </c>
      <c r="J12">
        <f>COUNTIFS('Data From Lance'!$D90:$D96,"&gt;= 81",'Data From Lance'!$D90:$D96,"&lt;=90")</f>
        <v>0</v>
      </c>
      <c r="K12">
        <f>COUNTIFS('Data From Lance'!$D90:$D96,"&gt;= 91",'Data From Lance'!$D90:$D96,"&lt;=100")</f>
        <v>2</v>
      </c>
      <c r="L12">
        <f>COUNTIFS('Data From Lance'!$D90:$D96,"&gt;= 101",'Data From Lance'!$D90:$D96,"&lt;=110")</f>
        <v>1</v>
      </c>
      <c r="M12">
        <f>COUNTIFS('Data From Lance'!$D90:$D96,"&gt;= 111",'Data From Lance'!$D90:$D96,"&lt;=120")</f>
        <v>1</v>
      </c>
      <c r="N12">
        <f>COUNTIFS('Data From Lance'!$D90:$D96,"&gt;= 121",'Data From Lance'!$D90:$D96,"&lt;=130")</f>
        <v>0</v>
      </c>
      <c r="O12">
        <f>COUNTIFS('Data From Lance'!$D90:$D96,"&gt;= 131",'Data From Lance'!$D90:$D96,"&lt;=140")</f>
        <v>0</v>
      </c>
      <c r="P12">
        <v>0</v>
      </c>
      <c r="Q12">
        <v>0</v>
      </c>
      <c r="R12" t="str">
        <f>'Data From Lance'!$A$92</f>
        <v>good</v>
      </c>
      <c r="S12">
        <f t="shared" si="0"/>
        <v>6</v>
      </c>
      <c r="T12" s="112"/>
    </row>
    <row r="13" spans="1:22" x14ac:dyDescent="0.25">
      <c r="A13" t="str">
        <f>'Data From Lance'!$A$97</f>
        <v>1D15L14</v>
      </c>
      <c r="B13">
        <f>COUNTIFS('Data From Lance'!$D97:$D108,"&gt;= 0",'Data From Lance'!$D97:$D108,"&lt;=10")</f>
        <v>0</v>
      </c>
      <c r="C13">
        <f>COUNTIFS('Data From Lance'!$D97:$D108,"&gt;= 11",'Data From Lance'!$D97:$D108,"&lt;=20")</f>
        <v>0</v>
      </c>
      <c r="D13">
        <f>COUNTIFS('Data From Lance'!$D97:$D108,"&gt;= 21",'Data From Lance'!$D97:$D108,"&lt;=30")</f>
        <v>0</v>
      </c>
      <c r="E13">
        <f>COUNTIFS('Data From Lance'!$D97:$D108,"&gt;= 31",'Data From Lance'!$D97:$D108,"&lt;=40")</f>
        <v>0</v>
      </c>
      <c r="F13">
        <f>COUNTIFS('Data From Lance'!$D97:$D108,"&gt;= 41",'Data From Lance'!$D97:$D108,"&lt;=50")</f>
        <v>0</v>
      </c>
      <c r="G13">
        <f>COUNTIFS('Data From Lance'!$D97:$D108,"&gt;= 51",'Data From Lance'!$D97:$D108,"&lt;=60")</f>
        <v>1</v>
      </c>
      <c r="H13">
        <f>COUNTIFS('Data From Lance'!$D97:$D108,"&gt;= 61",'Data From Lance'!$D97:$D108,"&lt;=70")</f>
        <v>2</v>
      </c>
      <c r="I13">
        <f>COUNTIFS('Data From Lance'!$D97:$D108,"&gt;= 71",'Data From Lance'!$D97:$D108,"&lt;=80")</f>
        <v>4</v>
      </c>
      <c r="J13">
        <f>COUNTIFS('Data From Lance'!$D97:$D108,"&gt;= 81",'Data From Lance'!$D97:$D108,"&lt;=90")</f>
        <v>1</v>
      </c>
      <c r="K13">
        <f>COUNTIFS('Data From Lance'!$D97:$D108,"&gt;= 91",'Data From Lance'!$D97:$D108,"&lt;=100")</f>
        <v>3</v>
      </c>
      <c r="L13">
        <f>COUNTIFS('Data From Lance'!$D97:$D108,"&gt;= 101",'Data From Lance'!$D97:$D108,"&lt;=110")</f>
        <v>1</v>
      </c>
      <c r="M13">
        <f>COUNTIFS('Data From Lance'!$D97:$D108,"&gt;= 111",'Data From Lance'!$D97:$D108,"&lt;=120")</f>
        <v>0</v>
      </c>
      <c r="N13">
        <f>COUNTIFS('Data From Lance'!$D97:$D108,"&gt;= 121",'Data From Lance'!$D97:$D108,"&lt;=130")</f>
        <v>0</v>
      </c>
      <c r="O13">
        <f>COUNTIFS('Data From Lance'!$D97:$D108,"&gt;= 131",'Data From Lance'!$D97:$D108,"&lt;=140")</f>
        <v>0</v>
      </c>
      <c r="P13">
        <v>0</v>
      </c>
      <c r="Q13">
        <v>0</v>
      </c>
      <c r="R13" t="s">
        <v>98</v>
      </c>
      <c r="S13">
        <f t="shared" si="0"/>
        <v>12</v>
      </c>
      <c r="T13" s="112"/>
    </row>
    <row r="14" spans="1:22" x14ac:dyDescent="0.25">
      <c r="A14" t="s">
        <v>99</v>
      </c>
      <c r="B14">
        <f>COUNTIFS('Data From Lance'!$B144:$B152,"&gt;= 0",'Data From Lance'!$B144:$B152,"&lt;=10")</f>
        <v>0</v>
      </c>
      <c r="C14">
        <f>COUNTIFS('Data From Lance'!$B144:$B152,"&gt;= 11",'Data From Lance'!$B144:$B152,"&lt;=20")</f>
        <v>0</v>
      </c>
      <c r="D14">
        <f>COUNTIFS('Data From Lance'!$B144:$B152,"&gt;= 21",'Data From Lance'!$B144:$B152,"&lt;=30")</f>
        <v>0</v>
      </c>
      <c r="E14">
        <f>COUNTIFS('Data From Lance'!$B144:$B152,"&gt;= 31",'Data From Lance'!$B144:$B152,"&lt;=40")</f>
        <v>0</v>
      </c>
      <c r="F14">
        <f>COUNTIFS('Data From Lance'!$B144:$B152,"&gt;= 41",'Data From Lance'!$B144:$B152,"&lt;=50")</f>
        <v>0</v>
      </c>
      <c r="G14">
        <f>COUNTIFS('Data From Lance'!$B144:$B152,"&gt;= 51",'Data From Lance'!$B144:$B152,"&lt;=60")</f>
        <v>1</v>
      </c>
      <c r="H14">
        <f>COUNTIFS('Data From Lance'!$B144:$B152,"&gt;= 61",'Data From Lance'!$B144:$B152,"&lt;=70")</f>
        <v>3</v>
      </c>
      <c r="I14">
        <f>COUNTIFS('Data From Lance'!$B144:$B152,"&gt;= 71",'Data From Lance'!$B144:$B152,"&lt;=80")</f>
        <v>2</v>
      </c>
      <c r="J14">
        <f>COUNTIFS('Data From Lance'!$B144:$B152,"&gt;= 81",'Data From Lance'!$B144:$B152,"&lt;=90")</f>
        <v>1</v>
      </c>
      <c r="K14">
        <f>COUNTIFS('Data From Lance'!$B144:$B152,"&gt;= 91",'Data From Lance'!$B144:$B152,"&lt;=100")</f>
        <v>1</v>
      </c>
      <c r="L14">
        <f>COUNTIFS('Data From Lance'!$B144:$B152,"&gt;= 101",'Data From Lance'!$B144:$B152,"&lt;=110")</f>
        <v>0</v>
      </c>
      <c r="M14">
        <f>COUNTIFS('Data From Lance'!$B144:$B152,"&gt;= 111",'Data From Lance'!$B144:$B152,"&lt;=120")</f>
        <v>0</v>
      </c>
      <c r="N14">
        <f>COUNTIFS('Data From Lance'!$B144:$B152,"&gt;= 121",'Data From Lance'!$B144:$B152,"&lt;=130")</f>
        <v>1</v>
      </c>
      <c r="O14">
        <f>COUNTIFS('Data From Lance'!$B144:$B152,"&gt;= 131",'Data From Lance'!$B144:$B152,"&lt;=140")</f>
        <v>0</v>
      </c>
      <c r="R14" t="s">
        <v>106</v>
      </c>
      <c r="S14">
        <f t="shared" si="0"/>
        <v>9</v>
      </c>
    </row>
    <row r="15" spans="1:22" x14ac:dyDescent="0.25">
      <c r="A15" t="s">
        <v>120</v>
      </c>
      <c r="B15">
        <f>COUNTIFS('Charge Data Zeon'!$D30:$D36,"&gt;= 0",'Charge Data Zeon'!$D30:$D36,"&lt;=10")</f>
        <v>0</v>
      </c>
      <c r="C15">
        <f>COUNTIFS('Charge Data Zeon'!$D30:$D36,"&gt;= 11",'Charge Data Zeon'!$D30:$D36,"&lt;=20")</f>
        <v>0</v>
      </c>
      <c r="D15">
        <f>COUNTIFS('Charge Data Zeon'!$D30:$D36,"&gt;= 21",'Charge Data Zeon'!$D30:$D36,"&lt;=30")</f>
        <v>0</v>
      </c>
      <c r="E15">
        <f>COUNTIFS('Charge Data Zeon'!$D30:$D36,"&gt;= 31",'Charge Data Zeon'!$D30:$D36,"&lt;=40")</f>
        <v>0</v>
      </c>
      <c r="F15">
        <f>COUNTIFS('Charge Data Zeon'!$D30:$D36,"&gt;= 41",'Charge Data Zeon'!$D30:$D36,"&lt;=50")</f>
        <v>0</v>
      </c>
      <c r="G15">
        <f>COUNTIFS('Charge Data Zeon'!$D30:$D36,"&gt;= 51",'Charge Data Zeon'!$D30:$D36,"&lt;=60")</f>
        <v>1</v>
      </c>
      <c r="H15">
        <f>COUNTIFS('Charge Data Zeon'!$D30:$D36,"&gt;= 61",'Charge Data Zeon'!$D30:$D36,"&lt;=70")</f>
        <v>1</v>
      </c>
      <c r="I15">
        <f>COUNTIFS('Charge Data Zeon'!$D30:$D36,"&gt;= 71",'Charge Data Zeon'!$D30:$D36,"&lt;=80")</f>
        <v>1</v>
      </c>
      <c r="J15">
        <f>COUNTIFS('Charge Data Zeon'!$D30:$D36,"&gt;= 81",'Charge Data Zeon'!$D30:$D36,"&lt;=90")</f>
        <v>1</v>
      </c>
      <c r="K15">
        <f>COUNTIFS('Charge Data Zeon'!$D30:$D36,"&gt;= 91",'Charge Data Zeon'!$D30:$D36,"&lt;=100")</f>
        <v>2</v>
      </c>
      <c r="L15">
        <f>COUNTIFS('Charge Data Zeon'!$D30:$D36,"&gt;= 101",'Charge Data Zeon'!$D30:$D36,"&lt;=110")</f>
        <v>1</v>
      </c>
      <c r="M15">
        <f>COUNTIFS('Charge Data Zeon'!$D30:$D36,"&gt;= 111",'Charge Data Zeon'!$D30:$D36,"&lt;=120")</f>
        <v>0</v>
      </c>
      <c r="N15">
        <f>COUNTIFS('Charge Data Zeon'!$D30:$D36,"&gt;= 121",'Charge Data Zeon'!$D30:$D36,"&lt;=130")</f>
        <v>0</v>
      </c>
      <c r="O15">
        <f>COUNTIFS('Charge Data Zeon'!$D30:$D36,"&gt;= 131",'Charge Data Zeon'!$D30:$D36,"&lt;=140")</f>
        <v>0</v>
      </c>
      <c r="S15">
        <f>SUM(B15:O15)</f>
        <v>7</v>
      </c>
    </row>
    <row r="16" spans="1:22" x14ac:dyDescent="0.25">
      <c r="A16" t="s">
        <v>122</v>
      </c>
      <c r="B16">
        <f>COUNTIFS('Charge Data Zeon'!$D37:$D44,"&gt;= 0",'Charge Data Zeon'!$D37:$D44,"&lt;=10")</f>
        <v>0</v>
      </c>
      <c r="C16">
        <f>COUNTIFS('Charge Data Zeon'!$D37:$D44,"&gt;= 11",'Charge Data Zeon'!$D37:$D44,"&lt;=20")</f>
        <v>0</v>
      </c>
      <c r="D16">
        <f>COUNTIFS('Charge Data Zeon'!$D37:$D44,"&gt;= 21",'Charge Data Zeon'!$D37:$D44,"&lt;=30")</f>
        <v>0</v>
      </c>
      <c r="E16">
        <f>COUNTIFS('Charge Data Zeon'!$D37:$D44,"&gt;= 31",'Charge Data Zeon'!$D37:$D44,"&lt;=40")</f>
        <v>0</v>
      </c>
      <c r="F16">
        <f>COUNTIFS('Charge Data Zeon'!$D37:$D44,"&gt;= 41",'Charge Data Zeon'!$D37:$D44,"&lt;=50")</f>
        <v>1</v>
      </c>
      <c r="G16">
        <f>COUNTIFS('Charge Data Zeon'!$D37:$D44,"&gt;= 51",'Charge Data Zeon'!$D37:$D44,"&lt;=60")</f>
        <v>0</v>
      </c>
      <c r="H16">
        <f>COUNTIFS('Charge Data Zeon'!$D37:$D44,"&gt;= 61",'Charge Data Zeon'!$D37:$D44,"&lt;=70")</f>
        <v>2</v>
      </c>
      <c r="I16">
        <f>COUNTIFS('Charge Data Zeon'!$D37:$D44,"&gt;= 71",'Charge Data Zeon'!$D37:$D44,"&lt;=80")</f>
        <v>1</v>
      </c>
      <c r="J16">
        <f>COUNTIFS('Charge Data Zeon'!$D37:$D44,"&gt;= 81",'Charge Data Zeon'!$D37:$D44,"&lt;=90")</f>
        <v>2</v>
      </c>
      <c r="K16">
        <f>COUNTIFS('Charge Data Zeon'!$D37:$D44,"&gt;= 91",'Charge Data Zeon'!$D37:$D44,"&lt;=100")</f>
        <v>2</v>
      </c>
      <c r="L16">
        <f>COUNTIFS('Charge Data Zeon'!$D37:$D44,"&gt;= 101",'Charge Data Zeon'!$D37:$D44,"&lt;=110")</f>
        <v>0</v>
      </c>
      <c r="M16">
        <f>COUNTIFS('Charge Data Zeon'!$D37:$D44,"&gt;= 111",'Charge Data Zeon'!$D37:$D44,"&lt;=120")</f>
        <v>0</v>
      </c>
      <c r="N16">
        <f>COUNTIFS('Charge Data Zeon'!$D37:$D44,"&gt;= 121",'Charge Data Zeon'!$D37:$D44,"&lt;=130")</f>
        <v>0</v>
      </c>
      <c r="O16">
        <f>COUNTIFS('Charge Data Zeon'!$D37:$D44,"&gt;= 131",'Charge Data Zeon'!$D37:$D44,"&lt;=140")</f>
        <v>0</v>
      </c>
      <c r="S16">
        <f t="shared" si="0"/>
        <v>8</v>
      </c>
    </row>
    <row r="17" spans="1:19" x14ac:dyDescent="0.25">
      <c r="A17" t="s">
        <v>123</v>
      </c>
      <c r="B17">
        <f>COUNTIFS('Charge Data Zeon'!$D45:$D48,"&gt;= 0",'Charge Data Zeon'!$D45:$D48,"&lt;=10")</f>
        <v>0</v>
      </c>
      <c r="C17">
        <f>COUNTIFS('Charge Data Zeon'!$D45:$D48,"&gt;= 11",'Charge Data Zeon'!$D45:$D48,"&lt;=20")</f>
        <v>0</v>
      </c>
      <c r="D17">
        <f>COUNTIFS('Charge Data Zeon'!$D45:$D48,"&gt;= 21",'Charge Data Zeon'!$D45:$D48,"&lt;=30")</f>
        <v>0</v>
      </c>
      <c r="E17">
        <f>COUNTIFS('Charge Data Zeon'!$D45:$D48,"&gt;= 31",'Charge Data Zeon'!$D45:$D48,"&lt;=40")</f>
        <v>0</v>
      </c>
      <c r="F17">
        <f>COUNTIFS('Charge Data Zeon'!$D45:$D48,"&gt;= 41",'Charge Data Zeon'!$D45:$D48,"&lt;=50")</f>
        <v>0</v>
      </c>
      <c r="G17">
        <f>COUNTIFS('Charge Data Zeon'!$D45:$D48,"&gt;= 51",'Charge Data Zeon'!$D45:$D48,"&lt;=60")</f>
        <v>0</v>
      </c>
      <c r="H17">
        <f>COUNTIFS('Charge Data Zeon'!$D45:$D48,"&gt;= 61",'Charge Data Zeon'!$D45:$D48,"&lt;=70")</f>
        <v>1</v>
      </c>
      <c r="I17">
        <f>COUNTIFS('Charge Data Zeon'!$D45:$D48,"&gt;= 71",'Charge Data Zeon'!$D45:$D48,"&lt;=80")</f>
        <v>2</v>
      </c>
      <c r="J17">
        <f>COUNTIFS('Charge Data Zeon'!$D45:$D48,"&gt;= 81",'Charge Data Zeon'!$D45:$D48,"&lt;=90")</f>
        <v>0</v>
      </c>
      <c r="K17">
        <f>COUNTIFS('Charge Data Zeon'!$D45:$D48,"&gt;= 91",'Charge Data Zeon'!$D45:$D48,"&lt;=100")</f>
        <v>1</v>
      </c>
      <c r="L17">
        <f>COUNTIFS('Charge Data Zeon'!$D45:$D48,"&gt;= 101",'Charge Data Zeon'!$D45:$D48,"&lt;=110")</f>
        <v>0</v>
      </c>
      <c r="M17">
        <f>COUNTIFS('Charge Data Zeon'!$D45:$D48,"&gt;= 111",'Charge Data Zeon'!$D45:$D48,"&lt;=120")</f>
        <v>0</v>
      </c>
      <c r="N17">
        <f>COUNTIFS('Charge Data Zeon'!$D45:$D48,"&gt;= 121",'Charge Data Zeon'!$D45:$D48,"&lt;=130")</f>
        <v>0</v>
      </c>
      <c r="O17">
        <f>COUNTIFS('Charge Data Zeon'!$D45:$D48,"&gt;= 131",'Charge Data Zeon'!$D45:$D48,"&lt;=140")</f>
        <v>0</v>
      </c>
      <c r="S17">
        <f>SUM(B17:O17)</f>
        <v>4</v>
      </c>
    </row>
  </sheetData>
  <autoFilter ref="A1:V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opLeftCell="A70" zoomScale="120" zoomScaleNormal="120" workbookViewId="0">
      <selection activeCell="T30" sqref="T30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11</v>
      </c>
      <c r="B1" t="s">
        <v>4</v>
      </c>
    </row>
    <row r="2" spans="1:2" x14ac:dyDescent="0.25">
      <c r="A2" s="8" t="s">
        <v>5</v>
      </c>
      <c r="B2" s="11">
        <v>43</v>
      </c>
    </row>
    <row r="3" spans="1:2" x14ac:dyDescent="0.25">
      <c r="A3" s="8" t="s">
        <v>5</v>
      </c>
      <c r="B3" s="16">
        <v>38</v>
      </c>
    </row>
    <row r="4" spans="1:2" x14ac:dyDescent="0.25">
      <c r="A4" s="8" t="s">
        <v>5</v>
      </c>
      <c r="B4" s="16">
        <v>44</v>
      </c>
    </row>
    <row r="5" spans="1:2" x14ac:dyDescent="0.25">
      <c r="A5" s="8" t="s">
        <v>5</v>
      </c>
      <c r="B5" s="16">
        <v>104</v>
      </c>
    </row>
    <row r="6" spans="1:2" x14ac:dyDescent="0.25">
      <c r="A6" s="8" t="s">
        <v>5</v>
      </c>
      <c r="B6" s="16">
        <v>117</v>
      </c>
    </row>
    <row r="7" spans="1:2" x14ac:dyDescent="0.25">
      <c r="A7" s="8" t="s">
        <v>5</v>
      </c>
      <c r="B7" s="16">
        <v>114</v>
      </c>
    </row>
    <row r="8" spans="1:2" x14ac:dyDescent="0.25">
      <c r="A8" s="8" t="s">
        <v>5</v>
      </c>
      <c r="B8" s="16">
        <v>64</v>
      </c>
    </row>
    <row r="9" spans="1:2" x14ac:dyDescent="0.25">
      <c r="A9" s="8" t="s">
        <v>5</v>
      </c>
      <c r="B9" s="16">
        <v>98</v>
      </c>
    </row>
    <row r="10" spans="1:2" x14ac:dyDescent="0.25">
      <c r="A10" s="8" t="s">
        <v>5</v>
      </c>
      <c r="B10" s="16">
        <v>56</v>
      </c>
    </row>
    <row r="11" spans="1:2" x14ac:dyDescent="0.25">
      <c r="A11" s="8" t="s">
        <v>5</v>
      </c>
      <c r="B11" s="16">
        <v>53</v>
      </c>
    </row>
    <row r="12" spans="1:2" x14ac:dyDescent="0.25">
      <c r="A12" s="8" t="s">
        <v>5</v>
      </c>
      <c r="B12" s="16">
        <v>75</v>
      </c>
    </row>
    <row r="13" spans="1:2" x14ac:dyDescent="0.25">
      <c r="A13" s="8" t="s">
        <v>5</v>
      </c>
      <c r="B13" s="16">
        <v>96</v>
      </c>
    </row>
    <row r="14" spans="1:2" x14ac:dyDescent="0.25">
      <c r="A14" s="8" t="s">
        <v>5</v>
      </c>
      <c r="B14" s="31">
        <v>111</v>
      </c>
    </row>
    <row r="15" spans="1:2" x14ac:dyDescent="0.25">
      <c r="A15" s="13" t="s">
        <v>16</v>
      </c>
      <c r="B15" s="11">
        <v>100</v>
      </c>
    </row>
    <row r="16" spans="1:2" x14ac:dyDescent="0.25">
      <c r="A16" s="13" t="s">
        <v>16</v>
      </c>
      <c r="B16" s="16">
        <v>93</v>
      </c>
    </row>
    <row r="17" spans="1:2" x14ac:dyDescent="0.25">
      <c r="A17" s="13" t="s">
        <v>16</v>
      </c>
      <c r="B17" s="16">
        <v>60</v>
      </c>
    </row>
    <row r="18" spans="1:2" x14ac:dyDescent="0.25">
      <c r="A18" s="13" t="s">
        <v>16</v>
      </c>
      <c r="B18" s="16">
        <v>107</v>
      </c>
    </row>
    <row r="19" spans="1:2" x14ac:dyDescent="0.25">
      <c r="A19" s="13" t="s">
        <v>16</v>
      </c>
      <c r="B19" s="16">
        <v>49</v>
      </c>
    </row>
    <row r="20" spans="1:2" x14ac:dyDescent="0.25">
      <c r="A20" s="13" t="s">
        <v>16</v>
      </c>
      <c r="B20" s="31">
        <v>69</v>
      </c>
    </row>
    <row r="21" spans="1:2" x14ac:dyDescent="0.25">
      <c r="A21" s="8" t="s">
        <v>17</v>
      </c>
      <c r="B21" s="11">
        <v>55</v>
      </c>
    </row>
    <row r="22" spans="1:2" x14ac:dyDescent="0.25">
      <c r="A22" s="8" t="s">
        <v>17</v>
      </c>
      <c r="B22" s="16">
        <v>122</v>
      </c>
    </row>
    <row r="23" spans="1:2" x14ac:dyDescent="0.25">
      <c r="A23" s="8" t="s">
        <v>17</v>
      </c>
      <c r="B23" s="16">
        <v>106</v>
      </c>
    </row>
    <row r="24" spans="1:2" x14ac:dyDescent="0.25">
      <c r="A24" s="8" t="s">
        <v>17</v>
      </c>
      <c r="B24" s="16">
        <v>101</v>
      </c>
    </row>
    <row r="25" spans="1:2" x14ac:dyDescent="0.25">
      <c r="A25" s="8" t="s">
        <v>17</v>
      </c>
      <c r="B25" s="16">
        <v>103</v>
      </c>
    </row>
    <row r="26" spans="1:2" x14ac:dyDescent="0.25">
      <c r="A26" s="8" t="s">
        <v>17</v>
      </c>
      <c r="B26" s="16">
        <v>83</v>
      </c>
    </row>
    <row r="27" spans="1:2" x14ac:dyDescent="0.25">
      <c r="A27" s="8" t="s">
        <v>17</v>
      </c>
      <c r="B27" s="16">
        <v>121</v>
      </c>
    </row>
    <row r="28" spans="1:2" x14ac:dyDescent="0.25">
      <c r="A28" s="8" t="s">
        <v>17</v>
      </c>
      <c r="B28" s="16">
        <v>121</v>
      </c>
    </row>
    <row r="29" spans="1:2" x14ac:dyDescent="0.25">
      <c r="A29" s="8" t="s">
        <v>17</v>
      </c>
      <c r="B29" s="16">
        <v>28</v>
      </c>
    </row>
    <row r="30" spans="1:2" x14ac:dyDescent="0.25">
      <c r="A30" s="8" t="s">
        <v>17</v>
      </c>
      <c r="B30" s="31">
        <v>51</v>
      </c>
    </row>
    <row r="31" spans="1:2" x14ac:dyDescent="0.25">
      <c r="A31" s="8" t="s">
        <v>18</v>
      </c>
      <c r="B31" s="11">
        <v>75</v>
      </c>
    </row>
    <row r="32" spans="1:2" x14ac:dyDescent="0.25">
      <c r="A32" s="8" t="s">
        <v>18</v>
      </c>
      <c r="B32" s="16">
        <v>69</v>
      </c>
    </row>
    <row r="33" spans="1:2" x14ac:dyDescent="0.25">
      <c r="A33" s="8" t="s">
        <v>18</v>
      </c>
      <c r="B33" s="16">
        <v>67</v>
      </c>
    </row>
    <row r="34" spans="1:2" x14ac:dyDescent="0.25">
      <c r="A34" s="8" t="s">
        <v>18</v>
      </c>
      <c r="B34" s="16">
        <v>83</v>
      </c>
    </row>
    <row r="35" spans="1:2" x14ac:dyDescent="0.25">
      <c r="A35" s="8" t="s">
        <v>18</v>
      </c>
      <c r="B35" s="31">
        <v>83</v>
      </c>
    </row>
    <row r="36" spans="1:2" x14ac:dyDescent="0.25">
      <c r="A36" s="8" t="s">
        <v>19</v>
      </c>
      <c r="B36" s="51">
        <v>69</v>
      </c>
    </row>
    <row r="37" spans="1:2" x14ac:dyDescent="0.25">
      <c r="A37" s="8" t="s">
        <v>19</v>
      </c>
      <c r="B37" s="53">
        <v>90</v>
      </c>
    </row>
    <row r="38" spans="1:2" x14ac:dyDescent="0.25">
      <c r="A38" s="8" t="s">
        <v>19</v>
      </c>
      <c r="B38" s="53">
        <v>86</v>
      </c>
    </row>
    <row r="39" spans="1:2" x14ac:dyDescent="0.25">
      <c r="A39" s="8" t="s">
        <v>19</v>
      </c>
      <c r="B39" s="53">
        <v>61</v>
      </c>
    </row>
    <row r="40" spans="1:2" x14ac:dyDescent="0.25">
      <c r="A40" s="8" t="s">
        <v>19</v>
      </c>
      <c r="B40" s="53">
        <v>124</v>
      </c>
    </row>
    <row r="41" spans="1:2" x14ac:dyDescent="0.25">
      <c r="A41" s="8" t="s">
        <v>19</v>
      </c>
      <c r="B41" s="54">
        <v>108</v>
      </c>
    </row>
    <row r="42" spans="1:2" x14ac:dyDescent="0.25">
      <c r="A42" s="8" t="s">
        <v>21</v>
      </c>
      <c r="B42" s="56">
        <v>122</v>
      </c>
    </row>
    <row r="43" spans="1:2" x14ac:dyDescent="0.25">
      <c r="A43" s="8" t="s">
        <v>21</v>
      </c>
      <c r="B43" s="57">
        <v>97</v>
      </c>
    </row>
    <row r="44" spans="1:2" x14ac:dyDescent="0.25">
      <c r="A44" s="8" t="s">
        <v>21</v>
      </c>
      <c r="B44" s="57">
        <v>115</v>
      </c>
    </row>
    <row r="45" spans="1:2" x14ac:dyDescent="0.25">
      <c r="A45" s="8" t="s">
        <v>21</v>
      </c>
      <c r="B45" s="57">
        <v>66</v>
      </c>
    </row>
    <row r="46" spans="1:2" x14ac:dyDescent="0.25">
      <c r="A46" s="8" t="s">
        <v>21</v>
      </c>
      <c r="B46" s="57">
        <v>72</v>
      </c>
    </row>
    <row r="47" spans="1:2" x14ac:dyDescent="0.25">
      <c r="A47" s="8" t="s">
        <v>21</v>
      </c>
      <c r="B47" s="57">
        <v>67</v>
      </c>
    </row>
    <row r="48" spans="1:2" x14ac:dyDescent="0.25">
      <c r="A48" s="8" t="s">
        <v>21</v>
      </c>
      <c r="B48" s="57">
        <v>69</v>
      </c>
    </row>
    <row r="49" spans="1:2" x14ac:dyDescent="0.25">
      <c r="A49" s="8" t="s">
        <v>21</v>
      </c>
      <c r="B49" s="57">
        <v>94</v>
      </c>
    </row>
    <row r="50" spans="1:2" x14ac:dyDescent="0.25">
      <c r="A50" s="8" t="s">
        <v>21</v>
      </c>
      <c r="B50" s="57">
        <v>64</v>
      </c>
    </row>
    <row r="51" spans="1:2" x14ac:dyDescent="0.25">
      <c r="A51" s="8" t="s">
        <v>21</v>
      </c>
      <c r="B51" s="59">
        <v>70</v>
      </c>
    </row>
    <row r="52" spans="1:2" x14ac:dyDescent="0.25">
      <c r="A52" s="9" t="s">
        <v>39</v>
      </c>
      <c r="B52" s="56">
        <v>74</v>
      </c>
    </row>
    <row r="53" spans="1:2" x14ac:dyDescent="0.25">
      <c r="A53" s="9" t="s">
        <v>39</v>
      </c>
      <c r="B53" s="57">
        <v>96</v>
      </c>
    </row>
    <row r="54" spans="1:2" x14ac:dyDescent="0.25">
      <c r="A54" s="9" t="s">
        <v>39</v>
      </c>
      <c r="B54" s="57">
        <v>96</v>
      </c>
    </row>
    <row r="55" spans="1:2" x14ac:dyDescent="0.25">
      <c r="A55" s="9" t="s">
        <v>39</v>
      </c>
      <c r="B55" s="57">
        <v>100</v>
      </c>
    </row>
    <row r="56" spans="1:2" x14ac:dyDescent="0.25">
      <c r="A56" s="9" t="s">
        <v>39</v>
      </c>
      <c r="B56" s="57">
        <v>84</v>
      </c>
    </row>
    <row r="57" spans="1:2" x14ac:dyDescent="0.25">
      <c r="A57" s="9" t="s">
        <v>39</v>
      </c>
      <c r="B57" s="57">
        <v>109</v>
      </c>
    </row>
    <row r="58" spans="1:2" x14ac:dyDescent="0.25">
      <c r="A58" s="9" t="s">
        <v>39</v>
      </c>
      <c r="B58" s="57">
        <v>95</v>
      </c>
    </row>
    <row r="59" spans="1:2" x14ac:dyDescent="0.25">
      <c r="A59" s="9" t="s">
        <v>39</v>
      </c>
      <c r="B59" s="57">
        <v>47</v>
      </c>
    </row>
    <row r="60" spans="1:2" x14ac:dyDescent="0.25">
      <c r="A60" s="9" t="s">
        <v>39</v>
      </c>
      <c r="B60" s="57">
        <v>99</v>
      </c>
    </row>
    <row r="61" spans="1:2" x14ac:dyDescent="0.25">
      <c r="A61" s="9" t="s">
        <v>39</v>
      </c>
      <c r="B61" s="59">
        <v>34</v>
      </c>
    </row>
    <row r="62" spans="1:2" x14ac:dyDescent="0.25">
      <c r="A62" s="9" t="s">
        <v>25</v>
      </c>
      <c r="B62" s="11">
        <v>98</v>
      </c>
    </row>
    <row r="63" spans="1:2" x14ac:dyDescent="0.25">
      <c r="A63" s="9" t="s">
        <v>25</v>
      </c>
      <c r="B63" s="16">
        <v>107</v>
      </c>
    </row>
    <row r="64" spans="1:2" x14ac:dyDescent="0.25">
      <c r="A64" s="9" t="s">
        <v>25</v>
      </c>
      <c r="B64" s="16">
        <v>106</v>
      </c>
    </row>
    <row r="65" spans="1:2" x14ac:dyDescent="0.25">
      <c r="A65" s="9" t="s">
        <v>25</v>
      </c>
      <c r="B65" s="31">
        <v>25</v>
      </c>
    </row>
    <row r="66" spans="1:2" x14ac:dyDescent="0.25">
      <c r="A66" s="9" t="s">
        <v>26</v>
      </c>
      <c r="B66" s="57">
        <v>76</v>
      </c>
    </row>
    <row r="67" spans="1:2" x14ac:dyDescent="0.25">
      <c r="A67" s="9" t="s">
        <v>26</v>
      </c>
      <c r="B67" s="57">
        <v>79</v>
      </c>
    </row>
    <row r="68" spans="1:2" x14ac:dyDescent="0.25">
      <c r="A68" s="9" t="s">
        <v>26</v>
      </c>
      <c r="B68" s="57">
        <v>65</v>
      </c>
    </row>
    <row r="69" spans="1:2" x14ac:dyDescent="0.25">
      <c r="A69" s="9" t="s">
        <v>26</v>
      </c>
      <c r="B69" s="57">
        <v>75</v>
      </c>
    </row>
    <row r="70" spans="1:2" x14ac:dyDescent="0.25">
      <c r="A70" s="9" t="s">
        <v>26</v>
      </c>
      <c r="B70" s="57">
        <v>52</v>
      </c>
    </row>
    <row r="71" spans="1:2" x14ac:dyDescent="0.25">
      <c r="A71" s="9" t="s">
        <v>26</v>
      </c>
      <c r="B71" s="57">
        <v>88</v>
      </c>
    </row>
    <row r="72" spans="1:2" x14ac:dyDescent="0.25">
      <c r="A72" s="9" t="s">
        <v>26</v>
      </c>
      <c r="B72" s="57">
        <v>111</v>
      </c>
    </row>
    <row r="73" spans="1:2" x14ac:dyDescent="0.25">
      <c r="A73" s="9" t="s">
        <v>26</v>
      </c>
      <c r="B73" s="59">
        <v>111</v>
      </c>
    </row>
    <row r="74" spans="1:2" x14ac:dyDescent="0.25">
      <c r="A74" s="9" t="s">
        <v>43</v>
      </c>
      <c r="B74" s="57">
        <v>65</v>
      </c>
    </row>
    <row r="75" spans="1:2" x14ac:dyDescent="0.25">
      <c r="A75" s="9" t="s">
        <v>43</v>
      </c>
      <c r="B75" s="57">
        <v>94</v>
      </c>
    </row>
    <row r="76" spans="1:2" x14ac:dyDescent="0.25">
      <c r="A76" s="9" t="s">
        <v>43</v>
      </c>
      <c r="B76" s="57">
        <v>53</v>
      </c>
    </row>
    <row r="77" spans="1:2" x14ac:dyDescent="0.25">
      <c r="A77" s="9" t="s">
        <v>43</v>
      </c>
      <c r="B77" s="57">
        <v>64</v>
      </c>
    </row>
    <row r="78" spans="1:2" x14ac:dyDescent="0.25">
      <c r="A78" s="9" t="s">
        <v>43</v>
      </c>
      <c r="B78" s="57">
        <v>93</v>
      </c>
    </row>
    <row r="79" spans="1:2" x14ac:dyDescent="0.25">
      <c r="A79" s="9" t="s">
        <v>43</v>
      </c>
      <c r="B79" s="57">
        <v>83</v>
      </c>
    </row>
    <row r="80" spans="1:2" x14ac:dyDescent="0.25">
      <c r="A80" s="9" t="s">
        <v>43</v>
      </c>
      <c r="B80" s="57">
        <v>95</v>
      </c>
    </row>
    <row r="81" spans="1:2" x14ac:dyDescent="0.25">
      <c r="A81" s="9" t="s">
        <v>43</v>
      </c>
      <c r="B81" s="57">
        <v>72</v>
      </c>
    </row>
    <row r="82" spans="1:2" x14ac:dyDescent="0.25">
      <c r="A82" s="9" t="s">
        <v>43</v>
      </c>
      <c r="B82" s="57">
        <v>75</v>
      </c>
    </row>
    <row r="83" spans="1:2" x14ac:dyDescent="0.25">
      <c r="A83" s="9" t="s">
        <v>43</v>
      </c>
      <c r="B83" s="57">
        <v>76</v>
      </c>
    </row>
    <row r="84" spans="1:2" x14ac:dyDescent="0.25">
      <c r="A84" s="9" t="s">
        <v>43</v>
      </c>
      <c r="B84" s="57">
        <v>79</v>
      </c>
    </row>
    <row r="85" spans="1:2" x14ac:dyDescent="0.25">
      <c r="A85" s="9" t="s">
        <v>43</v>
      </c>
      <c r="B85" s="59">
        <v>108</v>
      </c>
    </row>
    <row r="86" spans="1:2" x14ac:dyDescent="0.25">
      <c r="A86" s="9" t="s">
        <v>28</v>
      </c>
      <c r="B86" s="57">
        <v>97</v>
      </c>
    </row>
    <row r="87" spans="1:2" x14ac:dyDescent="0.25">
      <c r="A87" s="9" t="s">
        <v>28</v>
      </c>
      <c r="B87" s="57">
        <v>69</v>
      </c>
    </row>
    <row r="88" spans="1:2" x14ac:dyDescent="0.25">
      <c r="A88" s="9" t="s">
        <v>28</v>
      </c>
      <c r="B88" s="57">
        <v>91</v>
      </c>
    </row>
    <row r="89" spans="1:2" x14ac:dyDescent="0.25">
      <c r="A89" s="9" t="s">
        <v>28</v>
      </c>
      <c r="B89" s="57">
        <v>100.1</v>
      </c>
    </row>
    <row r="90" spans="1:2" x14ac:dyDescent="0.25">
      <c r="A90" s="9" t="s">
        <v>28</v>
      </c>
      <c r="B90" s="57">
        <v>49</v>
      </c>
    </row>
    <row r="91" spans="1:2" x14ac:dyDescent="0.25">
      <c r="A91" s="9" t="s">
        <v>28</v>
      </c>
      <c r="B91" s="57">
        <v>116</v>
      </c>
    </row>
    <row r="92" spans="1:2" x14ac:dyDescent="0.25">
      <c r="A92" s="9" t="s">
        <v>28</v>
      </c>
      <c r="B92" s="57">
        <v>108</v>
      </c>
    </row>
    <row r="93" spans="1:2" x14ac:dyDescent="0.25">
      <c r="A93" s="9" t="s">
        <v>29</v>
      </c>
      <c r="B93" s="62">
        <v>65</v>
      </c>
    </row>
    <row r="94" spans="1:2" x14ac:dyDescent="0.25">
      <c r="A94" s="9" t="s">
        <v>29</v>
      </c>
      <c r="B94" s="57">
        <v>94</v>
      </c>
    </row>
    <row r="95" spans="1:2" x14ac:dyDescent="0.25">
      <c r="A95" s="9" t="s">
        <v>29</v>
      </c>
      <c r="B95" s="57">
        <v>53</v>
      </c>
    </row>
    <row r="96" spans="1:2" x14ac:dyDescent="0.25">
      <c r="A96" s="9" t="s">
        <v>29</v>
      </c>
      <c r="B96" s="57">
        <v>64</v>
      </c>
    </row>
    <row r="97" spans="1:2" x14ac:dyDescent="0.25">
      <c r="A97" s="9" t="s">
        <v>29</v>
      </c>
      <c r="B97" s="57">
        <v>83</v>
      </c>
    </row>
    <row r="98" spans="1:2" x14ac:dyDescent="0.25">
      <c r="A98" s="9" t="s">
        <v>29</v>
      </c>
      <c r="B98" s="57">
        <v>95</v>
      </c>
    </row>
    <row r="99" spans="1:2" x14ac:dyDescent="0.25">
      <c r="A99" s="9" t="s">
        <v>29</v>
      </c>
      <c r="B99" s="57">
        <v>72</v>
      </c>
    </row>
    <row r="100" spans="1:2" x14ac:dyDescent="0.25">
      <c r="A100" s="9" t="s">
        <v>29</v>
      </c>
      <c r="B100" s="57">
        <v>75</v>
      </c>
    </row>
    <row r="101" spans="1:2" x14ac:dyDescent="0.25">
      <c r="A101" s="9" t="s">
        <v>29</v>
      </c>
      <c r="B101" s="57">
        <v>76</v>
      </c>
    </row>
    <row r="102" spans="1:2" x14ac:dyDescent="0.25">
      <c r="A102" s="9" t="s">
        <v>29</v>
      </c>
      <c r="B102" s="57">
        <v>79</v>
      </c>
    </row>
    <row r="103" spans="1:2" x14ac:dyDescent="0.25">
      <c r="A103" s="9" t="s">
        <v>29</v>
      </c>
      <c r="B103" s="57">
        <v>95</v>
      </c>
    </row>
    <row r="104" spans="1:2" x14ac:dyDescent="0.25">
      <c r="A104" s="9" t="s">
        <v>29</v>
      </c>
      <c r="B104" s="59">
        <v>102</v>
      </c>
    </row>
    <row r="105" spans="1:2" x14ac:dyDescent="0.25">
      <c r="A105" s="121" t="s">
        <v>99</v>
      </c>
      <c r="B105" s="118">
        <v>77</v>
      </c>
    </row>
    <row r="106" spans="1:2" x14ac:dyDescent="0.25">
      <c r="A106" s="121" t="s">
        <v>99</v>
      </c>
      <c r="B106" s="118">
        <v>100</v>
      </c>
    </row>
    <row r="107" spans="1:2" x14ac:dyDescent="0.25">
      <c r="A107" s="121" t="s">
        <v>99</v>
      </c>
      <c r="B107" s="118">
        <v>66</v>
      </c>
    </row>
    <row r="108" spans="1:2" x14ac:dyDescent="0.25">
      <c r="A108" s="121" t="s">
        <v>99</v>
      </c>
      <c r="B108" s="118">
        <v>121</v>
      </c>
    </row>
    <row r="109" spans="1:2" x14ac:dyDescent="0.25">
      <c r="A109" s="121" t="s">
        <v>99</v>
      </c>
      <c r="B109" s="118">
        <v>87</v>
      </c>
    </row>
    <row r="110" spans="1:2" x14ac:dyDescent="0.25">
      <c r="A110" s="121" t="s">
        <v>99</v>
      </c>
      <c r="B110" s="118">
        <v>56</v>
      </c>
    </row>
    <row r="111" spans="1:2" x14ac:dyDescent="0.25">
      <c r="A111" s="121" t="s">
        <v>99</v>
      </c>
      <c r="B111" s="118">
        <v>64</v>
      </c>
    </row>
    <row r="112" spans="1:2" x14ac:dyDescent="0.25">
      <c r="A112" s="121" t="s">
        <v>99</v>
      </c>
      <c r="B112" s="118">
        <v>78</v>
      </c>
    </row>
    <row r="113" spans="1:2" x14ac:dyDescent="0.25">
      <c r="A113" s="121" t="s">
        <v>99</v>
      </c>
      <c r="B113" s="118">
        <v>63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zoomScaleNormal="100" workbookViewId="0">
      <selection activeCell="C8" sqref="C8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11.7109375" customWidth="1"/>
    <col min="4" max="4" width="10.28515625" customWidth="1"/>
    <col min="5" max="5" width="10.5703125" customWidth="1"/>
    <col min="6" max="6" width="10.28515625" customWidth="1"/>
    <col min="7" max="7" width="11.28515625" customWidth="1"/>
    <col min="8" max="8" width="9.7109375" customWidth="1"/>
    <col min="9" max="9" width="11.85546875" customWidth="1"/>
    <col min="10" max="10" width="12.7109375" customWidth="1"/>
    <col min="11" max="12" width="9.140625" customWidth="1"/>
    <col min="13" max="13" width="10.85546875" customWidth="1"/>
    <col min="14" max="14" width="11.85546875" customWidth="1"/>
    <col min="15" max="15" width="11.5703125" customWidth="1"/>
    <col min="16" max="16" width="12" customWidth="1"/>
    <col min="17" max="17" width="11" customWidth="1"/>
    <col min="18" max="18" width="9.85546875" customWidth="1"/>
    <col min="19" max="19" width="15.85546875" customWidth="1"/>
    <col min="20" max="20" width="12" bestFit="1" customWidth="1"/>
    <col min="21" max="21" width="11.42578125" bestFit="1" customWidth="1"/>
    <col min="22" max="22" width="13.85546875" customWidth="1"/>
    <col min="23" max="23" width="19" customWidth="1"/>
  </cols>
  <sheetData>
    <row r="1" spans="1:23" s="17" customFormat="1" x14ac:dyDescent="0.25">
      <c r="A1" s="144" t="s">
        <v>79</v>
      </c>
      <c r="B1" s="144" t="s">
        <v>126</v>
      </c>
      <c r="C1" s="144" t="s">
        <v>80</v>
      </c>
      <c r="D1" s="144" t="s">
        <v>94</v>
      </c>
      <c r="E1" s="144" t="s">
        <v>81</v>
      </c>
      <c r="F1" s="144" t="s">
        <v>82</v>
      </c>
      <c r="G1" s="144" t="s">
        <v>83</v>
      </c>
      <c r="H1" s="144" t="s">
        <v>84</v>
      </c>
      <c r="I1" s="144" t="s">
        <v>85</v>
      </c>
      <c r="J1" s="144" t="s">
        <v>86</v>
      </c>
      <c r="K1" s="144" t="s">
        <v>87</v>
      </c>
      <c r="L1" s="144" t="s">
        <v>88</v>
      </c>
      <c r="M1" s="144" t="s">
        <v>89</v>
      </c>
      <c r="N1" s="144" t="s">
        <v>90</v>
      </c>
      <c r="O1" s="144" t="s">
        <v>91</v>
      </c>
      <c r="P1" s="144" t="s">
        <v>92</v>
      </c>
      <c r="Q1" s="144" t="s">
        <v>38</v>
      </c>
      <c r="R1" s="144" t="s">
        <v>93</v>
      </c>
      <c r="S1" s="144" t="s">
        <v>59</v>
      </c>
      <c r="T1" s="144" t="s">
        <v>95</v>
      </c>
      <c r="U1" s="144" t="s">
        <v>96</v>
      </c>
      <c r="V1" s="144" t="s">
        <v>124</v>
      </c>
      <c r="W1" s="144" t="s">
        <v>125</v>
      </c>
    </row>
    <row r="2" spans="1:23" x14ac:dyDescent="0.25">
      <c r="A2" t="str">
        <f>'Data From Lance'!$A$6</f>
        <v>1D6D527</v>
      </c>
      <c r="B2" s="145"/>
      <c r="C2">
        <f>COUNTIFS('Data From Lance'!$D$6:$D$18,"&gt;= 0",'Data From Lance'!$D$6:$D$18,"&lt;=10")</f>
        <v>0</v>
      </c>
      <c r="D2">
        <f>COUNTIFS('Data From Lance'!$D6:$D18,"&gt;= 11",'Data From Lance'!$D6:$D18,"&lt;=20")</f>
        <v>0</v>
      </c>
      <c r="E2">
        <f>COUNTIFS('Data From Lance'!$D6:$D18,"&gt;= 21",'Data From Lance'!$D6:$D18,"&lt;=30")</f>
        <v>0</v>
      </c>
      <c r="F2">
        <f>COUNTIFS('Data From Lance'!$D6:$D18,"&gt;= 31",'Data From Lance'!$D6:$D18,"&lt;=40")</f>
        <v>1</v>
      </c>
      <c r="G2">
        <f>COUNTIFS('Data From Lance'!$D6:$D18,"&gt;= 41",'Data From Lance'!$D6:$D18,"&lt;=50")</f>
        <v>2</v>
      </c>
      <c r="H2">
        <f>COUNTIFS('Data From Lance'!$D6:$D18,"&gt;= 51",'Data From Lance'!$D6:$D18,"&lt;=60")</f>
        <v>2</v>
      </c>
      <c r="I2">
        <f>COUNTIFS('Data From Lance'!$D6:$D18,"&gt;= 61",'Data From Lance'!$D6:$D18,"&lt;=70")</f>
        <v>1</v>
      </c>
      <c r="J2">
        <f>COUNTIFS('Data From Lance'!$D6:$D18,"&gt;= 71",'Data From Lance'!$D6:$D18,"&lt;=80")</f>
        <v>1</v>
      </c>
      <c r="K2">
        <f>COUNTIFS('Data From Lance'!$D6:$D18,"&gt;= 81",'Data From Lance'!$D6:$D18,"&lt;=90")</f>
        <v>0</v>
      </c>
      <c r="L2">
        <f>COUNTIFS('Data From Lance'!$D6:$D18,"&gt;= 91",'Data From Lance'!$D6:$D18,"&lt;=100")</f>
        <v>2</v>
      </c>
      <c r="M2">
        <f>COUNTIFS('Data From Lance'!$D6:$D18,"&gt;= 101",'Data From Lance'!$D6:$D18,"&lt;=110")</f>
        <v>1</v>
      </c>
      <c r="N2">
        <f>COUNTIFS('Data From Lance'!$D6:$D18,"&gt;= 111",'Data From Lance'!$D6:$D18,"&lt;=120")</f>
        <v>3</v>
      </c>
      <c r="O2">
        <f>COUNTIFS('Data From Lance'!$D6:$D18,"&gt;= 121",'Data From Lance'!$D6:$D18,"&lt;=130")</f>
        <v>0</v>
      </c>
      <c r="P2">
        <f>COUNTIFS('Data From Lance'!$D6:$D18,"&gt;= 131",'Data From Lance'!$D6:$D18,"&lt;=140")</f>
        <v>0</v>
      </c>
      <c r="Q2">
        <v>0</v>
      </c>
      <c r="R2">
        <v>0</v>
      </c>
      <c r="S2" t="s">
        <v>6</v>
      </c>
      <c r="T2">
        <f t="shared" ref="T2:T17" si="0">SUM(C2:P2)</f>
        <v>13</v>
      </c>
      <c r="U2" s="112"/>
      <c r="V2" s="145"/>
    </row>
    <row r="3" spans="1:23" x14ac:dyDescent="0.25">
      <c r="A3" t="str">
        <f>'Data From Lance'!$A$19</f>
        <v>1D6D528</v>
      </c>
      <c r="B3" s="145"/>
      <c r="C3">
        <f>COUNTIFS('Data From Lance'!$D19:$D24,"&gt;= 0",'Data From Lance'!$D19:$D24,"&lt;=10")</f>
        <v>0</v>
      </c>
      <c r="D3">
        <f>COUNTIFS('Data From Lance'!$D19:$D24,"&gt;= 11",'Data From Lance'!$D19:$D24,"&lt;=20")</f>
        <v>0</v>
      </c>
      <c r="E3">
        <f>COUNTIFS('Data From Lance'!$D19:$D24,"&gt;= 21",'Data From Lance'!$D19:$D24,"&lt;=30")</f>
        <v>0</v>
      </c>
      <c r="F3">
        <f>COUNTIFS('Data From Lance'!$D19:$D24,"&gt;= 31",'Data From Lance'!$D19:$D24,"&lt;=40")</f>
        <v>0</v>
      </c>
      <c r="G3">
        <f>COUNTIFS('Data From Lance'!$D19:$D24,"&gt;= 41",'Data From Lance'!$D19:$D24,"&lt;=50")</f>
        <v>1</v>
      </c>
      <c r="H3">
        <f>COUNTIFS('Data From Lance'!$D19:$D24,"&gt;= 51",'Data From Lance'!$D19:$D24,"&lt;=60")</f>
        <v>1</v>
      </c>
      <c r="I3">
        <f>COUNTIFS('Data From Lance'!$D19:$D24,"&gt;= 61",'Data From Lance'!$D19:$D24,"&lt;=70")</f>
        <v>1</v>
      </c>
      <c r="J3">
        <f>COUNTIFS('Data From Lance'!$D19:$D24,"&gt;= 71",'Data From Lance'!$D19:$D24,"&lt;=80")</f>
        <v>0</v>
      </c>
      <c r="K3">
        <f>COUNTIFS('Data From Lance'!$D19:$D24,"&gt;= 81",'Data From Lance'!$D19:$D24,"&lt;=90")</f>
        <v>0</v>
      </c>
      <c r="L3">
        <f>COUNTIFS('Data From Lance'!$D19:$D24,"&gt;= 91",'Data From Lance'!$D19:$D24,"&lt;=100")</f>
        <v>2</v>
      </c>
      <c r="M3">
        <f>COUNTIFS('Data From Lance'!$D19:$D24,"&gt;= 101",'Data From Lance'!$D19:$D24,"&lt;=110")</f>
        <v>1</v>
      </c>
      <c r="N3">
        <f>COUNTIFS('Data From Lance'!$D19:$D24,"&gt;= 111",'Data From Lance'!$D19:$D24,"&lt;=120")</f>
        <v>0</v>
      </c>
      <c r="O3">
        <f>COUNTIFS('Data From Lance'!$D19:$D24,"&gt;= 121",'Data From Lance'!$D19:$D24,"&lt;=130")</f>
        <v>0</v>
      </c>
      <c r="P3">
        <f>COUNTIFS('Data From Lance'!$D19:$D24,"&gt;= 131",'Data From Lance'!$D19:$D24,"&lt;=140")</f>
        <v>0</v>
      </c>
      <c r="Q3">
        <v>0</v>
      </c>
      <c r="R3">
        <v>0</v>
      </c>
      <c r="S3" t="s">
        <v>6</v>
      </c>
      <c r="T3">
        <f t="shared" si="0"/>
        <v>6</v>
      </c>
      <c r="U3" s="112"/>
      <c r="V3" s="145">
        <v>90.69</v>
      </c>
    </row>
    <row r="4" spans="1:23" x14ac:dyDescent="0.25">
      <c r="A4" t="str">
        <f>'Data From Lance'!$A$25</f>
        <v>1D08J82</v>
      </c>
      <c r="B4" s="145"/>
      <c r="C4">
        <f>COUNTIFS('Data From Lance'!$D25:$D34,"&gt;= 0",'Data From Lance'!$D25:$D34,"&lt;=10")</f>
        <v>0</v>
      </c>
      <c r="D4">
        <f>COUNTIFS('Data From Lance'!$D25:$D34,"&gt;= 11",'Data From Lance'!$D25:$D34,"&lt;=20")</f>
        <v>0</v>
      </c>
      <c r="E4">
        <f>COUNTIFS('Data From Lance'!$D25:$D34,"&gt;= 21",'Data From Lance'!$D25:$D34,"&lt;=30")</f>
        <v>1</v>
      </c>
      <c r="F4">
        <f>COUNTIFS('Data From Lance'!$D25:$D34,"&gt;= 31",'Data From Lance'!$D25:$D34,"&lt;=40")</f>
        <v>0</v>
      </c>
      <c r="G4">
        <f>COUNTIFS('Data From Lance'!$D25:$D34,"&gt;= 41",'Data From Lance'!$D25:$D34,"&lt;=50")</f>
        <v>0</v>
      </c>
      <c r="H4">
        <f>COUNTIFS('Data From Lance'!$D25:$D34,"&gt;= 51",'Data From Lance'!$D25:$D34,"&lt;=60")</f>
        <v>2</v>
      </c>
      <c r="I4">
        <f>COUNTIFS('Data From Lance'!$D25:$D34,"&gt;= 61",'Data From Lance'!$D25:$D34,"&lt;=70")</f>
        <v>0</v>
      </c>
      <c r="J4">
        <f>COUNTIFS('Data From Lance'!$D25:$D34,"&gt;= 71",'Data From Lance'!$D25:$D34,"&lt;=80")</f>
        <v>0</v>
      </c>
      <c r="K4">
        <f>COUNTIFS('Data From Lance'!$D25:$D34,"&gt;= 81",'Data From Lance'!$D25:$D34,"&lt;=90")</f>
        <v>1</v>
      </c>
      <c r="L4">
        <f>COUNTIFS('Data From Lance'!$D25:$D34,"&gt;= 91",'Data From Lance'!$D25:$D34,"&lt;=100")</f>
        <v>0</v>
      </c>
      <c r="M4">
        <f>COUNTIFS('Data From Lance'!$D25:$D34,"&gt;= 101",'Data From Lance'!$D25:$D34,"&lt;=110")</f>
        <v>3</v>
      </c>
      <c r="N4">
        <f>COUNTIFS('Data From Lance'!$D25:$D34,"&gt;= 111",'Data From Lance'!$D25:$D34,"&lt;=120")</f>
        <v>0</v>
      </c>
      <c r="O4">
        <f>COUNTIFS('Data From Lance'!$D25:$D34,"&gt;= 121",'Data From Lance'!$D25:$D34,"&lt;=130")</f>
        <v>3</v>
      </c>
      <c r="P4">
        <f>COUNTIFS('Data From Lance'!$D25:$D34,"&gt;= 131",'Data From Lance'!$D25:$D34,"&lt;=140")</f>
        <v>0</v>
      </c>
      <c r="Q4">
        <v>0</v>
      </c>
      <c r="R4">
        <v>0</v>
      </c>
      <c r="S4" t="s">
        <v>6</v>
      </c>
      <c r="T4">
        <f t="shared" si="0"/>
        <v>10</v>
      </c>
      <c r="U4" s="112"/>
      <c r="V4" s="145"/>
    </row>
    <row r="5" spans="1:23" x14ac:dyDescent="0.25">
      <c r="A5" t="str">
        <f>'Data From Lance'!$A$35</f>
        <v>1D09L01</v>
      </c>
      <c r="B5" s="145"/>
      <c r="C5">
        <f>COUNTIFS('Data From Lance'!$D35:$D39,"&gt;= 0",'Data From Lance'!$D35:$D39,"&lt;=10")</f>
        <v>0</v>
      </c>
      <c r="D5">
        <f>COUNTIFS('Data From Lance'!$D35:$D39,"&gt;= 11",'Data From Lance'!$D35:$D39,"&lt;=20")</f>
        <v>0</v>
      </c>
      <c r="E5">
        <f>COUNTIFS('Data From Lance'!$D35:$D39,"&gt;= 21",'Data From Lance'!$D35:$D39,"&lt;=30")</f>
        <v>0</v>
      </c>
      <c r="F5">
        <f>COUNTIFS('Data From Lance'!$D35:$D39,"&gt;= 31",'Data From Lance'!$D35:$D39,"&lt;=40")</f>
        <v>0</v>
      </c>
      <c r="G5">
        <f>COUNTIFS('Data From Lance'!$D35:$D39,"&gt;= 41",'Data From Lance'!$D35:$D39,"&lt;=50")</f>
        <v>0</v>
      </c>
      <c r="H5">
        <f>COUNTIFS('Data From Lance'!$D35:$D39,"&gt;= 51",'Data From Lance'!$D35:$D39,"&lt;=60")</f>
        <v>0</v>
      </c>
      <c r="I5">
        <f>COUNTIFS('Data From Lance'!$D35:$D39,"&gt;= 61",'Data From Lance'!$D35:$D39,"&lt;=70")</f>
        <v>2</v>
      </c>
      <c r="J5">
        <f>COUNTIFS('Data From Lance'!$D35:$D39,"&gt;= 71",'Data From Lance'!$D35:$D39,"&lt;=80")</f>
        <v>1</v>
      </c>
      <c r="K5">
        <f>COUNTIFS('Data From Lance'!$D35:$D39,"&gt;= 81",'Data From Lance'!$D35:$D39,"&lt;=90")</f>
        <v>2</v>
      </c>
      <c r="L5">
        <f>COUNTIFS('Data From Lance'!$D35:$D39,"&gt;= 91",'Data From Lance'!$D35:$D39,"&lt;=100")</f>
        <v>0</v>
      </c>
      <c r="M5">
        <f>COUNTIFS('Data From Lance'!$D35:$D39,"&gt;= 101",'Data From Lance'!$D35:$D39,"&lt;=110")</f>
        <v>0</v>
      </c>
      <c r="N5">
        <f>COUNTIFS('Data From Lance'!$D35:$D39,"&gt;= 111",'Data From Lance'!$D35:$D39,"&lt;=120")</f>
        <v>0</v>
      </c>
      <c r="O5">
        <f>COUNTIFS('Data From Lance'!$D35:$D39,"&gt;= 121",'Data From Lance'!$D35:$D39,"&lt;=130")</f>
        <v>0</v>
      </c>
      <c r="P5">
        <f>COUNTIFS('Data From Lance'!$D35:$D39,"&gt;= 131",'Data From Lance'!$D35:$D39,"&lt;=140")</f>
        <v>0</v>
      </c>
      <c r="Q5">
        <v>1</v>
      </c>
      <c r="R5">
        <v>1</v>
      </c>
      <c r="S5" t="str">
        <f>'Data From Lance'!$A$36</f>
        <v>Holes and shrinkage</v>
      </c>
      <c r="T5">
        <f t="shared" si="0"/>
        <v>5</v>
      </c>
      <c r="U5" s="113"/>
      <c r="V5" s="145"/>
    </row>
    <row r="6" spans="1:23" x14ac:dyDescent="0.25">
      <c r="A6" t="str">
        <f>'Data From Lance'!$A$40</f>
        <v>1D10L58</v>
      </c>
      <c r="B6" s="145"/>
      <c r="C6">
        <f>COUNTIFS('Data From Lance'!$D40:$D45,"&gt;= 0",'Data From Lance'!$D40:$D45,"&lt;=10")</f>
        <v>0</v>
      </c>
      <c r="D6">
        <f>COUNTIFS('Data From Lance'!$D40:$D45,"&gt;= 11",'Data From Lance'!$D40:$D45,"&lt;=20")</f>
        <v>0</v>
      </c>
      <c r="E6">
        <f>COUNTIFS('Data From Lance'!$D40:$D45,"&gt;= 21",'Data From Lance'!$D40:$D45,"&lt;=30")</f>
        <v>0</v>
      </c>
      <c r="F6">
        <f>COUNTIFS('Data From Lance'!$D40:$D45,"&gt;= 31",'Data From Lance'!$D40:$D45,"&lt;=40")</f>
        <v>0</v>
      </c>
      <c r="G6">
        <f>COUNTIFS('Data From Lance'!$D40:$D45,"&gt;= 41",'Data From Lance'!$D40:$D45,"&lt;=50")</f>
        <v>0</v>
      </c>
      <c r="H6">
        <f>COUNTIFS('Data From Lance'!$D40:$D45,"&gt;= 51",'Data From Lance'!$D40:$D45,"&lt;=60")</f>
        <v>0</v>
      </c>
      <c r="I6">
        <f>COUNTIFS('Data From Lance'!$D40:$D45,"&gt;= 61",'Data From Lance'!$D40:$D45,"&lt;=70")</f>
        <v>2</v>
      </c>
      <c r="J6">
        <f>COUNTIFS('Data From Lance'!$D40:$D45,"&gt;= 71",'Data From Lance'!$D40:$D45,"&lt;=80")</f>
        <v>0</v>
      </c>
      <c r="K6">
        <f>COUNTIFS('Data From Lance'!$D40:$D45,"&gt;= 81",'Data From Lance'!$D40:$D45,"&lt;=90")</f>
        <v>2</v>
      </c>
      <c r="L6">
        <f>COUNTIFS('Data From Lance'!$D40:$D45,"&gt;= 91",'Data From Lance'!$D40:$D45,"&lt;=100")</f>
        <v>0</v>
      </c>
      <c r="M6">
        <f>COUNTIFS('Data From Lance'!$D40:$D45,"&gt;= 101",'Data From Lance'!$D40:$D45,"&lt;=110")</f>
        <v>1</v>
      </c>
      <c r="N6">
        <f>COUNTIFS('Data From Lance'!$D40:$D45,"&gt;= 111",'Data From Lance'!$D40:$D45,"&lt;=120")</f>
        <v>0</v>
      </c>
      <c r="O6">
        <f>COUNTIFS('Data From Lance'!$D40:$D45,"&gt;= 121",'Data From Lance'!$D40:$D45,"&lt;=130")</f>
        <v>1</v>
      </c>
      <c r="P6">
        <f>COUNTIFS('Data From Lance'!$D40:$D45,"&gt;= 131",'Data From Lance'!$D40:$D45,"&lt;=140")</f>
        <v>0</v>
      </c>
      <c r="Q6">
        <v>0</v>
      </c>
      <c r="R6">
        <v>0</v>
      </c>
      <c r="S6" t="str">
        <f>'Data From Lance'!$A$41</f>
        <v>Too hard</v>
      </c>
      <c r="T6">
        <f t="shared" si="0"/>
        <v>6</v>
      </c>
      <c r="U6" s="114"/>
      <c r="V6" s="145"/>
    </row>
    <row r="7" spans="1:23" x14ac:dyDescent="0.25">
      <c r="A7" t="str">
        <f>'Data From Lance'!$A$46</f>
        <v>1D11J22</v>
      </c>
      <c r="B7" s="145"/>
      <c r="C7">
        <f>COUNTIFS('Data From Lance'!$D46:$D55,"&gt;= 0",'Data From Lance'!$D46:$D55,"&lt;=10")</f>
        <v>0</v>
      </c>
      <c r="D7">
        <f>COUNTIFS('Data From Lance'!$D46:$D55,"&gt;= 11",'Data From Lance'!$D46:$D55,"&lt;=20")</f>
        <v>0</v>
      </c>
      <c r="E7">
        <f>COUNTIFS('Data From Lance'!$D46:$D55,"&gt;= 21",'Data From Lance'!$D46:$D55,"&lt;=30")</f>
        <v>0</v>
      </c>
      <c r="F7">
        <f>COUNTIFS('Data From Lance'!$D46:$D55,"&gt;= 31",'Data From Lance'!$D46:$D55,"&lt;=40")</f>
        <v>0</v>
      </c>
      <c r="G7">
        <f>COUNTIFS('Data From Lance'!$D46:$D55,"&gt;= 41",'Data From Lance'!$D46:$D55,"&lt;=50")</f>
        <v>0</v>
      </c>
      <c r="H7">
        <f>COUNTIFS('Data From Lance'!$D46:$D55,"&gt;= 51",'Data From Lance'!$D46:$D55,"&lt;=60")</f>
        <v>0</v>
      </c>
      <c r="I7">
        <f>COUNTIFS('Data From Lance'!$D46:$D55,"&gt;= 61",'Data From Lance'!$D46:$D55,"&lt;=70")</f>
        <v>5</v>
      </c>
      <c r="J7">
        <f>COUNTIFS('Data From Lance'!$D46:$D55,"&gt;= 71",'Data From Lance'!$D46:$D55,"&lt;=80")</f>
        <v>1</v>
      </c>
      <c r="K7">
        <f>COUNTIFS('Data From Lance'!$D46:$D55,"&gt;= 81",'Data From Lance'!$D46:$D55,"&lt;=90")</f>
        <v>0</v>
      </c>
      <c r="L7">
        <f>COUNTIFS('Data From Lance'!$D46:$D55,"&gt;= 91",'Data From Lance'!$D46:$D55,"&lt;=100")</f>
        <v>2</v>
      </c>
      <c r="M7">
        <f>COUNTIFS('Data From Lance'!$D46:$D55,"&gt;= 101",'Data From Lance'!$D46:$D55,"&lt;=110")</f>
        <v>0</v>
      </c>
      <c r="N7">
        <f>COUNTIFS('Data From Lance'!$D46:$D55,"&gt;= 111",'Data From Lance'!$D46:$D55,"&lt;=120")</f>
        <v>1</v>
      </c>
      <c r="O7">
        <f>COUNTIFS('Data From Lance'!$D46:$D55,"&gt;= 121",'Data From Lance'!$D46:$D55,"&lt;=130")</f>
        <v>1</v>
      </c>
      <c r="P7">
        <f>COUNTIFS('Data From Lance'!$D46:$D55,"&gt;= 131",'Data From Lance'!$D46:$D55,"&lt;=140")</f>
        <v>0</v>
      </c>
      <c r="Q7">
        <v>1</v>
      </c>
      <c r="R7">
        <v>0</v>
      </c>
      <c r="S7" t="str">
        <f>'Data From Lance'!$A$47</f>
        <v>Shrinkage</v>
      </c>
      <c r="T7">
        <f t="shared" si="0"/>
        <v>10</v>
      </c>
      <c r="U7" s="114"/>
      <c r="V7" s="145"/>
    </row>
    <row r="8" spans="1:23" x14ac:dyDescent="0.25">
      <c r="A8" t="str">
        <f>'Data From Lance'!$A$56</f>
        <v>1D12F32/F33</v>
      </c>
      <c r="B8" s="145"/>
      <c r="C8">
        <f>COUNTIFS('Data From Lance'!$D56:$D65,"&gt;= 0",'Data From Lance'!$D56:$D65,"&lt;=10")</f>
        <v>0</v>
      </c>
      <c r="D8">
        <f>COUNTIFS('Data From Lance'!$D56:$D65,"&gt;= 11",'Data From Lance'!$D56:$D65,"&lt;=20")</f>
        <v>0</v>
      </c>
      <c r="E8">
        <f>COUNTIFS('Data From Lance'!$D56:$D65,"&gt;= 21",'Data From Lance'!$D56:$D65,"&lt;=30")</f>
        <v>0</v>
      </c>
      <c r="F8">
        <f>COUNTIFS('Data From Lance'!$D56:$D65,"&gt;= 31",'Data From Lance'!$D56:$D65,"&lt;=40")</f>
        <v>1</v>
      </c>
      <c r="G8">
        <f>COUNTIFS('Data From Lance'!$D56:$D65,"&gt;= 41",'Data From Lance'!$D56:$D65,"&lt;=50")</f>
        <v>1</v>
      </c>
      <c r="H8">
        <f>COUNTIFS('Data From Lance'!$D56:$D65,"&gt;= 51",'Data From Lance'!$D56:$D65,"&lt;=60")</f>
        <v>0</v>
      </c>
      <c r="I8">
        <f>COUNTIFS('Data From Lance'!$D56:$D65,"&gt;= 61",'Data From Lance'!$D56:$D65,"&lt;=70")</f>
        <v>0</v>
      </c>
      <c r="J8">
        <f>COUNTIFS('Data From Lance'!$D56:$D65,"&gt;= 71",'Data From Lance'!$D56:$D65,"&lt;=80")</f>
        <v>1</v>
      </c>
      <c r="K8">
        <f>COUNTIFS('Data From Lance'!$D56:$D65,"&gt;= 81",'Data From Lance'!$D56:$D65,"&lt;=90")</f>
        <v>1</v>
      </c>
      <c r="L8">
        <f>COUNTIFS('Data From Lance'!$D56:$D65,"&gt;= 91",'Data From Lance'!$D56:$D65,"&lt;=100")</f>
        <v>5</v>
      </c>
      <c r="M8">
        <f>COUNTIFS('Data From Lance'!$D56:$D65,"&gt;= 101",'Data From Lance'!$D56:$D65,"&lt;=110")</f>
        <v>1</v>
      </c>
      <c r="N8">
        <f>COUNTIFS('Data From Lance'!$D56:$D65,"&gt;= 111",'Data From Lance'!$D56:$D65,"&lt;=120")</f>
        <v>0</v>
      </c>
      <c r="O8">
        <f>COUNTIFS('Data From Lance'!$D56:$D65,"&gt;= 121",'Data From Lance'!$D56:$D65,"&lt;=130")</f>
        <v>0</v>
      </c>
      <c r="P8">
        <f>COUNTIFS('Data From Lance'!$D56:$D65,"&gt;= 131",'Data From Lance'!$D56:$D65,"&lt;=140")</f>
        <v>0</v>
      </c>
      <c r="Q8">
        <v>0</v>
      </c>
      <c r="R8">
        <v>0</v>
      </c>
      <c r="S8" t="str">
        <f>'Data From Lance'!$A$57</f>
        <v>Good</v>
      </c>
      <c r="T8">
        <f t="shared" si="0"/>
        <v>10</v>
      </c>
      <c r="U8" s="112"/>
      <c r="V8" s="145"/>
    </row>
    <row r="9" spans="1:23" x14ac:dyDescent="0.25">
      <c r="A9" t="str">
        <f>'Data From Lance'!$A$66</f>
        <v>1D12F34</v>
      </c>
      <c r="B9" s="145"/>
      <c r="C9">
        <f>COUNTIFS('Data From Lance'!$D66:$D69,"&gt;= 0",'Data From Lance'!$D66:$D69,"&lt;=10")</f>
        <v>0</v>
      </c>
      <c r="D9">
        <f>COUNTIFS('Data From Lance'!$D66:$D69,"&gt;= 11",'Data From Lance'!$D66:$D69,"&lt;=20")</f>
        <v>0</v>
      </c>
      <c r="E9">
        <f>COUNTIFS('Data From Lance'!$D66:$D69,"&gt;= 21",'Data From Lance'!$D66:$D69,"&lt;=30")</f>
        <v>1</v>
      </c>
      <c r="F9">
        <f>COUNTIFS('Data From Lance'!$D66:$D69,"&gt;= 31",'Data From Lance'!$D66:$D69,"&lt;=40")</f>
        <v>0</v>
      </c>
      <c r="G9">
        <f>COUNTIFS('Data From Lance'!$D66:$D69,"&gt;= 41",'Data From Lance'!$D66:$D69,"&lt;=50")</f>
        <v>0</v>
      </c>
      <c r="H9">
        <f>COUNTIFS('Data From Lance'!$D66:$D69,"&gt;= 51",'Data From Lance'!$D66:$D69,"&lt;=60")</f>
        <v>0</v>
      </c>
      <c r="I9">
        <f>COUNTIFS('Data From Lance'!$D66:$D69,"&gt;= 61",'Data From Lance'!$D66:$D69,"&lt;=70")</f>
        <v>0</v>
      </c>
      <c r="J9">
        <f>COUNTIFS('Data From Lance'!$D66:$D69,"&gt;= 71",'Data From Lance'!$D66:$D69,"&lt;=80")</f>
        <v>0</v>
      </c>
      <c r="K9">
        <f>COUNTIFS('Data From Lance'!$D66:$D69,"&gt;= 81",'Data From Lance'!$D66:$D69,"&lt;=90")</f>
        <v>0</v>
      </c>
      <c r="L9">
        <f>COUNTIFS('Data From Lance'!$D66:$D69,"&gt;= 91",'Data From Lance'!$D66:$D69,"&lt;=100")</f>
        <v>1</v>
      </c>
      <c r="M9">
        <f>COUNTIFS('Data From Lance'!$D66:$D69,"&gt;= 101",'Data From Lance'!$D66:$D69,"&lt;=110")</f>
        <v>2</v>
      </c>
      <c r="N9">
        <f>COUNTIFS('Data From Lance'!$D66:$D69,"&gt;= 111",'Data From Lance'!$D66:$D69,"&lt;=120")</f>
        <v>0</v>
      </c>
      <c r="O9">
        <f>COUNTIFS('Data From Lance'!$D66:$D69,"&gt;= 121",'Data From Lance'!$D66:$D69,"&lt;=130")</f>
        <v>0</v>
      </c>
      <c r="P9">
        <f>COUNTIFS('Data From Lance'!$D66:$D69,"&gt;= 131",'Data From Lance'!$D66:$D69,"&lt;=140")</f>
        <v>0</v>
      </c>
      <c r="Q9">
        <v>0</v>
      </c>
      <c r="R9">
        <v>0</v>
      </c>
      <c r="S9" t="str">
        <f>'Data From Lance'!$A$67</f>
        <v>Good</v>
      </c>
      <c r="T9">
        <f t="shared" si="0"/>
        <v>4</v>
      </c>
      <c r="U9" s="112"/>
      <c r="V9" s="145"/>
    </row>
    <row r="10" spans="1:23" x14ac:dyDescent="0.25">
      <c r="A10" t="str">
        <f>'Data From Lance'!$A$70</f>
        <v>1D14A22</v>
      </c>
      <c r="B10" s="145"/>
      <c r="C10">
        <f>COUNTIFS('Data From Lance'!$D70:$D77,"&gt;= 0",'Data From Lance'!$D70:$D77,"&lt;=10")</f>
        <v>0</v>
      </c>
      <c r="D10">
        <f>COUNTIFS('Data From Lance'!$D70:$D77,"&gt;= 11",'Data From Lance'!$D70:$D77,"&lt;=20")</f>
        <v>0</v>
      </c>
      <c r="E10">
        <f>COUNTIFS('Data From Lance'!$D70:$D77,"&gt;= 21",'Data From Lance'!$D70:$D77,"&lt;=30")</f>
        <v>0</v>
      </c>
      <c r="F10">
        <f>COUNTIFS('Data From Lance'!$D70:$D77,"&gt;= 31",'Data From Lance'!$D70:$D77,"&lt;=40")</f>
        <v>0</v>
      </c>
      <c r="G10">
        <f>COUNTIFS('Data From Lance'!$D70:$D77,"&gt;= 41",'Data From Lance'!$D70:$D77,"&lt;=50")</f>
        <v>0</v>
      </c>
      <c r="H10">
        <f>COUNTIFS('Data From Lance'!$D70:$D77,"&gt;= 51",'Data From Lance'!$D70:$D77,"&lt;=60")</f>
        <v>1</v>
      </c>
      <c r="I10">
        <f>COUNTIFS('Data From Lance'!$D70:$D77,"&gt;= 61",'Data From Lance'!$D70:$D77,"&lt;=70")</f>
        <v>1</v>
      </c>
      <c r="J10">
        <f>COUNTIFS('Data From Lance'!$D70:$D77,"&gt;= 71",'Data From Lance'!$D70:$D77,"&lt;=80")</f>
        <v>3</v>
      </c>
      <c r="K10">
        <f>COUNTIFS('Data From Lance'!$D70:$D77,"&gt;= 81",'Data From Lance'!$D70:$D77,"&lt;=90")</f>
        <v>1</v>
      </c>
      <c r="L10">
        <f>COUNTIFS('Data From Lance'!$D70:$D77,"&gt;= 91",'Data From Lance'!$D70:$D77,"&lt;=100")</f>
        <v>0</v>
      </c>
      <c r="M10">
        <f>COUNTIFS('Data From Lance'!$D70:$D77,"&gt;= 101",'Data From Lance'!$D70:$D77,"&lt;=110")</f>
        <v>0</v>
      </c>
      <c r="N10">
        <f>COUNTIFS('Data From Lance'!$D70:$D77,"&gt;= 111",'Data From Lance'!$D70:$D77,"&lt;=120")</f>
        <v>2</v>
      </c>
      <c r="O10">
        <f>COUNTIFS('Data From Lance'!$D70:$D77,"&gt;= 121",'Data From Lance'!$D70:$D77,"&lt;=130")</f>
        <v>0</v>
      </c>
      <c r="P10">
        <f>COUNTIFS('Data From Lance'!$D70:$D77,"&gt;= 131",'Data From Lance'!$D70:$D77,"&lt;=140")</f>
        <v>0</v>
      </c>
      <c r="Q10">
        <v>1</v>
      </c>
      <c r="R10">
        <v>0</v>
      </c>
      <c r="S10" t="s">
        <v>97</v>
      </c>
      <c r="T10">
        <f t="shared" si="0"/>
        <v>8</v>
      </c>
      <c r="U10" s="114"/>
      <c r="V10" s="145"/>
    </row>
    <row r="11" spans="1:23" x14ac:dyDescent="0.25">
      <c r="A11" t="str">
        <f>'Data From Lance'!$A$78</f>
        <v>1D15L11/1D15L13</v>
      </c>
      <c r="B11" s="145"/>
      <c r="C11">
        <f>COUNTIFS('Data From Lance'!$D78:$D89,"&gt;= 0",'Data From Lance'!$D78:$D89,"&lt;=10")</f>
        <v>0</v>
      </c>
      <c r="D11">
        <f>COUNTIFS('Data From Lance'!$D78:$D89,"&gt;= 11",'Data From Lance'!$D78:$D89,"&lt;=20")</f>
        <v>0</v>
      </c>
      <c r="E11">
        <f>COUNTIFS('Data From Lance'!$D78:$D89,"&gt;= 21",'Data From Lance'!$D78:$D89,"&lt;=30")</f>
        <v>0</v>
      </c>
      <c r="F11">
        <f>COUNTIFS('Data From Lance'!$D78:$D89,"&gt;= 31",'Data From Lance'!$D78:$D89,"&lt;=40")</f>
        <v>0</v>
      </c>
      <c r="G11">
        <f>COUNTIFS('Data From Lance'!$D78:$D89,"&gt;= 41",'Data From Lance'!$D78:$D89,"&lt;=50")</f>
        <v>0</v>
      </c>
      <c r="H11">
        <f>COUNTIFS('Data From Lance'!$D78:$D89,"&gt;= 51",'Data From Lance'!$D78:$D89,"&lt;=60")</f>
        <v>1</v>
      </c>
      <c r="I11">
        <f>COUNTIFS('Data From Lance'!$D78:$D89,"&gt;= 61",'Data From Lance'!$D78:$D89,"&lt;=70")</f>
        <v>2</v>
      </c>
      <c r="J11">
        <f>COUNTIFS('Data From Lance'!$D78:$D89,"&gt;= 71",'Data From Lance'!$D78:$D89,"&lt;=80")</f>
        <v>4</v>
      </c>
      <c r="K11">
        <f>COUNTIFS('Data From Lance'!$D78:$D89,"&gt;= 81",'Data From Lance'!$D78:$D89,"&lt;=90")</f>
        <v>1</v>
      </c>
      <c r="L11">
        <f>COUNTIFS('Data From Lance'!$D78:$D89,"&gt;= 91",'Data From Lance'!$D78:$D89,"&lt;=100")</f>
        <v>3</v>
      </c>
      <c r="M11">
        <f>COUNTIFS('Data From Lance'!$D78:$D89,"&gt;= 101",'Data From Lance'!$D78:$D89,"&lt;=110")</f>
        <v>1</v>
      </c>
      <c r="N11">
        <f>COUNTIFS('Data From Lance'!$D78:$D89,"&gt;= 111",'Data From Lance'!$D78:$D89,"&lt;=120")</f>
        <v>0</v>
      </c>
      <c r="O11">
        <f>COUNTIFS('Data From Lance'!$D78:$D89,"&gt;= 121",'Data From Lance'!$D78:$D89,"&lt;=130")</f>
        <v>0</v>
      </c>
      <c r="P11">
        <f>COUNTIFS('Data From Lance'!$D78:$D89,"&gt;= 131",'Data From Lance'!$D78:$D89,"&lt;=140")</f>
        <v>0</v>
      </c>
      <c r="Q11">
        <v>0</v>
      </c>
      <c r="R11">
        <v>0</v>
      </c>
      <c r="S11" t="str">
        <f>'Data From Lance'!$A$80</f>
        <v>good</v>
      </c>
      <c r="T11">
        <f t="shared" si="0"/>
        <v>12</v>
      </c>
      <c r="U11" s="112"/>
      <c r="V11" s="145"/>
    </row>
    <row r="12" spans="1:23" x14ac:dyDescent="0.25">
      <c r="A12" t="s">
        <v>115</v>
      </c>
      <c r="B12" s="145"/>
      <c r="C12">
        <f>COUNTIFS('Data From Lance'!$D90:$D96,"&gt;= 0",'Data From Lance'!$D90:$D96,"&lt;=10")</f>
        <v>0</v>
      </c>
      <c r="D12">
        <f>COUNTIFS('Data From Lance'!$D90:$D96,"&gt;= 11",'Data From Lance'!$D90:$D96,"&lt;=20")</f>
        <v>0</v>
      </c>
      <c r="E12">
        <f>COUNTIFS('Data From Lance'!$D90:$D96,"&gt;= 21",'Data From Lance'!$D90:$D96,"&lt;=30")</f>
        <v>0</v>
      </c>
      <c r="F12">
        <f>COUNTIFS('Data From Lance'!$D90:$D96,"&gt;= 31",'Data From Lance'!$D90:$D96,"&lt;=40")</f>
        <v>0</v>
      </c>
      <c r="G12">
        <f>COUNTIFS('Data From Lance'!$D90:$D96,"&gt;= 41",'Data From Lance'!$D90:$D96,"&lt;=50")</f>
        <v>1</v>
      </c>
      <c r="H12">
        <f>COUNTIFS('Data From Lance'!$D90:$D96,"&gt;= 51",'Data From Lance'!$D90:$D96,"&lt;=60")</f>
        <v>0</v>
      </c>
      <c r="I12">
        <f>COUNTIFS('Data From Lance'!$D90:$D96,"&gt;= 61",'Data From Lance'!$D90:$D96,"&lt;=70")</f>
        <v>1</v>
      </c>
      <c r="J12">
        <f>COUNTIFS('Data From Lance'!$D90:$D96,"&gt;= 71",'Data From Lance'!$D90:$D96,"&lt;=80")</f>
        <v>0</v>
      </c>
      <c r="K12">
        <f>COUNTIFS('Data From Lance'!$D90:$D96,"&gt;= 81",'Data From Lance'!$D90:$D96,"&lt;=90")</f>
        <v>0</v>
      </c>
      <c r="L12">
        <f>COUNTIFS('Data From Lance'!$D90:$D96,"&gt;= 91",'Data From Lance'!$D90:$D96,"&lt;=100")</f>
        <v>2</v>
      </c>
      <c r="M12">
        <f>COUNTIFS('Data From Lance'!$D90:$D96,"&gt;= 101",'Data From Lance'!$D90:$D96,"&lt;=110")</f>
        <v>1</v>
      </c>
      <c r="N12">
        <f>COUNTIFS('Data From Lance'!$D90:$D96,"&gt;= 111",'Data From Lance'!$D90:$D96,"&lt;=120")</f>
        <v>1</v>
      </c>
      <c r="O12">
        <f>COUNTIFS('Data From Lance'!$D90:$D96,"&gt;= 121",'Data From Lance'!$D90:$D96,"&lt;=130")</f>
        <v>0</v>
      </c>
      <c r="P12">
        <f>COUNTIFS('Data From Lance'!$D90:$D96,"&gt;= 131",'Data From Lance'!$D90:$D96,"&lt;=140")</f>
        <v>0</v>
      </c>
      <c r="Q12">
        <v>0</v>
      </c>
      <c r="R12">
        <v>0</v>
      </c>
      <c r="S12" t="str">
        <f>'Data From Lance'!$A$92</f>
        <v>good</v>
      </c>
      <c r="T12">
        <f t="shared" si="0"/>
        <v>6</v>
      </c>
      <c r="U12" s="112"/>
      <c r="V12" s="145"/>
    </row>
    <row r="13" spans="1:23" x14ac:dyDescent="0.25">
      <c r="A13" t="s">
        <v>117</v>
      </c>
      <c r="B13" s="145"/>
      <c r="C13">
        <f>COUNTIFS('Data From Lance'!$D97:$D108,"&gt;= 0",'Data From Lance'!$D97:$D108,"&lt;=10")</f>
        <v>0</v>
      </c>
      <c r="D13">
        <f>COUNTIFS('Data From Lance'!$D97:$D108,"&gt;= 11",'Data From Lance'!$D97:$D108,"&lt;=20")</f>
        <v>0</v>
      </c>
      <c r="E13">
        <f>COUNTIFS('Data From Lance'!$D97:$D108,"&gt;= 21",'Data From Lance'!$D97:$D108,"&lt;=30")</f>
        <v>0</v>
      </c>
      <c r="F13">
        <f>COUNTIFS('Data From Lance'!$D97:$D108,"&gt;= 31",'Data From Lance'!$D97:$D108,"&lt;=40")</f>
        <v>0</v>
      </c>
      <c r="G13">
        <f>COUNTIFS('Data From Lance'!$D97:$D108,"&gt;= 41",'Data From Lance'!$D97:$D108,"&lt;=50")</f>
        <v>0</v>
      </c>
      <c r="H13">
        <f>COUNTIFS('Data From Lance'!$D97:$D108,"&gt;= 51",'Data From Lance'!$D97:$D108,"&lt;=60")</f>
        <v>1</v>
      </c>
      <c r="I13">
        <f>COUNTIFS('Data From Lance'!$D97:$D108,"&gt;= 61",'Data From Lance'!$D97:$D108,"&lt;=70")</f>
        <v>2</v>
      </c>
      <c r="J13">
        <f>COUNTIFS('Data From Lance'!$D97:$D108,"&gt;= 71",'Data From Lance'!$D97:$D108,"&lt;=80")</f>
        <v>4</v>
      </c>
      <c r="K13">
        <f>COUNTIFS('Data From Lance'!$D97:$D108,"&gt;= 81",'Data From Lance'!$D97:$D108,"&lt;=90")</f>
        <v>1</v>
      </c>
      <c r="L13">
        <f>COUNTIFS('Data From Lance'!$D97:$D108,"&gt;= 91",'Data From Lance'!$D97:$D108,"&lt;=100")</f>
        <v>3</v>
      </c>
      <c r="M13">
        <f>COUNTIFS('Data From Lance'!$D97:$D108,"&gt;= 101",'Data From Lance'!$D97:$D108,"&lt;=110")</f>
        <v>1</v>
      </c>
      <c r="N13">
        <f>COUNTIFS('Data From Lance'!$D97:$D108,"&gt;= 111",'Data From Lance'!$D97:$D108,"&lt;=120")</f>
        <v>0</v>
      </c>
      <c r="O13">
        <f>COUNTIFS('Data From Lance'!$D97:$D108,"&gt;= 121",'Data From Lance'!$D97:$D108,"&lt;=130")</f>
        <v>0</v>
      </c>
      <c r="P13">
        <f>COUNTIFS('Data From Lance'!$D97:$D108,"&gt;= 131",'Data From Lance'!$D97:$D108,"&lt;=140")</f>
        <v>0</v>
      </c>
      <c r="Q13">
        <v>0</v>
      </c>
      <c r="R13">
        <v>0</v>
      </c>
      <c r="S13" t="s">
        <v>98</v>
      </c>
      <c r="T13">
        <f t="shared" si="0"/>
        <v>12</v>
      </c>
      <c r="U13" s="112"/>
      <c r="V13" s="145"/>
    </row>
    <row r="14" spans="1:23" x14ac:dyDescent="0.25">
      <c r="A14" t="s">
        <v>99</v>
      </c>
      <c r="B14" s="145"/>
      <c r="C14">
        <f>COUNTIFS('Data From Lance'!$B144:$B152,"&gt;= 0",'Data From Lance'!$B144:$B152,"&lt;=10")</f>
        <v>0</v>
      </c>
      <c r="D14">
        <f>COUNTIFS('Data From Lance'!$B144:$B152,"&gt;= 11",'Data From Lance'!$B144:$B152,"&lt;=20")</f>
        <v>0</v>
      </c>
      <c r="E14">
        <f>COUNTIFS('Data From Lance'!$B144:$B152,"&gt;= 21",'Data From Lance'!$B144:$B152,"&lt;=30")</f>
        <v>0</v>
      </c>
      <c r="F14">
        <f>COUNTIFS('Data From Lance'!$B144:$B152,"&gt;= 31",'Data From Lance'!$B144:$B152,"&lt;=40")</f>
        <v>0</v>
      </c>
      <c r="G14">
        <f>COUNTIFS('Data From Lance'!$B144:$B152,"&gt;= 41",'Data From Lance'!$B144:$B152,"&lt;=50")</f>
        <v>0</v>
      </c>
      <c r="H14">
        <f>COUNTIFS('Data From Lance'!$B144:$B152,"&gt;= 51",'Data From Lance'!$B144:$B152,"&lt;=60")</f>
        <v>1</v>
      </c>
      <c r="I14">
        <f>COUNTIFS('Data From Lance'!$B144:$B152,"&gt;= 61",'Data From Lance'!$B144:$B152,"&lt;=70")</f>
        <v>3</v>
      </c>
      <c r="J14">
        <f>COUNTIFS('Data From Lance'!$B144:$B152,"&gt;= 71",'Data From Lance'!$B144:$B152,"&lt;=80")</f>
        <v>2</v>
      </c>
      <c r="K14">
        <f>COUNTIFS('Data From Lance'!$B144:$B152,"&gt;= 81",'Data From Lance'!$B144:$B152,"&lt;=90")</f>
        <v>1</v>
      </c>
      <c r="L14">
        <f>COUNTIFS('Data From Lance'!$B144:$B152,"&gt;= 91",'Data From Lance'!$B144:$B152,"&lt;=100")</f>
        <v>1</v>
      </c>
      <c r="M14">
        <f>COUNTIFS('Data From Lance'!$B144:$B152,"&gt;= 101",'Data From Lance'!$B144:$B152,"&lt;=110")</f>
        <v>0</v>
      </c>
      <c r="N14">
        <f>COUNTIFS('Data From Lance'!$B144:$B152,"&gt;= 111",'Data From Lance'!$B144:$B152,"&lt;=120")</f>
        <v>0</v>
      </c>
      <c r="O14">
        <f>COUNTIFS('Data From Lance'!$B144:$B152,"&gt;= 121",'Data From Lance'!$B144:$B152,"&lt;=130")</f>
        <v>1</v>
      </c>
      <c r="P14">
        <f>COUNTIFS('Data From Lance'!$B144:$B152,"&gt;= 131",'Data From Lance'!$B144:$B152,"&lt;=140")</f>
        <v>0</v>
      </c>
      <c r="S14" t="s">
        <v>106</v>
      </c>
      <c r="T14">
        <f t="shared" si="0"/>
        <v>9</v>
      </c>
      <c r="V14" s="145"/>
    </row>
    <row r="15" spans="1:23" x14ac:dyDescent="0.25">
      <c r="A15" t="s">
        <v>120</v>
      </c>
      <c r="B15" s="145"/>
      <c r="C15">
        <f>COUNTIFS('Charge Data Zeon'!$D30:$D36,"&gt;= 0",'Charge Data Zeon'!$D30:$D36,"&lt;=10")</f>
        <v>0</v>
      </c>
      <c r="D15">
        <f>COUNTIFS('Charge Data Zeon'!$D30:$D36,"&gt;= 11",'Charge Data Zeon'!$D30:$D36,"&lt;=20")</f>
        <v>0</v>
      </c>
      <c r="E15">
        <f>COUNTIFS('Charge Data Zeon'!$D30:$D36,"&gt;= 21",'Charge Data Zeon'!$D30:$D36,"&lt;=30")</f>
        <v>0</v>
      </c>
      <c r="F15">
        <f>COUNTIFS('Charge Data Zeon'!$D30:$D36,"&gt;= 31",'Charge Data Zeon'!$D30:$D36,"&lt;=40")</f>
        <v>0</v>
      </c>
      <c r="G15">
        <f>COUNTIFS('Charge Data Zeon'!$D30:$D36,"&gt;= 41",'Charge Data Zeon'!$D30:$D36,"&lt;=50")</f>
        <v>0</v>
      </c>
      <c r="H15">
        <f>COUNTIFS('Charge Data Zeon'!$D30:$D36,"&gt;= 51",'Charge Data Zeon'!$D30:$D36,"&lt;=60")</f>
        <v>1</v>
      </c>
      <c r="I15">
        <f>COUNTIFS('Charge Data Zeon'!$D30:$D36,"&gt;= 61",'Charge Data Zeon'!$D30:$D36,"&lt;=70")</f>
        <v>1</v>
      </c>
      <c r="J15">
        <f>COUNTIFS('Charge Data Zeon'!$D30:$D36,"&gt;= 71",'Charge Data Zeon'!$D30:$D36,"&lt;=80")</f>
        <v>1</v>
      </c>
      <c r="K15">
        <f>COUNTIFS('Charge Data Zeon'!$D30:$D36,"&gt;= 81",'Charge Data Zeon'!$D30:$D36,"&lt;=90")</f>
        <v>1</v>
      </c>
      <c r="L15">
        <f>COUNTIFS('Charge Data Zeon'!$D30:$D36,"&gt;= 91",'Charge Data Zeon'!$D30:$D36,"&lt;=100")</f>
        <v>2</v>
      </c>
      <c r="M15">
        <f>COUNTIFS('Charge Data Zeon'!$D30:$D36,"&gt;= 101",'Charge Data Zeon'!$D30:$D36,"&lt;=110")</f>
        <v>1</v>
      </c>
      <c r="N15">
        <f>COUNTIFS('Charge Data Zeon'!$D30:$D36,"&gt;= 111",'Charge Data Zeon'!$D30:$D36,"&lt;=120")</f>
        <v>0</v>
      </c>
      <c r="O15">
        <f>COUNTIFS('Charge Data Zeon'!$D30:$D36,"&gt;= 121",'Charge Data Zeon'!$D30:$D36,"&lt;=130")</f>
        <v>0</v>
      </c>
      <c r="P15">
        <f>COUNTIFS('Charge Data Zeon'!$D30:$D36,"&gt;= 131",'Charge Data Zeon'!$D30:$D36,"&lt;=140")</f>
        <v>0</v>
      </c>
      <c r="T15">
        <f t="shared" si="0"/>
        <v>7</v>
      </c>
      <c r="V15" s="145"/>
    </row>
    <row r="16" spans="1:23" x14ac:dyDescent="0.25">
      <c r="A16" t="s">
        <v>122</v>
      </c>
      <c r="B16" s="145"/>
      <c r="C16">
        <f>COUNTIFS('Charge Data Zeon'!$D37:$D44,"&gt;= 0",'Charge Data Zeon'!$D37:$D44,"&lt;=10")</f>
        <v>0</v>
      </c>
      <c r="D16">
        <f>COUNTIFS('Charge Data Zeon'!$D37:$D44,"&gt;= 11",'Charge Data Zeon'!$D37:$D44,"&lt;=20")</f>
        <v>0</v>
      </c>
      <c r="E16">
        <f>COUNTIFS('Charge Data Zeon'!$D37:$D44,"&gt;= 21",'Charge Data Zeon'!$D37:$D44,"&lt;=30")</f>
        <v>0</v>
      </c>
      <c r="F16">
        <f>COUNTIFS('Charge Data Zeon'!$D37:$D44,"&gt;= 31",'Charge Data Zeon'!$D37:$D44,"&lt;=40")</f>
        <v>0</v>
      </c>
      <c r="G16">
        <f>COUNTIFS('Charge Data Zeon'!$D37:$D44,"&gt;= 41",'Charge Data Zeon'!$D37:$D44,"&lt;=50")</f>
        <v>1</v>
      </c>
      <c r="H16">
        <f>COUNTIFS('Charge Data Zeon'!$D37:$D44,"&gt;= 51",'Charge Data Zeon'!$D37:$D44,"&lt;=60")</f>
        <v>0</v>
      </c>
      <c r="I16">
        <f>COUNTIFS('Charge Data Zeon'!$D37:$D44,"&gt;= 61",'Charge Data Zeon'!$D37:$D44,"&lt;=70")</f>
        <v>2</v>
      </c>
      <c r="J16">
        <f>COUNTIFS('Charge Data Zeon'!$D37:$D44,"&gt;= 71",'Charge Data Zeon'!$D37:$D44,"&lt;=80")</f>
        <v>1</v>
      </c>
      <c r="K16">
        <f>COUNTIFS('Charge Data Zeon'!$D37:$D44,"&gt;= 81",'Charge Data Zeon'!$D37:$D44,"&lt;=90")</f>
        <v>2</v>
      </c>
      <c r="L16">
        <f>COUNTIFS('Charge Data Zeon'!$D37:$D44,"&gt;= 91",'Charge Data Zeon'!$D37:$D44,"&lt;=100")</f>
        <v>2</v>
      </c>
      <c r="M16">
        <f>COUNTIFS('Charge Data Zeon'!$D37:$D44,"&gt;= 101",'Charge Data Zeon'!$D37:$D44,"&lt;=110")</f>
        <v>0</v>
      </c>
      <c r="N16">
        <f>COUNTIFS('Charge Data Zeon'!$D37:$D44,"&gt;= 111",'Charge Data Zeon'!$D37:$D44,"&lt;=120")</f>
        <v>0</v>
      </c>
      <c r="O16">
        <f>COUNTIFS('Charge Data Zeon'!$D37:$D44,"&gt;= 121",'Charge Data Zeon'!$D37:$D44,"&lt;=130")</f>
        <v>0</v>
      </c>
      <c r="P16">
        <f>COUNTIFS('Charge Data Zeon'!$D37:$D44,"&gt;= 131",'Charge Data Zeon'!$D37:$D44,"&lt;=140")</f>
        <v>0</v>
      </c>
      <c r="T16">
        <f t="shared" si="0"/>
        <v>8</v>
      </c>
      <c r="V16" s="145"/>
    </row>
    <row r="17" spans="1:22" x14ac:dyDescent="0.25">
      <c r="A17" t="s">
        <v>123</v>
      </c>
      <c r="B17" s="145"/>
      <c r="C17">
        <f>COUNTIFS('Charge Data Zeon'!$D45:$D48,"&gt;= 0",'Charge Data Zeon'!$D45:$D48,"&lt;=10")</f>
        <v>0</v>
      </c>
      <c r="D17">
        <f>COUNTIFS('Charge Data Zeon'!$D45:$D48,"&gt;= 11",'Charge Data Zeon'!$D45:$D48,"&lt;=20")</f>
        <v>0</v>
      </c>
      <c r="E17">
        <f>COUNTIFS('Charge Data Zeon'!$D45:$D48,"&gt;= 21",'Charge Data Zeon'!$D45:$D48,"&lt;=30")</f>
        <v>0</v>
      </c>
      <c r="F17">
        <f>COUNTIFS('Charge Data Zeon'!$D45:$D48,"&gt;= 31",'Charge Data Zeon'!$D45:$D48,"&lt;=40")</f>
        <v>0</v>
      </c>
      <c r="G17">
        <f>COUNTIFS('Charge Data Zeon'!$D45:$D48,"&gt;= 41",'Charge Data Zeon'!$D45:$D48,"&lt;=50")</f>
        <v>0</v>
      </c>
      <c r="H17">
        <f>COUNTIFS('Charge Data Zeon'!$D45:$D48,"&gt;= 51",'Charge Data Zeon'!$D45:$D48,"&lt;=60")</f>
        <v>0</v>
      </c>
      <c r="I17">
        <f>COUNTIFS('Charge Data Zeon'!$D45:$D48,"&gt;= 61",'Charge Data Zeon'!$D45:$D48,"&lt;=70")</f>
        <v>1</v>
      </c>
      <c r="J17">
        <f>COUNTIFS('Charge Data Zeon'!$D45:$D48,"&gt;= 71",'Charge Data Zeon'!$D45:$D48,"&lt;=80")</f>
        <v>2</v>
      </c>
      <c r="K17">
        <f>COUNTIFS('Charge Data Zeon'!$D45:$D48,"&gt;= 81",'Charge Data Zeon'!$D45:$D48,"&lt;=90")</f>
        <v>0</v>
      </c>
      <c r="L17">
        <f>COUNTIFS('Charge Data Zeon'!$D45:$D48,"&gt;= 91",'Charge Data Zeon'!$D45:$D48,"&lt;=100")</f>
        <v>1</v>
      </c>
      <c r="M17">
        <f>COUNTIFS('Charge Data Zeon'!$D45:$D48,"&gt;= 101",'Charge Data Zeon'!$D45:$D48,"&lt;=110")</f>
        <v>0</v>
      </c>
      <c r="N17">
        <f>COUNTIFS('Charge Data Zeon'!$D45:$D48,"&gt;= 111",'Charge Data Zeon'!$D45:$D48,"&lt;=120")</f>
        <v>0</v>
      </c>
      <c r="O17">
        <f>COUNTIFS('Charge Data Zeon'!$D45:$D48,"&gt;= 121",'Charge Data Zeon'!$D45:$D48,"&lt;=130")</f>
        <v>0</v>
      </c>
      <c r="P17">
        <f>COUNTIFS('Charge Data Zeon'!$D45:$D48,"&gt;= 131",'Charge Data Zeon'!$D45:$D48,"&lt;=140")</f>
        <v>0</v>
      </c>
      <c r="T17">
        <f t="shared" si="0"/>
        <v>4</v>
      </c>
      <c r="V17" s="145"/>
    </row>
    <row r="18" spans="1:22" x14ac:dyDescent="0.25">
      <c r="V18" s="145"/>
    </row>
  </sheetData>
  <autoFilter ref="A1:W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6"/>
  <sheetViews>
    <sheetView workbookViewId="0">
      <selection activeCell="C1" sqref="C1:C1048576"/>
    </sheetView>
  </sheetViews>
  <sheetFormatPr defaultRowHeight="15" x14ac:dyDescent="0.25"/>
  <cols>
    <col min="2" max="2" width="11.28515625" customWidth="1"/>
    <col min="13" max="16" width="9.85546875" customWidth="1"/>
    <col min="17" max="17" width="11.85546875" customWidth="1"/>
    <col min="18" max="18" width="10.85546875" customWidth="1"/>
    <col min="19" max="19" width="12.7109375" customWidth="1"/>
    <col min="20" max="20" width="14.140625" customWidth="1"/>
    <col min="21" max="21" width="13.7109375" customWidth="1"/>
    <col min="22" max="22" width="13.5703125" customWidth="1"/>
    <col min="23" max="23" width="16.85546875" customWidth="1"/>
    <col min="24" max="24" width="12.5703125" customWidth="1"/>
  </cols>
  <sheetData>
    <row r="1" spans="1:24" x14ac:dyDescent="0.25">
      <c r="A1" s="144" t="s">
        <v>207</v>
      </c>
      <c r="B1" s="144" t="s">
        <v>126</v>
      </c>
      <c r="C1" s="144" t="s">
        <v>80</v>
      </c>
      <c r="D1" s="144" t="s">
        <v>94</v>
      </c>
      <c r="E1" s="144" t="s">
        <v>81</v>
      </c>
      <c r="F1" s="144" t="s">
        <v>82</v>
      </c>
      <c r="G1" s="144" t="s">
        <v>83</v>
      </c>
      <c r="H1" s="144" t="s">
        <v>84</v>
      </c>
      <c r="I1" s="144" t="s">
        <v>85</v>
      </c>
      <c r="J1" s="144" t="s">
        <v>86</v>
      </c>
      <c r="K1" s="144" t="s">
        <v>87</v>
      </c>
      <c r="L1" s="144" t="s">
        <v>88</v>
      </c>
      <c r="M1" s="144" t="s">
        <v>89</v>
      </c>
      <c r="N1" s="144" t="s">
        <v>90</v>
      </c>
      <c r="O1" s="144" t="s">
        <v>91</v>
      </c>
      <c r="P1" s="144" t="s">
        <v>92</v>
      </c>
      <c r="Q1" s="144" t="s">
        <v>38</v>
      </c>
      <c r="R1" s="144" t="s">
        <v>93</v>
      </c>
      <c r="S1" s="144" t="s">
        <v>59</v>
      </c>
      <c r="T1" s="144" t="s">
        <v>95</v>
      </c>
      <c r="U1" s="144" t="s">
        <v>96</v>
      </c>
      <c r="V1" s="144" t="s">
        <v>155</v>
      </c>
      <c r="W1" s="144" t="s">
        <v>156</v>
      </c>
      <c r="X1" s="144" t="s">
        <v>124</v>
      </c>
    </row>
    <row r="2" spans="1:24" x14ac:dyDescent="0.25">
      <c r="A2" t="str">
        <f>'Data From Lance'!$A$6</f>
        <v>1D6D527</v>
      </c>
      <c r="B2" s="146" t="s">
        <v>129</v>
      </c>
      <c r="C2">
        <f>COUNTIFS('Data From Lance'!$D$6:$D$18,"&gt;= 0",'Data From Lance'!$D$6:$D$18,"&lt;=10")</f>
        <v>0</v>
      </c>
      <c r="D2">
        <f>COUNTIFS('Data From Lance'!$D6:$D18,"&gt;= 11",'Data From Lance'!$D6:$D18,"&lt;=20")</f>
        <v>0</v>
      </c>
      <c r="E2">
        <f>COUNTIFS('Data From Lance'!$D6:$D18,"&gt;= 21",'Data From Lance'!$D6:$D18,"&lt;=30")</f>
        <v>0</v>
      </c>
      <c r="F2">
        <f>COUNTIFS('Data From Lance'!$D6:$D18,"&gt;= 31",'Data From Lance'!$D6:$D18,"&lt;=40")</f>
        <v>1</v>
      </c>
      <c r="G2">
        <f>COUNTIFS('Data From Lance'!$D6:$D18,"&gt;= 41",'Data From Lance'!$D6:$D18,"&lt;=50")</f>
        <v>2</v>
      </c>
      <c r="H2">
        <f>COUNTIFS('Data From Lance'!$D6:$D18,"&gt;= 51",'Data From Lance'!$D6:$D18,"&lt;=60")</f>
        <v>2</v>
      </c>
      <c r="I2">
        <f>COUNTIFS('Data From Lance'!$D6:$D18,"&gt;= 61",'Data From Lance'!$D6:$D18,"&lt;=70")</f>
        <v>1</v>
      </c>
      <c r="J2">
        <f>COUNTIFS('Data From Lance'!$D6:$D18,"&gt;= 71",'Data From Lance'!$D6:$D18,"&lt;=80")</f>
        <v>1</v>
      </c>
      <c r="K2">
        <f>COUNTIFS('Data From Lance'!$D6:$D18,"&gt;= 81",'Data From Lance'!$D6:$D18,"&lt;=90")</f>
        <v>0</v>
      </c>
      <c r="L2">
        <f>COUNTIFS('Data From Lance'!$D6:$D18,"&gt;= 91",'Data From Lance'!$D6:$D18,"&lt;=100")</f>
        <v>2</v>
      </c>
      <c r="M2">
        <f>COUNTIFS('Data From Lance'!$D6:$D18,"&gt;= 101",'Data From Lance'!$D6:$D18,"&lt;=110")</f>
        <v>1</v>
      </c>
      <c r="N2">
        <f>COUNTIFS('Data From Lance'!$D6:$D18,"&gt;= 111",'Data From Lance'!$D6:$D18,"&lt;=120")</f>
        <v>3</v>
      </c>
      <c r="O2">
        <f>COUNTIFS('Data From Lance'!$D6:$D18,"&gt;= 121",'Data From Lance'!$D6:$D18,"&lt;=130")</f>
        <v>0</v>
      </c>
      <c r="P2">
        <f>COUNTIFS('Data From Lance'!$D6:$D18,"&gt;= 131",'Data From Lance'!$D6:$D18,"&lt;=140")</f>
        <v>0</v>
      </c>
      <c r="Q2">
        <v>0</v>
      </c>
      <c r="R2">
        <v>0</v>
      </c>
      <c r="S2" t="s">
        <v>6</v>
      </c>
      <c r="T2">
        <f t="shared" ref="T2" si="0">SUM(C2:P2)</f>
        <v>13</v>
      </c>
      <c r="U2" s="112"/>
      <c r="V2">
        <v>1730.5555555555554</v>
      </c>
      <c r="W2">
        <v>868</v>
      </c>
      <c r="X2">
        <f>(W2/V2)*100</f>
        <v>50.157303370786522</v>
      </c>
    </row>
    <row r="3" spans="1:24" x14ac:dyDescent="0.25">
      <c r="A3" t="s">
        <v>5</v>
      </c>
      <c r="B3" s="146" t="s">
        <v>130</v>
      </c>
      <c r="C3">
        <v>0</v>
      </c>
      <c r="D3">
        <v>0</v>
      </c>
      <c r="E3">
        <v>0</v>
      </c>
      <c r="F3">
        <v>1</v>
      </c>
      <c r="G3">
        <v>2</v>
      </c>
      <c r="H3">
        <v>2</v>
      </c>
      <c r="I3">
        <v>1</v>
      </c>
      <c r="J3">
        <v>1</v>
      </c>
      <c r="K3">
        <v>0</v>
      </c>
      <c r="L3">
        <v>2</v>
      </c>
      <c r="M3">
        <v>1</v>
      </c>
      <c r="N3">
        <v>3</v>
      </c>
      <c r="O3">
        <v>0</v>
      </c>
      <c r="P3">
        <v>0</v>
      </c>
      <c r="Q3">
        <v>0</v>
      </c>
      <c r="R3">
        <v>0</v>
      </c>
      <c r="S3" t="s">
        <v>6</v>
      </c>
      <c r="T3">
        <v>13</v>
      </c>
      <c r="U3" s="112"/>
      <c r="V3">
        <v>869.44444444444457</v>
      </c>
      <c r="W3">
        <v>155</v>
      </c>
      <c r="X3">
        <f t="shared" ref="X3:X27" si="1">(W3/V3)*100</f>
        <v>17.827476038338656</v>
      </c>
    </row>
    <row r="4" spans="1:24" x14ac:dyDescent="0.25">
      <c r="A4" t="str">
        <f>'Data From Lance'!$A$6</f>
        <v>1D6D527</v>
      </c>
      <c r="B4" s="146" t="s">
        <v>131</v>
      </c>
      <c r="C4">
        <v>0</v>
      </c>
      <c r="D4">
        <v>0</v>
      </c>
      <c r="E4">
        <v>0</v>
      </c>
      <c r="F4">
        <v>1</v>
      </c>
      <c r="G4">
        <v>2</v>
      </c>
      <c r="H4">
        <v>2</v>
      </c>
      <c r="I4">
        <v>1</v>
      </c>
      <c r="J4">
        <v>1</v>
      </c>
      <c r="K4">
        <v>0</v>
      </c>
      <c r="L4">
        <v>2</v>
      </c>
      <c r="M4">
        <v>1</v>
      </c>
      <c r="N4">
        <v>3</v>
      </c>
      <c r="O4">
        <v>0</v>
      </c>
      <c r="P4">
        <v>0</v>
      </c>
      <c r="Q4">
        <v>0</v>
      </c>
      <c r="R4">
        <v>0</v>
      </c>
      <c r="S4" t="s">
        <v>6</v>
      </c>
      <c r="T4">
        <v>13</v>
      </c>
      <c r="U4" s="112"/>
      <c r="V4">
        <v>891.66666666666663</v>
      </c>
      <c r="W4">
        <v>800.66664000000003</v>
      </c>
      <c r="X4">
        <f t="shared" si="1"/>
        <v>89.794389532710284</v>
      </c>
    </row>
    <row r="5" spans="1:24" x14ac:dyDescent="0.25">
      <c r="A5" t="s">
        <v>5</v>
      </c>
      <c r="B5" s="146" t="s">
        <v>132</v>
      </c>
      <c r="C5">
        <v>0</v>
      </c>
      <c r="D5">
        <v>0</v>
      </c>
      <c r="E5">
        <v>0</v>
      </c>
      <c r="F5">
        <v>1</v>
      </c>
      <c r="G5">
        <v>2</v>
      </c>
      <c r="H5">
        <v>2</v>
      </c>
      <c r="I5">
        <v>1</v>
      </c>
      <c r="J5">
        <v>1</v>
      </c>
      <c r="K5">
        <v>0</v>
      </c>
      <c r="L5">
        <v>2</v>
      </c>
      <c r="M5">
        <v>1</v>
      </c>
      <c r="N5">
        <v>3</v>
      </c>
      <c r="O5">
        <v>0</v>
      </c>
      <c r="P5">
        <v>0</v>
      </c>
      <c r="Q5">
        <v>0</v>
      </c>
      <c r="R5">
        <v>0</v>
      </c>
      <c r="S5" t="s">
        <v>6</v>
      </c>
      <c r="T5">
        <v>13</v>
      </c>
      <c r="U5" s="112"/>
      <c r="V5">
        <v>791.66666666666663</v>
      </c>
      <c r="W5">
        <v>747</v>
      </c>
      <c r="X5">
        <f t="shared" si="1"/>
        <v>94.357894736842113</v>
      </c>
    </row>
    <row r="6" spans="1:24" x14ac:dyDescent="0.25">
      <c r="A6" t="s">
        <v>5</v>
      </c>
      <c r="B6" s="146" t="s">
        <v>133</v>
      </c>
      <c r="C6">
        <v>0</v>
      </c>
      <c r="D6">
        <v>0</v>
      </c>
      <c r="E6">
        <v>0</v>
      </c>
      <c r="F6">
        <v>1</v>
      </c>
      <c r="G6">
        <v>2</v>
      </c>
      <c r="H6">
        <v>2</v>
      </c>
      <c r="I6">
        <v>1</v>
      </c>
      <c r="J6">
        <v>1</v>
      </c>
      <c r="K6">
        <v>0</v>
      </c>
      <c r="L6">
        <v>2</v>
      </c>
      <c r="M6">
        <v>1</v>
      </c>
      <c r="N6">
        <v>3</v>
      </c>
      <c r="O6">
        <v>0</v>
      </c>
      <c r="P6">
        <v>0</v>
      </c>
      <c r="Q6">
        <v>0</v>
      </c>
      <c r="R6">
        <v>0</v>
      </c>
      <c r="S6" t="s">
        <v>6</v>
      </c>
      <c r="T6">
        <v>13</v>
      </c>
      <c r="U6" s="112"/>
      <c r="V6">
        <v>816.66666666666674</v>
      </c>
      <c r="W6">
        <v>360</v>
      </c>
      <c r="X6">
        <f t="shared" si="1"/>
        <v>44.08163265306122</v>
      </c>
    </row>
    <row r="7" spans="1:24" x14ac:dyDescent="0.25">
      <c r="A7" t="s">
        <v>5</v>
      </c>
      <c r="B7" s="146" t="s">
        <v>134</v>
      </c>
      <c r="C7">
        <v>0</v>
      </c>
      <c r="D7">
        <v>0</v>
      </c>
      <c r="E7">
        <v>0</v>
      </c>
      <c r="F7">
        <v>1</v>
      </c>
      <c r="G7">
        <v>2</v>
      </c>
      <c r="H7">
        <v>2</v>
      </c>
      <c r="I7">
        <v>1</v>
      </c>
      <c r="J7">
        <v>1</v>
      </c>
      <c r="K7">
        <v>0</v>
      </c>
      <c r="L7">
        <v>2</v>
      </c>
      <c r="M7">
        <v>1</v>
      </c>
      <c r="N7">
        <v>3</v>
      </c>
      <c r="O7">
        <v>0</v>
      </c>
      <c r="P7">
        <v>0</v>
      </c>
      <c r="Q7">
        <v>0</v>
      </c>
      <c r="R7">
        <v>0</v>
      </c>
      <c r="S7" t="s">
        <v>6</v>
      </c>
      <c r="T7">
        <v>13</v>
      </c>
      <c r="U7" s="112"/>
      <c r="V7">
        <v>3505.5555555555557</v>
      </c>
      <c r="W7">
        <v>0</v>
      </c>
      <c r="X7">
        <f t="shared" si="1"/>
        <v>0</v>
      </c>
    </row>
    <row r="8" spans="1:24" x14ac:dyDescent="0.25">
      <c r="A8" t="s">
        <v>5</v>
      </c>
      <c r="B8" s="146" t="s">
        <v>135</v>
      </c>
      <c r="C8">
        <v>0</v>
      </c>
      <c r="D8">
        <v>0</v>
      </c>
      <c r="E8">
        <v>0</v>
      </c>
      <c r="F8">
        <v>1</v>
      </c>
      <c r="G8">
        <v>2</v>
      </c>
      <c r="H8">
        <v>2</v>
      </c>
      <c r="I8">
        <v>1</v>
      </c>
      <c r="J8">
        <v>1</v>
      </c>
      <c r="K8">
        <v>0</v>
      </c>
      <c r="L8">
        <v>2</v>
      </c>
      <c r="M8">
        <v>1</v>
      </c>
      <c r="N8">
        <v>3</v>
      </c>
      <c r="O8">
        <v>0</v>
      </c>
      <c r="P8">
        <v>0</v>
      </c>
      <c r="Q8">
        <v>0</v>
      </c>
      <c r="R8">
        <v>0</v>
      </c>
      <c r="S8" t="s">
        <v>6</v>
      </c>
      <c r="T8">
        <v>13</v>
      </c>
      <c r="U8" s="112"/>
      <c r="V8">
        <v>855.55555555555566</v>
      </c>
      <c r="W8">
        <v>840</v>
      </c>
      <c r="X8">
        <f t="shared" si="1"/>
        <v>98.181818181818173</v>
      </c>
    </row>
    <row r="9" spans="1:24" x14ac:dyDescent="0.25">
      <c r="A9" t="s">
        <v>5</v>
      </c>
      <c r="B9" s="146" t="s">
        <v>136</v>
      </c>
      <c r="C9">
        <v>0</v>
      </c>
      <c r="D9">
        <v>0</v>
      </c>
      <c r="E9">
        <v>0</v>
      </c>
      <c r="F9">
        <v>1</v>
      </c>
      <c r="G9">
        <v>2</v>
      </c>
      <c r="H9">
        <v>2</v>
      </c>
      <c r="I9">
        <v>1</v>
      </c>
      <c r="J9">
        <v>1</v>
      </c>
      <c r="K9">
        <v>0</v>
      </c>
      <c r="L9">
        <v>2</v>
      </c>
      <c r="M9">
        <v>1</v>
      </c>
      <c r="N9">
        <v>3</v>
      </c>
      <c r="O9">
        <v>0</v>
      </c>
      <c r="P9">
        <v>0</v>
      </c>
      <c r="Q9">
        <v>0</v>
      </c>
      <c r="R9">
        <v>0</v>
      </c>
      <c r="S9" t="s">
        <v>6</v>
      </c>
      <c r="T9">
        <v>13</v>
      </c>
      <c r="U9" s="112"/>
      <c r="V9">
        <v>755.55555555555554</v>
      </c>
      <c r="W9">
        <v>628.75</v>
      </c>
      <c r="X9">
        <f t="shared" si="1"/>
        <v>83.216911764705884</v>
      </c>
    </row>
    <row r="10" spans="1:24" x14ac:dyDescent="0.25">
      <c r="A10" t="s">
        <v>5</v>
      </c>
      <c r="B10" s="146" t="s">
        <v>137</v>
      </c>
      <c r="C10">
        <v>0</v>
      </c>
      <c r="D10">
        <v>0</v>
      </c>
      <c r="E10">
        <v>0</v>
      </c>
      <c r="F10">
        <v>1</v>
      </c>
      <c r="G10">
        <v>2</v>
      </c>
      <c r="H10">
        <v>2</v>
      </c>
      <c r="I10">
        <v>1</v>
      </c>
      <c r="J10">
        <v>1</v>
      </c>
      <c r="K10">
        <v>0</v>
      </c>
      <c r="L10">
        <v>2</v>
      </c>
      <c r="M10">
        <v>1</v>
      </c>
      <c r="N10">
        <v>3</v>
      </c>
      <c r="O10">
        <v>0</v>
      </c>
      <c r="P10">
        <v>0</v>
      </c>
      <c r="Q10">
        <v>0</v>
      </c>
      <c r="R10">
        <v>0</v>
      </c>
      <c r="S10" t="s">
        <v>6</v>
      </c>
      <c r="T10">
        <v>13</v>
      </c>
      <c r="U10" s="112"/>
      <c r="V10">
        <v>763.88888888888891</v>
      </c>
      <c r="W10">
        <v>0</v>
      </c>
      <c r="X10">
        <f t="shared" si="1"/>
        <v>0</v>
      </c>
    </row>
    <row r="11" spans="1:24" x14ac:dyDescent="0.25">
      <c r="A11" t="s">
        <v>5</v>
      </c>
      <c r="B11" s="146" t="s">
        <v>138</v>
      </c>
      <c r="C11">
        <v>0</v>
      </c>
      <c r="D11">
        <v>0</v>
      </c>
      <c r="E11">
        <v>0</v>
      </c>
      <c r="F11">
        <v>1</v>
      </c>
      <c r="G11">
        <v>2</v>
      </c>
      <c r="H11">
        <v>2</v>
      </c>
      <c r="I11">
        <v>1</v>
      </c>
      <c r="J11">
        <v>1</v>
      </c>
      <c r="K11">
        <v>0</v>
      </c>
      <c r="L11">
        <v>2</v>
      </c>
      <c r="M11">
        <v>1</v>
      </c>
      <c r="N11">
        <v>3</v>
      </c>
      <c r="O11">
        <v>0</v>
      </c>
      <c r="P11">
        <v>0</v>
      </c>
      <c r="Q11">
        <v>0</v>
      </c>
      <c r="R11">
        <v>0</v>
      </c>
      <c r="S11" t="s">
        <v>6</v>
      </c>
      <c r="T11">
        <v>13</v>
      </c>
      <c r="U11" s="112"/>
      <c r="V11">
        <v>623.88888888888891</v>
      </c>
      <c r="W11">
        <v>0</v>
      </c>
      <c r="X11">
        <f t="shared" si="1"/>
        <v>0</v>
      </c>
    </row>
    <row r="12" spans="1:24" x14ac:dyDescent="0.25">
      <c r="A12" t="s">
        <v>5</v>
      </c>
      <c r="B12" s="146" t="s">
        <v>139</v>
      </c>
      <c r="C12">
        <v>0</v>
      </c>
      <c r="D12">
        <v>0</v>
      </c>
      <c r="E12">
        <v>0</v>
      </c>
      <c r="F12">
        <v>1</v>
      </c>
      <c r="G12">
        <v>2</v>
      </c>
      <c r="H12">
        <v>2</v>
      </c>
      <c r="I12">
        <v>1</v>
      </c>
      <c r="J12">
        <v>1</v>
      </c>
      <c r="K12">
        <v>0</v>
      </c>
      <c r="L12">
        <v>2</v>
      </c>
      <c r="M12">
        <v>1</v>
      </c>
      <c r="N12">
        <v>3</v>
      </c>
      <c r="O12">
        <v>0</v>
      </c>
      <c r="P12">
        <v>0</v>
      </c>
      <c r="Q12">
        <v>0</v>
      </c>
      <c r="R12">
        <v>0</v>
      </c>
      <c r="S12" t="s">
        <v>6</v>
      </c>
      <c r="T12">
        <v>13</v>
      </c>
      <c r="U12" s="112"/>
      <c r="V12">
        <v>688.88888888888891</v>
      </c>
      <c r="W12">
        <v>0</v>
      </c>
      <c r="X12">
        <f t="shared" si="1"/>
        <v>0</v>
      </c>
    </row>
    <row r="13" spans="1:24" x14ac:dyDescent="0.25">
      <c r="A13" t="s">
        <v>5</v>
      </c>
      <c r="B13" s="146" t="s">
        <v>140</v>
      </c>
      <c r="C13">
        <v>0</v>
      </c>
      <c r="D13">
        <v>0</v>
      </c>
      <c r="E13">
        <v>0</v>
      </c>
      <c r="F13">
        <v>1</v>
      </c>
      <c r="G13">
        <v>2</v>
      </c>
      <c r="H13">
        <v>2</v>
      </c>
      <c r="I13">
        <v>1</v>
      </c>
      <c r="J13">
        <v>1</v>
      </c>
      <c r="K13">
        <v>0</v>
      </c>
      <c r="L13">
        <v>2</v>
      </c>
      <c r="M13">
        <v>1</v>
      </c>
      <c r="N13">
        <v>3</v>
      </c>
      <c r="O13">
        <v>0</v>
      </c>
      <c r="P13">
        <v>0</v>
      </c>
      <c r="Q13">
        <v>0</v>
      </c>
      <c r="R13">
        <v>0</v>
      </c>
      <c r="S13" t="s">
        <v>6</v>
      </c>
      <c r="T13">
        <v>13</v>
      </c>
      <c r="U13" s="112"/>
      <c r="V13">
        <v>333.33333333333331</v>
      </c>
      <c r="W13">
        <v>0</v>
      </c>
      <c r="X13">
        <f t="shared" si="1"/>
        <v>0</v>
      </c>
    </row>
    <row r="14" spans="1:24" x14ac:dyDescent="0.25">
      <c r="A14" t="s">
        <v>5</v>
      </c>
      <c r="B14" s="146" t="s">
        <v>141</v>
      </c>
      <c r="C14">
        <v>0</v>
      </c>
      <c r="D14">
        <v>0</v>
      </c>
      <c r="E14">
        <v>0</v>
      </c>
      <c r="F14">
        <v>1</v>
      </c>
      <c r="G14">
        <v>2</v>
      </c>
      <c r="H14">
        <v>2</v>
      </c>
      <c r="I14">
        <v>1</v>
      </c>
      <c r="J14">
        <v>1</v>
      </c>
      <c r="K14">
        <v>0</v>
      </c>
      <c r="L14">
        <v>2</v>
      </c>
      <c r="M14">
        <v>1</v>
      </c>
      <c r="N14">
        <v>3</v>
      </c>
      <c r="O14">
        <v>0</v>
      </c>
      <c r="P14">
        <v>0</v>
      </c>
      <c r="Q14">
        <v>0</v>
      </c>
      <c r="R14">
        <v>0</v>
      </c>
      <c r="S14" t="s">
        <v>6</v>
      </c>
      <c r="T14">
        <v>13</v>
      </c>
      <c r="U14" s="112"/>
      <c r="V14">
        <v>869.44444444444434</v>
      </c>
      <c r="W14">
        <v>0</v>
      </c>
      <c r="X14">
        <f t="shared" si="1"/>
        <v>0</v>
      </c>
    </row>
    <row r="15" spans="1:24" x14ac:dyDescent="0.25">
      <c r="A15" t="s">
        <v>5</v>
      </c>
      <c r="B15" s="146" t="s">
        <v>142</v>
      </c>
      <c r="C15">
        <v>0</v>
      </c>
      <c r="D15">
        <v>0</v>
      </c>
      <c r="E15">
        <v>0</v>
      </c>
      <c r="F15">
        <v>1</v>
      </c>
      <c r="G15">
        <v>2</v>
      </c>
      <c r="H15">
        <v>2</v>
      </c>
      <c r="I15">
        <v>1</v>
      </c>
      <c r="J15">
        <v>1</v>
      </c>
      <c r="K15">
        <v>0</v>
      </c>
      <c r="L15">
        <v>2</v>
      </c>
      <c r="M15">
        <v>1</v>
      </c>
      <c r="N15">
        <v>3</v>
      </c>
      <c r="O15">
        <v>0</v>
      </c>
      <c r="P15">
        <v>0</v>
      </c>
      <c r="Q15">
        <v>0</v>
      </c>
      <c r="R15">
        <v>0</v>
      </c>
      <c r="S15" t="s">
        <v>6</v>
      </c>
      <c r="T15">
        <v>13</v>
      </c>
      <c r="U15" s="112"/>
      <c r="V15">
        <v>1660</v>
      </c>
      <c r="W15">
        <v>600</v>
      </c>
      <c r="X15">
        <f t="shared" si="1"/>
        <v>36.144578313253014</v>
      </c>
    </row>
    <row r="16" spans="1:24" x14ac:dyDescent="0.25">
      <c r="A16" t="s">
        <v>5</v>
      </c>
      <c r="B16" s="146" t="s">
        <v>143</v>
      </c>
      <c r="C16">
        <v>0</v>
      </c>
      <c r="D16">
        <v>0</v>
      </c>
      <c r="E16">
        <v>0</v>
      </c>
      <c r="F16">
        <v>1</v>
      </c>
      <c r="G16">
        <v>2</v>
      </c>
      <c r="H16">
        <v>2</v>
      </c>
      <c r="I16">
        <v>1</v>
      </c>
      <c r="J16">
        <v>1</v>
      </c>
      <c r="K16">
        <v>0</v>
      </c>
      <c r="L16">
        <v>2</v>
      </c>
      <c r="M16">
        <v>1</v>
      </c>
      <c r="N16">
        <v>3</v>
      </c>
      <c r="O16">
        <v>0</v>
      </c>
      <c r="P16">
        <v>0</v>
      </c>
      <c r="Q16">
        <v>0</v>
      </c>
      <c r="R16">
        <v>0</v>
      </c>
      <c r="S16" t="s">
        <v>6</v>
      </c>
      <c r="T16">
        <v>13</v>
      </c>
      <c r="U16" s="112"/>
      <c r="V16">
        <v>1684.4444444444443</v>
      </c>
      <c r="W16">
        <v>0</v>
      </c>
      <c r="X16">
        <f t="shared" si="1"/>
        <v>0</v>
      </c>
    </row>
    <row r="17" spans="1:24" x14ac:dyDescent="0.25">
      <c r="A17" t="s">
        <v>5</v>
      </c>
      <c r="B17" s="146" t="s">
        <v>144</v>
      </c>
      <c r="C17">
        <v>0</v>
      </c>
      <c r="D17">
        <v>0</v>
      </c>
      <c r="E17">
        <v>0</v>
      </c>
      <c r="F17">
        <v>1</v>
      </c>
      <c r="G17">
        <v>2</v>
      </c>
      <c r="H17">
        <v>2</v>
      </c>
      <c r="I17">
        <v>1</v>
      </c>
      <c r="J17">
        <v>1</v>
      </c>
      <c r="K17">
        <v>0</v>
      </c>
      <c r="L17">
        <v>2</v>
      </c>
      <c r="M17">
        <v>1</v>
      </c>
      <c r="N17">
        <v>3</v>
      </c>
      <c r="O17">
        <v>0</v>
      </c>
      <c r="P17">
        <v>0</v>
      </c>
      <c r="Q17">
        <v>0</v>
      </c>
      <c r="R17">
        <v>0</v>
      </c>
      <c r="S17" t="s">
        <v>6</v>
      </c>
      <c r="T17">
        <v>13</v>
      </c>
      <c r="U17" s="112"/>
      <c r="V17">
        <v>661.66666666666663</v>
      </c>
      <c r="W17">
        <v>359.83329999999995</v>
      </c>
      <c r="X17">
        <f t="shared" si="1"/>
        <v>54.382866498740547</v>
      </c>
    </row>
    <row r="18" spans="1:24" x14ac:dyDescent="0.25">
      <c r="A18" t="s">
        <v>5</v>
      </c>
      <c r="B18" s="146" t="s">
        <v>145</v>
      </c>
      <c r="C18">
        <v>0</v>
      </c>
      <c r="D18">
        <v>0</v>
      </c>
      <c r="E18">
        <v>0</v>
      </c>
      <c r="F18">
        <v>1</v>
      </c>
      <c r="G18">
        <v>2</v>
      </c>
      <c r="H18">
        <v>2</v>
      </c>
      <c r="I18">
        <v>1</v>
      </c>
      <c r="J18">
        <v>1</v>
      </c>
      <c r="K18">
        <v>0</v>
      </c>
      <c r="L18">
        <v>2</v>
      </c>
      <c r="M18">
        <v>1</v>
      </c>
      <c r="N18">
        <v>3</v>
      </c>
      <c r="O18">
        <v>0</v>
      </c>
      <c r="P18">
        <v>0</v>
      </c>
      <c r="Q18">
        <v>0</v>
      </c>
      <c r="R18">
        <v>0</v>
      </c>
      <c r="S18" t="s">
        <v>6</v>
      </c>
      <c r="T18">
        <v>13</v>
      </c>
      <c r="U18" s="112"/>
      <c r="V18">
        <v>916.66666666666663</v>
      </c>
      <c r="W18">
        <v>0</v>
      </c>
      <c r="X18">
        <f t="shared" si="1"/>
        <v>0</v>
      </c>
    </row>
    <row r="19" spans="1:24" x14ac:dyDescent="0.25">
      <c r="A19" t="s">
        <v>5</v>
      </c>
      <c r="B19" s="146" t="s">
        <v>146</v>
      </c>
      <c r="C19">
        <v>0</v>
      </c>
      <c r="D19">
        <v>0</v>
      </c>
      <c r="E19">
        <v>0</v>
      </c>
      <c r="F19">
        <v>1</v>
      </c>
      <c r="G19">
        <v>2</v>
      </c>
      <c r="H19">
        <v>2</v>
      </c>
      <c r="I19">
        <v>1</v>
      </c>
      <c r="J19">
        <v>1</v>
      </c>
      <c r="K19">
        <v>0</v>
      </c>
      <c r="L19">
        <v>2</v>
      </c>
      <c r="M19">
        <v>1</v>
      </c>
      <c r="N19">
        <v>3</v>
      </c>
      <c r="O19">
        <v>0</v>
      </c>
      <c r="P19">
        <v>0</v>
      </c>
      <c r="Q19">
        <v>0</v>
      </c>
      <c r="R19">
        <v>0</v>
      </c>
      <c r="S19" t="s">
        <v>6</v>
      </c>
      <c r="T19">
        <v>13</v>
      </c>
      <c r="U19" s="112"/>
      <c r="V19">
        <v>1707.2222222222224</v>
      </c>
      <c r="W19">
        <v>1555.3333200000002</v>
      </c>
      <c r="X19">
        <f t="shared" si="1"/>
        <v>91.103155743573055</v>
      </c>
    </row>
    <row r="20" spans="1:24" x14ac:dyDescent="0.25">
      <c r="A20" t="s">
        <v>5</v>
      </c>
      <c r="B20" s="146" t="s">
        <v>147</v>
      </c>
      <c r="C20">
        <v>0</v>
      </c>
      <c r="D20">
        <v>0</v>
      </c>
      <c r="E20">
        <v>0</v>
      </c>
      <c r="F20">
        <v>1</v>
      </c>
      <c r="G20">
        <v>2</v>
      </c>
      <c r="H20">
        <v>2</v>
      </c>
      <c r="I20">
        <v>1</v>
      </c>
      <c r="J20">
        <v>1</v>
      </c>
      <c r="K20">
        <v>0</v>
      </c>
      <c r="L20">
        <v>2</v>
      </c>
      <c r="M20">
        <v>1</v>
      </c>
      <c r="N20">
        <v>3</v>
      </c>
      <c r="O20">
        <v>0</v>
      </c>
      <c r="P20">
        <v>0</v>
      </c>
      <c r="Q20">
        <v>0</v>
      </c>
      <c r="R20">
        <v>0</v>
      </c>
      <c r="S20" t="s">
        <v>6</v>
      </c>
      <c r="T20">
        <v>13</v>
      </c>
      <c r="U20" s="112"/>
      <c r="V20">
        <v>766.66666666666674</v>
      </c>
      <c r="W20">
        <v>320</v>
      </c>
      <c r="X20">
        <f t="shared" si="1"/>
        <v>41.739130434782609</v>
      </c>
    </row>
    <row r="21" spans="1:24" x14ac:dyDescent="0.25">
      <c r="A21" t="s">
        <v>5</v>
      </c>
      <c r="B21" s="146" t="s">
        <v>148</v>
      </c>
      <c r="C21">
        <v>0</v>
      </c>
      <c r="D21">
        <v>0</v>
      </c>
      <c r="E21">
        <v>0</v>
      </c>
      <c r="F21">
        <v>1</v>
      </c>
      <c r="G21">
        <v>2</v>
      </c>
      <c r="H21">
        <v>2</v>
      </c>
      <c r="I21">
        <v>1</v>
      </c>
      <c r="J21">
        <v>1</v>
      </c>
      <c r="K21">
        <v>0</v>
      </c>
      <c r="L21">
        <v>2</v>
      </c>
      <c r="M21">
        <v>1</v>
      </c>
      <c r="N21">
        <v>3</v>
      </c>
      <c r="O21">
        <v>0</v>
      </c>
      <c r="P21">
        <v>0</v>
      </c>
      <c r="Q21">
        <v>0</v>
      </c>
      <c r="R21">
        <v>0</v>
      </c>
      <c r="S21" t="s">
        <v>6</v>
      </c>
      <c r="T21">
        <v>13</v>
      </c>
      <c r="U21" s="112"/>
      <c r="V21">
        <v>811.11111111111109</v>
      </c>
      <c r="W21">
        <v>0</v>
      </c>
      <c r="X21">
        <f t="shared" si="1"/>
        <v>0</v>
      </c>
    </row>
    <row r="22" spans="1:24" x14ac:dyDescent="0.25">
      <c r="A22" t="s">
        <v>5</v>
      </c>
      <c r="B22" s="146" t="s">
        <v>149</v>
      </c>
      <c r="C22">
        <v>0</v>
      </c>
      <c r="D22">
        <v>0</v>
      </c>
      <c r="E22">
        <v>0</v>
      </c>
      <c r="F22">
        <v>1</v>
      </c>
      <c r="G22">
        <v>2</v>
      </c>
      <c r="H22">
        <v>2</v>
      </c>
      <c r="I22">
        <v>1</v>
      </c>
      <c r="J22">
        <v>1</v>
      </c>
      <c r="K22">
        <v>0</v>
      </c>
      <c r="L22">
        <v>2</v>
      </c>
      <c r="M22">
        <v>1</v>
      </c>
      <c r="N22">
        <v>3</v>
      </c>
      <c r="O22">
        <v>0</v>
      </c>
      <c r="P22">
        <v>0</v>
      </c>
      <c r="Q22">
        <v>0</v>
      </c>
      <c r="R22">
        <v>0</v>
      </c>
      <c r="S22" t="s">
        <v>6</v>
      </c>
      <c r="T22">
        <v>13</v>
      </c>
      <c r="U22" s="112"/>
      <c r="V22">
        <v>769.44444444444446</v>
      </c>
      <c r="W22">
        <v>0</v>
      </c>
      <c r="X22">
        <f t="shared" si="1"/>
        <v>0</v>
      </c>
    </row>
    <row r="23" spans="1:24" x14ac:dyDescent="0.25">
      <c r="A23" t="s">
        <v>5</v>
      </c>
      <c r="B23" s="146" t="s">
        <v>150</v>
      </c>
      <c r="C23">
        <v>0</v>
      </c>
      <c r="D23">
        <v>0</v>
      </c>
      <c r="E23">
        <v>0</v>
      </c>
      <c r="F23">
        <v>1</v>
      </c>
      <c r="G23">
        <v>2</v>
      </c>
      <c r="H23">
        <v>2</v>
      </c>
      <c r="I23">
        <v>1</v>
      </c>
      <c r="J23">
        <v>1</v>
      </c>
      <c r="K23">
        <v>0</v>
      </c>
      <c r="L23">
        <v>2</v>
      </c>
      <c r="M23">
        <v>1</v>
      </c>
      <c r="N23">
        <v>3</v>
      </c>
      <c r="O23">
        <v>0</v>
      </c>
      <c r="P23">
        <v>0</v>
      </c>
      <c r="Q23">
        <v>0</v>
      </c>
      <c r="R23">
        <v>0</v>
      </c>
      <c r="S23" t="s">
        <v>6</v>
      </c>
      <c r="T23">
        <v>13</v>
      </c>
      <c r="U23" s="112"/>
      <c r="V23">
        <v>1084.4444444444443</v>
      </c>
      <c r="W23">
        <v>0</v>
      </c>
      <c r="X23">
        <f t="shared" si="1"/>
        <v>0</v>
      </c>
    </row>
    <row r="24" spans="1:24" x14ac:dyDescent="0.25">
      <c r="A24" t="s">
        <v>5</v>
      </c>
      <c r="B24" s="146" t="s">
        <v>151</v>
      </c>
      <c r="C24">
        <v>0</v>
      </c>
      <c r="D24">
        <v>0</v>
      </c>
      <c r="E24">
        <v>0</v>
      </c>
      <c r="F24">
        <v>1</v>
      </c>
      <c r="G24">
        <v>2</v>
      </c>
      <c r="H24">
        <v>2</v>
      </c>
      <c r="I24">
        <v>1</v>
      </c>
      <c r="J24">
        <v>1</v>
      </c>
      <c r="K24">
        <v>0</v>
      </c>
      <c r="L24">
        <v>2</v>
      </c>
      <c r="M24">
        <v>1</v>
      </c>
      <c r="N24">
        <v>3</v>
      </c>
      <c r="O24">
        <v>0</v>
      </c>
      <c r="P24">
        <v>0</v>
      </c>
      <c r="Q24">
        <v>0</v>
      </c>
      <c r="R24">
        <v>0</v>
      </c>
      <c r="S24" t="s">
        <v>6</v>
      </c>
      <c r="T24">
        <v>13</v>
      </c>
      <c r="U24" s="112"/>
      <c r="V24">
        <v>1044.4444444444446</v>
      </c>
      <c r="W24">
        <v>480</v>
      </c>
      <c r="X24">
        <f t="shared" si="1"/>
        <v>45.957446808510632</v>
      </c>
    </row>
    <row r="25" spans="1:24" x14ac:dyDescent="0.25">
      <c r="A25" t="s">
        <v>5</v>
      </c>
      <c r="B25" s="146" t="s">
        <v>152</v>
      </c>
      <c r="C25">
        <v>0</v>
      </c>
      <c r="D25">
        <v>0</v>
      </c>
      <c r="E25">
        <v>0</v>
      </c>
      <c r="F25">
        <v>1</v>
      </c>
      <c r="G25">
        <v>2</v>
      </c>
      <c r="H25">
        <v>2</v>
      </c>
      <c r="I25">
        <v>1</v>
      </c>
      <c r="J25">
        <v>1</v>
      </c>
      <c r="K25">
        <v>0</v>
      </c>
      <c r="L25">
        <v>2</v>
      </c>
      <c r="M25">
        <v>1</v>
      </c>
      <c r="N25">
        <v>3</v>
      </c>
      <c r="O25">
        <v>0</v>
      </c>
      <c r="P25">
        <v>0</v>
      </c>
      <c r="Q25">
        <v>0</v>
      </c>
      <c r="R25">
        <v>0</v>
      </c>
      <c r="S25" t="s">
        <v>6</v>
      </c>
      <c r="T25">
        <v>13</v>
      </c>
      <c r="U25" s="112"/>
      <c r="V25">
        <v>1008.3333333333334</v>
      </c>
      <c r="W25">
        <v>0</v>
      </c>
      <c r="X25">
        <f t="shared" si="1"/>
        <v>0</v>
      </c>
    </row>
    <row r="26" spans="1:24" x14ac:dyDescent="0.25">
      <c r="A26" t="s">
        <v>5</v>
      </c>
      <c r="B26" s="146" t="s">
        <v>153</v>
      </c>
      <c r="C26">
        <v>0</v>
      </c>
      <c r="D26">
        <v>0</v>
      </c>
      <c r="E26">
        <v>0</v>
      </c>
      <c r="F26">
        <v>1</v>
      </c>
      <c r="G26">
        <v>2</v>
      </c>
      <c r="H26">
        <v>2</v>
      </c>
      <c r="I26">
        <v>1</v>
      </c>
      <c r="J26">
        <v>1</v>
      </c>
      <c r="K26">
        <v>0</v>
      </c>
      <c r="L26">
        <v>2</v>
      </c>
      <c r="M26">
        <v>1</v>
      </c>
      <c r="N26">
        <v>3</v>
      </c>
      <c r="O26">
        <v>0</v>
      </c>
      <c r="P26">
        <v>0</v>
      </c>
      <c r="Q26">
        <v>0</v>
      </c>
      <c r="R26">
        <v>0</v>
      </c>
      <c r="S26" t="s">
        <v>6</v>
      </c>
      <c r="T26">
        <v>13</v>
      </c>
      <c r="U26" s="112"/>
      <c r="V26">
        <v>1976.6666666666667</v>
      </c>
      <c r="W26">
        <v>480</v>
      </c>
      <c r="X26">
        <f t="shared" si="1"/>
        <v>24.283305227655987</v>
      </c>
    </row>
    <row r="27" spans="1:24" x14ac:dyDescent="0.25">
      <c r="A27" t="s">
        <v>5</v>
      </c>
      <c r="B27" s="146" t="s">
        <v>154</v>
      </c>
      <c r="C27">
        <v>0</v>
      </c>
      <c r="D27">
        <v>0</v>
      </c>
      <c r="E27">
        <v>0</v>
      </c>
      <c r="F27">
        <v>1</v>
      </c>
      <c r="G27">
        <v>2</v>
      </c>
      <c r="H27">
        <v>2</v>
      </c>
      <c r="I27">
        <v>1</v>
      </c>
      <c r="J27">
        <v>1</v>
      </c>
      <c r="K27">
        <v>0</v>
      </c>
      <c r="L27">
        <v>2</v>
      </c>
      <c r="M27">
        <v>1</v>
      </c>
      <c r="N27">
        <v>3</v>
      </c>
      <c r="O27">
        <v>0</v>
      </c>
      <c r="P27">
        <v>0</v>
      </c>
      <c r="Q27">
        <v>0</v>
      </c>
      <c r="R27">
        <v>0</v>
      </c>
      <c r="S27" t="s">
        <v>6</v>
      </c>
      <c r="T27">
        <v>13</v>
      </c>
      <c r="U27" s="112"/>
      <c r="V27">
        <v>964.44444444444434</v>
      </c>
      <c r="W27">
        <v>0</v>
      </c>
      <c r="X27">
        <f t="shared" si="1"/>
        <v>0</v>
      </c>
    </row>
    <row r="28" spans="1:24" x14ac:dyDescent="0.25">
      <c r="A28" t="s">
        <v>157</v>
      </c>
      <c r="B28" s="146" t="s">
        <v>158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0</v>
      </c>
      <c r="L28">
        <v>2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 t="s">
        <v>6</v>
      </c>
      <c r="T28">
        <v>6</v>
      </c>
      <c r="U28" s="112"/>
      <c r="V28">
        <v>1075</v>
      </c>
      <c r="W28">
        <v>1161.6666599999999</v>
      </c>
      <c r="X28">
        <f>(W28/V28)*100</f>
        <v>108.06201488372092</v>
      </c>
    </row>
    <row r="29" spans="1:24" x14ac:dyDescent="0.25">
      <c r="A29" t="s">
        <v>157</v>
      </c>
      <c r="B29" s="146" t="s">
        <v>159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2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6</v>
      </c>
      <c r="T29">
        <v>6</v>
      </c>
      <c r="U29" s="112"/>
      <c r="V29">
        <v>673.88888888888891</v>
      </c>
      <c r="W29">
        <v>0</v>
      </c>
      <c r="X29">
        <f t="shared" ref="X29:X33" si="2">(W29/V29)*100</f>
        <v>0</v>
      </c>
    </row>
    <row r="30" spans="1:24" x14ac:dyDescent="0.25">
      <c r="A30" t="s">
        <v>157</v>
      </c>
      <c r="B30" s="146" t="s">
        <v>160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  <c r="L30">
        <v>2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6</v>
      </c>
      <c r="T30">
        <v>6</v>
      </c>
      <c r="U30" s="112"/>
      <c r="V30">
        <v>1047.2222222222222</v>
      </c>
      <c r="W30">
        <v>520</v>
      </c>
      <c r="X30">
        <f t="shared" si="2"/>
        <v>49.65517241379311</v>
      </c>
    </row>
    <row r="31" spans="1:24" x14ac:dyDescent="0.25">
      <c r="A31" t="s">
        <v>157</v>
      </c>
      <c r="B31" s="146" t="s">
        <v>161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2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6</v>
      </c>
      <c r="T31">
        <v>6</v>
      </c>
      <c r="U31" s="112"/>
      <c r="V31">
        <v>645</v>
      </c>
      <c r="W31">
        <v>440</v>
      </c>
      <c r="X31">
        <f t="shared" si="2"/>
        <v>68.217054263565885</v>
      </c>
    </row>
    <row r="32" spans="1:24" x14ac:dyDescent="0.25">
      <c r="A32" t="s">
        <v>157</v>
      </c>
      <c r="B32" s="146" t="s">
        <v>162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v>2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6</v>
      </c>
      <c r="T32">
        <v>6</v>
      </c>
      <c r="U32" s="112"/>
      <c r="V32">
        <v>1953.3333333333335</v>
      </c>
      <c r="W32">
        <v>1121.6666599999999</v>
      </c>
      <c r="X32">
        <f t="shared" si="2"/>
        <v>57.423207849829339</v>
      </c>
    </row>
    <row r="33" spans="1:24" x14ac:dyDescent="0.25">
      <c r="A33" t="s">
        <v>157</v>
      </c>
      <c r="B33" s="146" t="s">
        <v>163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2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 t="s">
        <v>6</v>
      </c>
      <c r="T33">
        <v>6</v>
      </c>
      <c r="U33" s="112"/>
      <c r="V33">
        <v>2113.8888888888887</v>
      </c>
      <c r="W33">
        <v>560</v>
      </c>
      <c r="X33">
        <f t="shared" si="2"/>
        <v>26.491458607095929</v>
      </c>
    </row>
    <row r="34" spans="1:24" x14ac:dyDescent="0.25">
      <c r="A34" t="s">
        <v>17</v>
      </c>
      <c r="B34" s="146" t="s">
        <v>164</v>
      </c>
      <c r="C34">
        <v>0</v>
      </c>
      <c r="D34">
        <v>0</v>
      </c>
      <c r="E34">
        <v>1</v>
      </c>
      <c r="F34">
        <v>0</v>
      </c>
      <c r="G34">
        <v>0</v>
      </c>
      <c r="H34">
        <v>2</v>
      </c>
      <c r="I34">
        <v>0</v>
      </c>
      <c r="J34">
        <v>0</v>
      </c>
      <c r="K34">
        <v>1</v>
      </c>
      <c r="L34">
        <v>0</v>
      </c>
      <c r="M34">
        <v>3</v>
      </c>
      <c r="N34">
        <v>0</v>
      </c>
      <c r="O34">
        <v>3</v>
      </c>
      <c r="P34">
        <v>0</v>
      </c>
      <c r="Q34">
        <v>0</v>
      </c>
      <c r="R34">
        <v>0</v>
      </c>
      <c r="S34" t="s">
        <v>6</v>
      </c>
      <c r="T34">
        <v>10</v>
      </c>
      <c r="U34" s="112"/>
      <c r="V34" s="146">
        <v>930.55555555555554</v>
      </c>
      <c r="W34">
        <v>560</v>
      </c>
      <c r="X34">
        <f>(W34/V34)*100</f>
        <v>60.179104477611943</v>
      </c>
    </row>
    <row r="35" spans="1:24" x14ac:dyDescent="0.25">
      <c r="A35" t="s">
        <v>17</v>
      </c>
      <c r="B35" s="146" t="s">
        <v>165</v>
      </c>
      <c r="C35">
        <v>0</v>
      </c>
      <c r="D35">
        <v>0</v>
      </c>
      <c r="E35">
        <v>1</v>
      </c>
      <c r="F35">
        <v>0</v>
      </c>
      <c r="G35">
        <v>0</v>
      </c>
      <c r="H35">
        <v>2</v>
      </c>
      <c r="I35">
        <v>0</v>
      </c>
      <c r="J35">
        <v>0</v>
      </c>
      <c r="K35">
        <v>1</v>
      </c>
      <c r="L35">
        <v>0</v>
      </c>
      <c r="M35">
        <v>3</v>
      </c>
      <c r="N35">
        <v>0</v>
      </c>
      <c r="O35">
        <v>3</v>
      </c>
      <c r="P35">
        <v>0</v>
      </c>
      <c r="Q35">
        <v>0</v>
      </c>
      <c r="R35">
        <v>0</v>
      </c>
      <c r="S35" t="s">
        <v>6</v>
      </c>
      <c r="T35">
        <v>10</v>
      </c>
      <c r="U35" s="112"/>
      <c r="V35" s="146">
        <v>955.55555555555554</v>
      </c>
      <c r="W35">
        <v>885.33327999999995</v>
      </c>
      <c r="X35">
        <f>(W35/V35)*100</f>
        <v>92.651157209302326</v>
      </c>
    </row>
    <row r="36" spans="1:24" x14ac:dyDescent="0.25">
      <c r="A36" t="s">
        <v>17</v>
      </c>
      <c r="B36" s="146" t="s">
        <v>166</v>
      </c>
      <c r="C36">
        <v>0</v>
      </c>
      <c r="D36">
        <v>0</v>
      </c>
      <c r="E36">
        <v>1</v>
      </c>
      <c r="F36">
        <v>0</v>
      </c>
      <c r="G36">
        <v>0</v>
      </c>
      <c r="H36">
        <v>2</v>
      </c>
      <c r="I36">
        <v>0</v>
      </c>
      <c r="J36">
        <v>0</v>
      </c>
      <c r="K36">
        <v>1</v>
      </c>
      <c r="L36">
        <v>0</v>
      </c>
      <c r="M36">
        <v>3</v>
      </c>
      <c r="N36">
        <v>0</v>
      </c>
      <c r="O36">
        <v>3</v>
      </c>
      <c r="P36">
        <v>0</v>
      </c>
      <c r="Q36">
        <v>0</v>
      </c>
      <c r="R36">
        <v>0</v>
      </c>
      <c r="S36" t="s">
        <v>6</v>
      </c>
      <c r="T36">
        <v>10</v>
      </c>
      <c r="U36" s="112"/>
      <c r="V36" s="146">
        <v>1605.5555555555557</v>
      </c>
      <c r="W36">
        <v>1080</v>
      </c>
      <c r="X36">
        <f t="shared" ref="X36:X37" si="3">(W36/V36)*100</f>
        <v>67.266435986159166</v>
      </c>
    </row>
    <row r="37" spans="1:24" x14ac:dyDescent="0.25">
      <c r="A37" t="s">
        <v>17</v>
      </c>
      <c r="B37" s="146" t="s">
        <v>167</v>
      </c>
      <c r="C37">
        <v>0</v>
      </c>
      <c r="D37">
        <v>0</v>
      </c>
      <c r="E37">
        <v>1</v>
      </c>
      <c r="F37">
        <v>0</v>
      </c>
      <c r="G37">
        <v>0</v>
      </c>
      <c r="H37">
        <v>2</v>
      </c>
      <c r="I37">
        <v>0</v>
      </c>
      <c r="J37">
        <v>0</v>
      </c>
      <c r="K37">
        <v>1</v>
      </c>
      <c r="L37">
        <v>0</v>
      </c>
      <c r="M37">
        <v>3</v>
      </c>
      <c r="N37">
        <v>0</v>
      </c>
      <c r="O37">
        <v>3</v>
      </c>
      <c r="P37">
        <v>0</v>
      </c>
      <c r="Q37">
        <v>0</v>
      </c>
      <c r="R37">
        <v>0</v>
      </c>
      <c r="S37" t="s">
        <v>6</v>
      </c>
      <c r="T37">
        <v>10</v>
      </c>
      <c r="U37" s="112"/>
      <c r="V37" s="146">
        <v>1143.3333333333333</v>
      </c>
      <c r="W37">
        <v>320</v>
      </c>
      <c r="X37">
        <f t="shared" si="3"/>
        <v>27.988338192419825</v>
      </c>
    </row>
    <row r="38" spans="1:24" x14ac:dyDescent="0.25">
      <c r="A38" t="s">
        <v>17</v>
      </c>
      <c r="B38" s="146" t="s">
        <v>168</v>
      </c>
      <c r="C38">
        <v>0</v>
      </c>
      <c r="D38">
        <v>0</v>
      </c>
      <c r="E38">
        <v>1</v>
      </c>
      <c r="F38">
        <v>0</v>
      </c>
      <c r="G38">
        <v>0</v>
      </c>
      <c r="H38">
        <v>2</v>
      </c>
      <c r="I38">
        <v>0</v>
      </c>
      <c r="J38">
        <v>0</v>
      </c>
      <c r="K38">
        <v>1</v>
      </c>
      <c r="L38">
        <v>0</v>
      </c>
      <c r="M38">
        <v>3</v>
      </c>
      <c r="N38">
        <v>0</v>
      </c>
      <c r="O38">
        <v>3</v>
      </c>
      <c r="P38">
        <v>0</v>
      </c>
      <c r="Q38">
        <v>0</v>
      </c>
      <c r="R38">
        <v>0</v>
      </c>
      <c r="S38" t="s">
        <v>6</v>
      </c>
      <c r="T38">
        <v>10</v>
      </c>
      <c r="U38" s="112"/>
      <c r="V38" s="146">
        <v>1077.7777777777778</v>
      </c>
      <c r="W38">
        <v>992</v>
      </c>
      <c r="X38">
        <f t="shared" ref="X38:X40" si="4">(W38/V38)*100</f>
        <v>92.041237113402047</v>
      </c>
    </row>
    <row r="39" spans="1:24" x14ac:dyDescent="0.25">
      <c r="A39" t="s">
        <v>17</v>
      </c>
      <c r="B39" s="146" t="s">
        <v>169</v>
      </c>
      <c r="C39">
        <v>0</v>
      </c>
      <c r="D39">
        <v>0</v>
      </c>
      <c r="E39">
        <v>1</v>
      </c>
      <c r="F39">
        <v>0</v>
      </c>
      <c r="G39">
        <v>0</v>
      </c>
      <c r="H39">
        <v>2</v>
      </c>
      <c r="I39">
        <v>0</v>
      </c>
      <c r="J39">
        <v>0</v>
      </c>
      <c r="K39">
        <v>1</v>
      </c>
      <c r="L39">
        <v>0</v>
      </c>
      <c r="M39">
        <v>3</v>
      </c>
      <c r="N39">
        <v>0</v>
      </c>
      <c r="O39">
        <v>3</v>
      </c>
      <c r="P39">
        <v>0</v>
      </c>
      <c r="Q39">
        <v>0</v>
      </c>
      <c r="R39">
        <v>0</v>
      </c>
      <c r="S39" t="s">
        <v>6</v>
      </c>
      <c r="T39">
        <v>10</v>
      </c>
      <c r="U39" s="112"/>
      <c r="V39" s="146">
        <v>899.99999999999989</v>
      </c>
      <c r="W39">
        <v>320</v>
      </c>
      <c r="X39">
        <f t="shared" si="4"/>
        <v>35.555555555555564</v>
      </c>
    </row>
    <row r="40" spans="1:24" x14ac:dyDescent="0.25">
      <c r="A40" t="s">
        <v>17</v>
      </c>
      <c r="B40" s="146" t="s">
        <v>170</v>
      </c>
      <c r="C40">
        <v>0</v>
      </c>
      <c r="D40">
        <v>0</v>
      </c>
      <c r="E40">
        <v>1</v>
      </c>
      <c r="F40">
        <v>0</v>
      </c>
      <c r="G40">
        <v>0</v>
      </c>
      <c r="H40">
        <v>2</v>
      </c>
      <c r="I40">
        <v>0</v>
      </c>
      <c r="J40">
        <v>0</v>
      </c>
      <c r="K40">
        <v>1</v>
      </c>
      <c r="L40">
        <v>0</v>
      </c>
      <c r="M40">
        <v>3</v>
      </c>
      <c r="N40">
        <v>0</v>
      </c>
      <c r="O40">
        <v>3</v>
      </c>
      <c r="P40">
        <v>0</v>
      </c>
      <c r="Q40">
        <v>0</v>
      </c>
      <c r="R40">
        <v>0</v>
      </c>
      <c r="S40" t="s">
        <v>6</v>
      </c>
      <c r="T40">
        <v>10</v>
      </c>
      <c r="U40" s="112"/>
      <c r="V40" s="146">
        <v>500</v>
      </c>
      <c r="W40">
        <v>480</v>
      </c>
      <c r="X40">
        <f t="shared" si="4"/>
        <v>96</v>
      </c>
    </row>
    <row r="41" spans="1:24" x14ac:dyDescent="0.25">
      <c r="A41" t="s">
        <v>17</v>
      </c>
      <c r="B41" s="146" t="s">
        <v>171</v>
      </c>
      <c r="C41">
        <v>0</v>
      </c>
      <c r="D41">
        <v>0</v>
      </c>
      <c r="E41">
        <v>1</v>
      </c>
      <c r="F41">
        <v>0</v>
      </c>
      <c r="G41">
        <v>0</v>
      </c>
      <c r="H41">
        <v>2</v>
      </c>
      <c r="I41">
        <v>0</v>
      </c>
      <c r="J41">
        <v>0</v>
      </c>
      <c r="K41">
        <v>1</v>
      </c>
      <c r="L41">
        <v>0</v>
      </c>
      <c r="M41">
        <v>3</v>
      </c>
      <c r="N41">
        <v>0</v>
      </c>
      <c r="O41">
        <v>3</v>
      </c>
      <c r="P41">
        <v>0</v>
      </c>
      <c r="Q41">
        <v>0</v>
      </c>
      <c r="R41">
        <v>0</v>
      </c>
      <c r="S41" t="s">
        <v>6</v>
      </c>
      <c r="T41">
        <v>10</v>
      </c>
      <c r="U41" s="112"/>
      <c r="V41" s="146">
        <v>766.66666666666674</v>
      </c>
      <c r="W41">
        <v>0</v>
      </c>
      <c r="X41">
        <f t="shared" ref="X41:X42" si="5">(W41/V41)*100</f>
        <v>0</v>
      </c>
    </row>
    <row r="42" spans="1:24" x14ac:dyDescent="0.25">
      <c r="A42" t="s">
        <v>17</v>
      </c>
      <c r="B42" s="146" t="s">
        <v>172</v>
      </c>
      <c r="C42">
        <v>0</v>
      </c>
      <c r="D42">
        <v>0</v>
      </c>
      <c r="E42">
        <v>1</v>
      </c>
      <c r="F42">
        <v>0</v>
      </c>
      <c r="G42">
        <v>0</v>
      </c>
      <c r="H42">
        <v>2</v>
      </c>
      <c r="I42">
        <v>0</v>
      </c>
      <c r="J42">
        <v>0</v>
      </c>
      <c r="K42">
        <v>1</v>
      </c>
      <c r="L42">
        <v>0</v>
      </c>
      <c r="M42">
        <v>3</v>
      </c>
      <c r="N42">
        <v>0</v>
      </c>
      <c r="O42">
        <v>3</v>
      </c>
      <c r="P42">
        <v>0</v>
      </c>
      <c r="Q42">
        <v>0</v>
      </c>
      <c r="R42">
        <v>0</v>
      </c>
      <c r="S42" t="s">
        <v>6</v>
      </c>
      <c r="T42">
        <v>10</v>
      </c>
      <c r="U42" s="112"/>
      <c r="V42" s="146">
        <v>291.66666666666669</v>
      </c>
      <c r="W42">
        <v>80</v>
      </c>
      <c r="X42">
        <f t="shared" si="5"/>
        <v>27.428571428571423</v>
      </c>
    </row>
    <row r="43" spans="1:24" x14ac:dyDescent="0.25">
      <c r="A43" t="s">
        <v>17</v>
      </c>
      <c r="B43" s="146" t="s">
        <v>173</v>
      </c>
      <c r="C43">
        <v>0</v>
      </c>
      <c r="D43">
        <v>0</v>
      </c>
      <c r="E43">
        <v>1</v>
      </c>
      <c r="F43">
        <v>0</v>
      </c>
      <c r="G43">
        <v>0</v>
      </c>
      <c r="H43">
        <v>2</v>
      </c>
      <c r="I43">
        <v>0</v>
      </c>
      <c r="J43">
        <v>0</v>
      </c>
      <c r="K43">
        <v>1</v>
      </c>
      <c r="L43">
        <v>0</v>
      </c>
      <c r="M43">
        <v>3</v>
      </c>
      <c r="N43">
        <v>0</v>
      </c>
      <c r="O43">
        <v>3</v>
      </c>
      <c r="P43">
        <v>0</v>
      </c>
      <c r="Q43">
        <v>0</v>
      </c>
      <c r="R43">
        <v>0</v>
      </c>
      <c r="S43" t="s">
        <v>6</v>
      </c>
      <c r="T43">
        <v>10</v>
      </c>
      <c r="U43" s="112"/>
      <c r="V43" s="146">
        <v>1461.1111111111111</v>
      </c>
      <c r="W43">
        <v>877.5</v>
      </c>
      <c r="X43">
        <f>(W43/V43)*100</f>
        <v>60.057034220532323</v>
      </c>
    </row>
    <row r="44" spans="1:24" x14ac:dyDescent="0.25">
      <c r="A44" t="s">
        <v>17</v>
      </c>
      <c r="B44" s="146" t="s">
        <v>174</v>
      </c>
      <c r="C44">
        <v>0</v>
      </c>
      <c r="D44">
        <v>0</v>
      </c>
      <c r="E44">
        <v>1</v>
      </c>
      <c r="F44">
        <v>0</v>
      </c>
      <c r="G44">
        <v>0</v>
      </c>
      <c r="H44">
        <v>2</v>
      </c>
      <c r="I44">
        <v>0</v>
      </c>
      <c r="J44">
        <v>0</v>
      </c>
      <c r="K44">
        <v>1</v>
      </c>
      <c r="L44">
        <v>0</v>
      </c>
      <c r="M44">
        <v>3</v>
      </c>
      <c r="N44">
        <v>0</v>
      </c>
      <c r="O44">
        <v>3</v>
      </c>
      <c r="P44">
        <v>0</v>
      </c>
      <c r="Q44">
        <v>0</v>
      </c>
      <c r="R44">
        <v>0</v>
      </c>
      <c r="S44" t="s">
        <v>6</v>
      </c>
      <c r="T44">
        <v>10</v>
      </c>
      <c r="U44" s="112"/>
      <c r="V44" s="146">
        <v>819.44444444444457</v>
      </c>
      <c r="W44">
        <v>632</v>
      </c>
      <c r="X44">
        <f>(W44/V44)*100</f>
        <v>77.125423728813544</v>
      </c>
    </row>
    <row r="45" spans="1:24" x14ac:dyDescent="0.25">
      <c r="A45" t="s">
        <v>17</v>
      </c>
      <c r="B45" s="146" t="s">
        <v>175</v>
      </c>
      <c r="C45">
        <v>0</v>
      </c>
      <c r="D45">
        <v>0</v>
      </c>
      <c r="E45">
        <v>1</v>
      </c>
      <c r="F45">
        <v>0</v>
      </c>
      <c r="G45">
        <v>0</v>
      </c>
      <c r="H45">
        <v>2</v>
      </c>
      <c r="I45">
        <v>0</v>
      </c>
      <c r="J45">
        <v>0</v>
      </c>
      <c r="K45">
        <v>1</v>
      </c>
      <c r="L45">
        <v>0</v>
      </c>
      <c r="M45">
        <v>3</v>
      </c>
      <c r="N45">
        <v>0</v>
      </c>
      <c r="O45">
        <v>3</v>
      </c>
      <c r="P45">
        <v>0</v>
      </c>
      <c r="Q45">
        <v>0</v>
      </c>
      <c r="R45">
        <v>0</v>
      </c>
      <c r="S45" t="s">
        <v>6</v>
      </c>
      <c r="T45">
        <v>10</v>
      </c>
      <c r="U45" s="112"/>
      <c r="V45" s="146">
        <v>1088.3333333333335</v>
      </c>
      <c r="W45">
        <v>800</v>
      </c>
      <c r="X45">
        <f>(W45/V45)*100</f>
        <v>73.506891271056645</v>
      </c>
    </row>
    <row r="46" spans="1:24" x14ac:dyDescent="0.25">
      <c r="A46" t="s">
        <v>17</v>
      </c>
      <c r="B46" s="146" t="s">
        <v>176</v>
      </c>
      <c r="C46">
        <v>0</v>
      </c>
      <c r="D46">
        <v>0</v>
      </c>
      <c r="E46">
        <v>1</v>
      </c>
      <c r="F46">
        <v>0</v>
      </c>
      <c r="G46">
        <v>0</v>
      </c>
      <c r="H46">
        <v>2</v>
      </c>
      <c r="I46">
        <v>0</v>
      </c>
      <c r="J46">
        <v>0</v>
      </c>
      <c r="K46">
        <v>1</v>
      </c>
      <c r="L46">
        <v>0</v>
      </c>
      <c r="M46">
        <v>3</v>
      </c>
      <c r="N46">
        <v>0</v>
      </c>
      <c r="O46">
        <v>3</v>
      </c>
      <c r="P46">
        <v>0</v>
      </c>
      <c r="Q46">
        <v>0</v>
      </c>
      <c r="R46">
        <v>0</v>
      </c>
      <c r="S46" t="s">
        <v>6</v>
      </c>
      <c r="T46">
        <v>10</v>
      </c>
      <c r="U46" s="112"/>
      <c r="V46" s="146">
        <v>811.1111111111112</v>
      </c>
      <c r="W46">
        <v>395</v>
      </c>
      <c r="X46">
        <f t="shared" ref="X46:X47" si="6">(W46/V46)*100</f>
        <v>48.698630136986296</v>
      </c>
    </row>
    <row r="47" spans="1:24" x14ac:dyDescent="0.25">
      <c r="A47" t="s">
        <v>17</v>
      </c>
      <c r="B47" s="146" t="s">
        <v>177</v>
      </c>
      <c r="C47">
        <v>0</v>
      </c>
      <c r="D47">
        <v>0</v>
      </c>
      <c r="E47">
        <v>1</v>
      </c>
      <c r="F47">
        <v>0</v>
      </c>
      <c r="G47">
        <v>0</v>
      </c>
      <c r="H47">
        <v>2</v>
      </c>
      <c r="I47">
        <v>0</v>
      </c>
      <c r="J47">
        <v>0</v>
      </c>
      <c r="K47">
        <v>1</v>
      </c>
      <c r="L47">
        <v>0</v>
      </c>
      <c r="M47">
        <v>3</v>
      </c>
      <c r="N47">
        <v>0</v>
      </c>
      <c r="O47">
        <v>3</v>
      </c>
      <c r="P47">
        <v>0</v>
      </c>
      <c r="Q47">
        <v>0</v>
      </c>
      <c r="R47">
        <v>0</v>
      </c>
      <c r="S47" t="s">
        <v>6</v>
      </c>
      <c r="T47">
        <v>10</v>
      </c>
      <c r="U47" s="112"/>
      <c r="V47" s="146">
        <v>812.77777777777783</v>
      </c>
      <c r="W47">
        <v>800</v>
      </c>
      <c r="X47">
        <f t="shared" si="6"/>
        <v>98.427887901572106</v>
      </c>
    </row>
    <row r="48" spans="1:24" x14ac:dyDescent="0.25">
      <c r="A48" t="s">
        <v>17</v>
      </c>
      <c r="B48" s="146" t="s">
        <v>178</v>
      </c>
      <c r="C48">
        <v>0</v>
      </c>
      <c r="D48">
        <v>0</v>
      </c>
      <c r="E48">
        <v>1</v>
      </c>
      <c r="F48">
        <v>0</v>
      </c>
      <c r="G48">
        <v>0</v>
      </c>
      <c r="H48">
        <v>2</v>
      </c>
      <c r="I48">
        <v>0</v>
      </c>
      <c r="J48">
        <v>0</v>
      </c>
      <c r="K48">
        <v>1</v>
      </c>
      <c r="L48">
        <v>0</v>
      </c>
      <c r="M48">
        <v>3</v>
      </c>
      <c r="N48">
        <v>0</v>
      </c>
      <c r="O48">
        <v>3</v>
      </c>
      <c r="P48">
        <v>0</v>
      </c>
      <c r="Q48">
        <v>0</v>
      </c>
      <c r="R48">
        <v>0</v>
      </c>
      <c r="S48" t="s">
        <v>6</v>
      </c>
      <c r="T48">
        <v>10</v>
      </c>
      <c r="U48" s="112"/>
      <c r="V48" s="146">
        <v>1286.1111111111111</v>
      </c>
      <c r="W48">
        <v>718.66663999999992</v>
      </c>
      <c r="X48">
        <f t="shared" ref="X48:X50" si="7">(W48/V48)*100</f>
        <v>55.87904760259179</v>
      </c>
    </row>
    <row r="49" spans="1:24" x14ac:dyDescent="0.25">
      <c r="A49" t="s">
        <v>17</v>
      </c>
      <c r="B49" s="146" t="s">
        <v>179</v>
      </c>
      <c r="C49">
        <v>0</v>
      </c>
      <c r="D49">
        <v>0</v>
      </c>
      <c r="E49">
        <v>1</v>
      </c>
      <c r="F49">
        <v>0</v>
      </c>
      <c r="G49">
        <v>0</v>
      </c>
      <c r="H49">
        <v>2</v>
      </c>
      <c r="I49">
        <v>0</v>
      </c>
      <c r="J49">
        <v>0</v>
      </c>
      <c r="K49">
        <v>1</v>
      </c>
      <c r="L49">
        <v>0</v>
      </c>
      <c r="M49">
        <v>3</v>
      </c>
      <c r="N49">
        <v>0</v>
      </c>
      <c r="O49">
        <v>3</v>
      </c>
      <c r="P49">
        <v>0</v>
      </c>
      <c r="Q49">
        <v>0</v>
      </c>
      <c r="R49">
        <v>0</v>
      </c>
      <c r="S49" t="s">
        <v>6</v>
      </c>
      <c r="T49">
        <v>10</v>
      </c>
      <c r="U49" s="112"/>
      <c r="V49" s="146">
        <v>222.22222222222223</v>
      </c>
      <c r="W49">
        <v>0</v>
      </c>
      <c r="X49">
        <f t="shared" si="7"/>
        <v>0</v>
      </c>
    </row>
    <row r="50" spans="1:24" x14ac:dyDescent="0.25">
      <c r="A50" t="s">
        <v>17</v>
      </c>
      <c r="B50" s="146" t="s">
        <v>180</v>
      </c>
      <c r="C50">
        <v>0</v>
      </c>
      <c r="D50">
        <v>0</v>
      </c>
      <c r="E50">
        <v>1</v>
      </c>
      <c r="F50">
        <v>0</v>
      </c>
      <c r="G50">
        <v>0</v>
      </c>
      <c r="H50">
        <v>2</v>
      </c>
      <c r="I50">
        <v>0</v>
      </c>
      <c r="J50">
        <v>0</v>
      </c>
      <c r="K50">
        <v>1</v>
      </c>
      <c r="L50">
        <v>0</v>
      </c>
      <c r="M50">
        <v>3</v>
      </c>
      <c r="N50">
        <v>0</v>
      </c>
      <c r="O50">
        <v>3</v>
      </c>
      <c r="P50">
        <v>0</v>
      </c>
      <c r="Q50">
        <v>0</v>
      </c>
      <c r="R50">
        <v>0</v>
      </c>
      <c r="S50" t="s">
        <v>6</v>
      </c>
      <c r="T50">
        <v>10</v>
      </c>
      <c r="U50" s="112"/>
      <c r="V50" s="146">
        <v>1038.8888888888889</v>
      </c>
      <c r="W50">
        <v>0</v>
      </c>
      <c r="X50">
        <f t="shared" si="7"/>
        <v>0</v>
      </c>
    </row>
    <row r="51" spans="1:24" x14ac:dyDescent="0.25">
      <c r="A51" t="s">
        <v>17</v>
      </c>
      <c r="B51" s="146" t="s">
        <v>181</v>
      </c>
      <c r="C51">
        <v>0</v>
      </c>
      <c r="D51">
        <v>0</v>
      </c>
      <c r="E51">
        <v>1</v>
      </c>
      <c r="F51">
        <v>0</v>
      </c>
      <c r="G51">
        <v>0</v>
      </c>
      <c r="H51">
        <v>2</v>
      </c>
      <c r="I51">
        <v>0</v>
      </c>
      <c r="J51">
        <v>0</v>
      </c>
      <c r="K51">
        <v>1</v>
      </c>
      <c r="L51">
        <v>0</v>
      </c>
      <c r="M51">
        <v>3</v>
      </c>
      <c r="N51">
        <v>0</v>
      </c>
      <c r="O51">
        <v>3</v>
      </c>
      <c r="P51">
        <v>0</v>
      </c>
      <c r="Q51">
        <v>0</v>
      </c>
      <c r="R51">
        <v>0</v>
      </c>
      <c r="S51" t="s">
        <v>6</v>
      </c>
      <c r="T51">
        <v>10</v>
      </c>
      <c r="U51" s="112"/>
      <c r="V51" s="146">
        <v>725</v>
      </c>
      <c r="W51">
        <v>400</v>
      </c>
      <c r="X51">
        <f t="shared" ref="X51:X67" si="8">(W51/V51)*100</f>
        <v>55.172413793103445</v>
      </c>
    </row>
    <row r="52" spans="1:24" x14ac:dyDescent="0.25">
      <c r="A52" t="s">
        <v>17</v>
      </c>
      <c r="B52" s="146" t="s">
        <v>182</v>
      </c>
      <c r="C52">
        <v>0</v>
      </c>
      <c r="D52">
        <v>0</v>
      </c>
      <c r="E52">
        <v>1</v>
      </c>
      <c r="F52">
        <v>0</v>
      </c>
      <c r="G52">
        <v>0</v>
      </c>
      <c r="H52">
        <v>2</v>
      </c>
      <c r="I52">
        <v>0</v>
      </c>
      <c r="J52">
        <v>0</v>
      </c>
      <c r="K52">
        <v>1</v>
      </c>
      <c r="L52">
        <v>0</v>
      </c>
      <c r="M52">
        <v>3</v>
      </c>
      <c r="N52">
        <v>0</v>
      </c>
      <c r="O52">
        <v>3</v>
      </c>
      <c r="P52">
        <v>0</v>
      </c>
      <c r="Q52">
        <v>0</v>
      </c>
      <c r="R52">
        <v>0</v>
      </c>
      <c r="S52" t="s">
        <v>6</v>
      </c>
      <c r="T52">
        <v>10</v>
      </c>
      <c r="U52" s="112"/>
      <c r="V52" s="146">
        <v>925</v>
      </c>
      <c r="W52">
        <v>600</v>
      </c>
      <c r="X52">
        <f t="shared" si="8"/>
        <v>64.86486486486487</v>
      </c>
    </row>
    <row r="53" spans="1:24" x14ac:dyDescent="0.25">
      <c r="A53" t="s">
        <v>17</v>
      </c>
      <c r="B53" s="146" t="s">
        <v>183</v>
      </c>
      <c r="C53">
        <v>0</v>
      </c>
      <c r="D53">
        <v>0</v>
      </c>
      <c r="E53">
        <v>1</v>
      </c>
      <c r="F53">
        <v>0</v>
      </c>
      <c r="G53">
        <v>0</v>
      </c>
      <c r="H53">
        <v>2</v>
      </c>
      <c r="I53">
        <v>0</v>
      </c>
      <c r="J53">
        <v>0</v>
      </c>
      <c r="K53">
        <v>1</v>
      </c>
      <c r="L53">
        <v>0</v>
      </c>
      <c r="M53">
        <v>3</v>
      </c>
      <c r="N53">
        <v>0</v>
      </c>
      <c r="O53">
        <v>3</v>
      </c>
      <c r="P53">
        <v>0</v>
      </c>
      <c r="Q53">
        <v>0</v>
      </c>
      <c r="R53">
        <v>0</v>
      </c>
      <c r="S53" t="s">
        <v>6</v>
      </c>
      <c r="T53">
        <v>10</v>
      </c>
      <c r="U53" s="112"/>
      <c r="V53" s="146">
        <v>197.22222222222223</v>
      </c>
      <c r="W53">
        <v>0</v>
      </c>
      <c r="X53">
        <f t="shared" si="8"/>
        <v>0</v>
      </c>
    </row>
    <row r="54" spans="1:24" x14ac:dyDescent="0.25">
      <c r="A54" t="s">
        <v>17</v>
      </c>
      <c r="B54" s="146" t="s">
        <v>184</v>
      </c>
      <c r="C54">
        <v>0</v>
      </c>
      <c r="D54">
        <v>0</v>
      </c>
      <c r="E54">
        <v>1</v>
      </c>
      <c r="F54">
        <v>0</v>
      </c>
      <c r="G54">
        <v>0</v>
      </c>
      <c r="H54">
        <v>2</v>
      </c>
      <c r="I54">
        <v>0</v>
      </c>
      <c r="J54">
        <v>0</v>
      </c>
      <c r="K54">
        <v>1</v>
      </c>
      <c r="L54">
        <v>0</v>
      </c>
      <c r="M54">
        <v>3</v>
      </c>
      <c r="N54">
        <v>0</v>
      </c>
      <c r="O54">
        <v>3</v>
      </c>
      <c r="P54">
        <v>0</v>
      </c>
      <c r="Q54">
        <v>0</v>
      </c>
      <c r="R54">
        <v>0</v>
      </c>
      <c r="S54" t="s">
        <v>6</v>
      </c>
      <c r="T54">
        <v>10</v>
      </c>
      <c r="U54" s="112"/>
      <c r="V54" s="146">
        <v>619.44444444444446</v>
      </c>
      <c r="W54">
        <v>470.75</v>
      </c>
      <c r="X54">
        <f t="shared" si="8"/>
        <v>75.995515695067269</v>
      </c>
    </row>
    <row r="55" spans="1:24" x14ac:dyDescent="0.25">
      <c r="A55" t="s">
        <v>17</v>
      </c>
      <c r="B55" s="146" t="s">
        <v>185</v>
      </c>
      <c r="C55">
        <v>0</v>
      </c>
      <c r="D55">
        <v>0</v>
      </c>
      <c r="E55">
        <v>1</v>
      </c>
      <c r="F55">
        <v>0</v>
      </c>
      <c r="G55">
        <v>0</v>
      </c>
      <c r="H55">
        <v>2</v>
      </c>
      <c r="I55">
        <v>0</v>
      </c>
      <c r="J55">
        <v>0</v>
      </c>
      <c r="K55">
        <v>1</v>
      </c>
      <c r="L55">
        <v>0</v>
      </c>
      <c r="M55">
        <v>3</v>
      </c>
      <c r="N55">
        <v>0</v>
      </c>
      <c r="O55">
        <v>3</v>
      </c>
      <c r="P55">
        <v>0</v>
      </c>
      <c r="Q55">
        <v>0</v>
      </c>
      <c r="R55">
        <v>0</v>
      </c>
      <c r="S55" t="s">
        <v>6</v>
      </c>
      <c r="T55">
        <v>10</v>
      </c>
      <c r="U55" s="112"/>
      <c r="V55" s="146">
        <v>955.55555555555554</v>
      </c>
      <c r="W55">
        <v>640</v>
      </c>
      <c r="X55">
        <f t="shared" si="8"/>
        <v>66.976744186046517</v>
      </c>
    </row>
    <row r="56" spans="1:24" x14ac:dyDescent="0.25">
      <c r="A56" t="s">
        <v>17</v>
      </c>
      <c r="B56" s="146" t="s">
        <v>186</v>
      </c>
      <c r="C56">
        <v>0</v>
      </c>
      <c r="D56">
        <v>0</v>
      </c>
      <c r="E56">
        <v>1</v>
      </c>
      <c r="F56">
        <v>0</v>
      </c>
      <c r="G56">
        <v>0</v>
      </c>
      <c r="H56">
        <v>2</v>
      </c>
      <c r="I56">
        <v>0</v>
      </c>
      <c r="J56">
        <v>0</v>
      </c>
      <c r="K56">
        <v>1</v>
      </c>
      <c r="L56">
        <v>0</v>
      </c>
      <c r="M56">
        <v>3</v>
      </c>
      <c r="N56">
        <v>0</v>
      </c>
      <c r="O56">
        <v>3</v>
      </c>
      <c r="P56">
        <v>0</v>
      </c>
      <c r="Q56">
        <v>0</v>
      </c>
      <c r="R56">
        <v>0</v>
      </c>
      <c r="S56" t="s">
        <v>6</v>
      </c>
      <c r="T56">
        <v>10</v>
      </c>
      <c r="U56" s="112"/>
      <c r="V56" s="146">
        <v>1824.4444444444443</v>
      </c>
      <c r="W56">
        <v>1392</v>
      </c>
      <c r="X56">
        <f t="shared" si="8"/>
        <v>76.297198538367851</v>
      </c>
    </row>
    <row r="57" spans="1:24" x14ac:dyDescent="0.25">
      <c r="A57" t="s">
        <v>17</v>
      </c>
      <c r="B57" s="146" t="s">
        <v>187</v>
      </c>
      <c r="C57">
        <v>0</v>
      </c>
      <c r="D57">
        <v>0</v>
      </c>
      <c r="E57">
        <v>1</v>
      </c>
      <c r="F57">
        <v>0</v>
      </c>
      <c r="G57">
        <v>0</v>
      </c>
      <c r="H57">
        <v>2</v>
      </c>
      <c r="I57">
        <v>0</v>
      </c>
      <c r="J57">
        <v>0</v>
      </c>
      <c r="K57">
        <v>1</v>
      </c>
      <c r="L57">
        <v>0</v>
      </c>
      <c r="M57">
        <v>3</v>
      </c>
      <c r="N57">
        <v>0</v>
      </c>
      <c r="O57">
        <v>3</v>
      </c>
      <c r="P57">
        <v>0</v>
      </c>
      <c r="Q57">
        <v>0</v>
      </c>
      <c r="R57">
        <v>0</v>
      </c>
      <c r="S57" t="s">
        <v>6</v>
      </c>
      <c r="T57">
        <v>10</v>
      </c>
      <c r="U57" s="112"/>
      <c r="V57" s="146">
        <v>894.44444444444434</v>
      </c>
      <c r="W57">
        <v>480</v>
      </c>
      <c r="X57">
        <f t="shared" si="8"/>
        <v>53.664596273291934</v>
      </c>
    </row>
    <row r="58" spans="1:24" x14ac:dyDescent="0.25">
      <c r="A58" t="s">
        <v>17</v>
      </c>
      <c r="B58" s="146" t="s">
        <v>188</v>
      </c>
      <c r="C58">
        <v>0</v>
      </c>
      <c r="D58">
        <v>0</v>
      </c>
      <c r="E58">
        <v>1</v>
      </c>
      <c r="F58">
        <v>0</v>
      </c>
      <c r="G58">
        <v>0</v>
      </c>
      <c r="H58">
        <v>2</v>
      </c>
      <c r="I58">
        <v>0</v>
      </c>
      <c r="J58">
        <v>0</v>
      </c>
      <c r="K58">
        <v>1</v>
      </c>
      <c r="L58">
        <v>0</v>
      </c>
      <c r="M58">
        <v>3</v>
      </c>
      <c r="N58">
        <v>0</v>
      </c>
      <c r="O58">
        <v>3</v>
      </c>
      <c r="P58">
        <v>0</v>
      </c>
      <c r="Q58">
        <v>0</v>
      </c>
      <c r="R58">
        <v>0</v>
      </c>
      <c r="S58" t="s">
        <v>6</v>
      </c>
      <c r="T58">
        <v>10</v>
      </c>
      <c r="U58" s="112"/>
      <c r="V58" s="146">
        <v>1016.6666666666667</v>
      </c>
      <c r="W58">
        <v>675.33331999999996</v>
      </c>
      <c r="X58">
        <f t="shared" si="8"/>
        <v>66.426228196721297</v>
      </c>
    </row>
    <row r="59" spans="1:24" x14ac:dyDescent="0.25">
      <c r="A59" t="s">
        <v>17</v>
      </c>
      <c r="B59" s="146" t="s">
        <v>189</v>
      </c>
      <c r="C59">
        <v>0</v>
      </c>
      <c r="D59">
        <v>0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1</v>
      </c>
      <c r="L59">
        <v>0</v>
      </c>
      <c r="M59">
        <v>3</v>
      </c>
      <c r="N59">
        <v>0</v>
      </c>
      <c r="O59">
        <v>3</v>
      </c>
      <c r="P59">
        <v>0</v>
      </c>
      <c r="Q59">
        <v>0</v>
      </c>
      <c r="R59">
        <v>0</v>
      </c>
      <c r="S59" t="s">
        <v>6</v>
      </c>
      <c r="T59">
        <v>10</v>
      </c>
      <c r="U59" s="112"/>
      <c r="V59" s="146">
        <v>983.33333333333326</v>
      </c>
      <c r="W59">
        <v>643.33331999999996</v>
      </c>
      <c r="X59">
        <f t="shared" si="8"/>
        <v>65.423727457627123</v>
      </c>
    </row>
    <row r="60" spans="1:24" x14ac:dyDescent="0.25">
      <c r="A60" t="s">
        <v>17</v>
      </c>
      <c r="B60" s="146" t="s">
        <v>190</v>
      </c>
      <c r="C60">
        <v>0</v>
      </c>
      <c r="D60">
        <v>0</v>
      </c>
      <c r="E60">
        <v>1</v>
      </c>
      <c r="F60">
        <v>0</v>
      </c>
      <c r="G60">
        <v>0</v>
      </c>
      <c r="H60">
        <v>2</v>
      </c>
      <c r="I60">
        <v>0</v>
      </c>
      <c r="J60">
        <v>0</v>
      </c>
      <c r="K60">
        <v>1</v>
      </c>
      <c r="L60">
        <v>0</v>
      </c>
      <c r="M60">
        <v>3</v>
      </c>
      <c r="N60">
        <v>0</v>
      </c>
      <c r="O60">
        <v>3</v>
      </c>
      <c r="P60">
        <v>0</v>
      </c>
      <c r="Q60">
        <v>0</v>
      </c>
      <c r="R60">
        <v>0</v>
      </c>
      <c r="S60" t="s">
        <v>6</v>
      </c>
      <c r="T60">
        <v>10</v>
      </c>
      <c r="U60" s="112"/>
      <c r="V60" s="146">
        <v>1731.6666666666665</v>
      </c>
      <c r="W60">
        <v>1272</v>
      </c>
      <c r="X60">
        <f t="shared" si="8"/>
        <v>73.45524542829645</v>
      </c>
    </row>
    <row r="61" spans="1:24" x14ac:dyDescent="0.25">
      <c r="A61" t="s">
        <v>17</v>
      </c>
      <c r="B61" s="146" t="s">
        <v>191</v>
      </c>
      <c r="C61">
        <v>0</v>
      </c>
      <c r="D61">
        <v>0</v>
      </c>
      <c r="E61">
        <v>1</v>
      </c>
      <c r="F61">
        <v>0</v>
      </c>
      <c r="G61">
        <v>0</v>
      </c>
      <c r="H61">
        <v>2</v>
      </c>
      <c r="I61">
        <v>0</v>
      </c>
      <c r="J61">
        <v>0</v>
      </c>
      <c r="K61">
        <v>1</v>
      </c>
      <c r="L61">
        <v>0</v>
      </c>
      <c r="M61">
        <v>3</v>
      </c>
      <c r="N61">
        <v>0</v>
      </c>
      <c r="O61">
        <v>3</v>
      </c>
      <c r="P61">
        <v>0</v>
      </c>
      <c r="Q61">
        <v>0</v>
      </c>
      <c r="R61">
        <v>0</v>
      </c>
      <c r="S61" t="s">
        <v>6</v>
      </c>
      <c r="T61">
        <v>10</v>
      </c>
      <c r="U61" s="112"/>
      <c r="V61" s="146">
        <v>1172.2222222222224</v>
      </c>
      <c r="W61">
        <v>680</v>
      </c>
      <c r="X61">
        <f t="shared" si="8"/>
        <v>58.009478672985772</v>
      </c>
    </row>
    <row r="62" spans="1:24" x14ac:dyDescent="0.25">
      <c r="A62" t="s">
        <v>17</v>
      </c>
      <c r="B62" s="146" t="s">
        <v>192</v>
      </c>
      <c r="C62">
        <v>0</v>
      </c>
      <c r="D62">
        <v>0</v>
      </c>
      <c r="E62">
        <v>1</v>
      </c>
      <c r="F62">
        <v>0</v>
      </c>
      <c r="G62">
        <v>0</v>
      </c>
      <c r="H62">
        <v>2</v>
      </c>
      <c r="I62">
        <v>0</v>
      </c>
      <c r="J62">
        <v>0</v>
      </c>
      <c r="K62">
        <v>1</v>
      </c>
      <c r="L62">
        <v>0</v>
      </c>
      <c r="M62">
        <v>3</v>
      </c>
      <c r="N62">
        <v>0</v>
      </c>
      <c r="O62">
        <v>3</v>
      </c>
      <c r="P62">
        <v>0</v>
      </c>
      <c r="Q62">
        <v>0</v>
      </c>
      <c r="R62">
        <v>0</v>
      </c>
      <c r="S62" t="s">
        <v>6</v>
      </c>
      <c r="T62">
        <v>10</v>
      </c>
      <c r="U62" s="112"/>
      <c r="V62" s="146">
        <v>1105.5555555555557</v>
      </c>
      <c r="W62">
        <v>712</v>
      </c>
      <c r="X62">
        <f t="shared" si="8"/>
        <v>64.402010050251249</v>
      </c>
    </row>
    <row r="63" spans="1:24" x14ac:dyDescent="0.25">
      <c r="A63" t="s">
        <v>17</v>
      </c>
      <c r="B63" s="146" t="s">
        <v>193</v>
      </c>
      <c r="C63">
        <v>0</v>
      </c>
      <c r="D63">
        <v>0</v>
      </c>
      <c r="E63">
        <v>1</v>
      </c>
      <c r="F63">
        <v>0</v>
      </c>
      <c r="G63">
        <v>0</v>
      </c>
      <c r="H63">
        <v>2</v>
      </c>
      <c r="I63">
        <v>0</v>
      </c>
      <c r="J63">
        <v>0</v>
      </c>
      <c r="K63">
        <v>1</v>
      </c>
      <c r="L63">
        <v>0</v>
      </c>
      <c r="M63">
        <v>3</v>
      </c>
      <c r="N63">
        <v>0</v>
      </c>
      <c r="O63">
        <v>3</v>
      </c>
      <c r="P63">
        <v>0</v>
      </c>
      <c r="Q63">
        <v>0</v>
      </c>
      <c r="R63">
        <v>0</v>
      </c>
      <c r="S63" t="s">
        <v>6</v>
      </c>
      <c r="T63">
        <v>10</v>
      </c>
      <c r="U63" s="112"/>
      <c r="V63" s="146">
        <v>1730.5555555555557</v>
      </c>
      <c r="W63">
        <v>1320</v>
      </c>
      <c r="X63">
        <f t="shared" si="8"/>
        <v>76.276083467094708</v>
      </c>
    </row>
    <row r="64" spans="1:24" x14ac:dyDescent="0.25">
      <c r="A64" t="s">
        <v>17</v>
      </c>
      <c r="B64" s="146" t="s">
        <v>194</v>
      </c>
      <c r="C64">
        <v>0</v>
      </c>
      <c r="D64">
        <v>0</v>
      </c>
      <c r="E64">
        <v>1</v>
      </c>
      <c r="F64">
        <v>0</v>
      </c>
      <c r="G64">
        <v>0</v>
      </c>
      <c r="H64">
        <v>2</v>
      </c>
      <c r="I64">
        <v>0</v>
      </c>
      <c r="J64">
        <v>0</v>
      </c>
      <c r="K64">
        <v>1</v>
      </c>
      <c r="L64">
        <v>0</v>
      </c>
      <c r="M64">
        <v>3</v>
      </c>
      <c r="N64">
        <v>0</v>
      </c>
      <c r="O64">
        <v>3</v>
      </c>
      <c r="P64">
        <v>0</v>
      </c>
      <c r="Q64">
        <v>0</v>
      </c>
      <c r="R64">
        <v>0</v>
      </c>
      <c r="S64" t="s">
        <v>6</v>
      </c>
      <c r="T64">
        <v>10</v>
      </c>
      <c r="U64" s="112"/>
      <c r="V64" s="146">
        <v>730.55555555555554</v>
      </c>
      <c r="W64">
        <v>0</v>
      </c>
      <c r="X64">
        <f t="shared" si="8"/>
        <v>0</v>
      </c>
    </row>
    <row r="65" spans="1:24" x14ac:dyDescent="0.25">
      <c r="A65" t="s">
        <v>17</v>
      </c>
      <c r="B65" s="146" t="s">
        <v>195</v>
      </c>
      <c r="C65">
        <v>0</v>
      </c>
      <c r="D65">
        <v>0</v>
      </c>
      <c r="E65">
        <v>1</v>
      </c>
      <c r="F65">
        <v>0</v>
      </c>
      <c r="G65">
        <v>0</v>
      </c>
      <c r="H65">
        <v>2</v>
      </c>
      <c r="I65">
        <v>0</v>
      </c>
      <c r="J65">
        <v>0</v>
      </c>
      <c r="K65">
        <v>1</v>
      </c>
      <c r="L65">
        <v>0</v>
      </c>
      <c r="M65">
        <v>3</v>
      </c>
      <c r="N65">
        <v>0</v>
      </c>
      <c r="O65">
        <v>3</v>
      </c>
      <c r="P65">
        <v>0</v>
      </c>
      <c r="Q65">
        <v>0</v>
      </c>
      <c r="R65">
        <v>0</v>
      </c>
      <c r="S65" t="s">
        <v>6</v>
      </c>
      <c r="T65">
        <v>10</v>
      </c>
      <c r="U65" s="112"/>
      <c r="V65" s="146">
        <v>494.44444444444446</v>
      </c>
      <c r="W65">
        <v>400</v>
      </c>
      <c r="X65">
        <f t="shared" si="8"/>
        <v>80.898876404494374</v>
      </c>
    </row>
    <row r="66" spans="1:24" x14ac:dyDescent="0.25">
      <c r="A66" t="s">
        <v>17</v>
      </c>
      <c r="B66" s="146" t="s">
        <v>196</v>
      </c>
      <c r="C66">
        <v>0</v>
      </c>
      <c r="D66">
        <v>0</v>
      </c>
      <c r="E66">
        <v>1</v>
      </c>
      <c r="F66">
        <v>0</v>
      </c>
      <c r="G66">
        <v>0</v>
      </c>
      <c r="H66">
        <v>2</v>
      </c>
      <c r="I66">
        <v>0</v>
      </c>
      <c r="J66">
        <v>0</v>
      </c>
      <c r="K66">
        <v>1</v>
      </c>
      <c r="L66">
        <v>0</v>
      </c>
      <c r="M66">
        <v>3</v>
      </c>
      <c r="N66">
        <v>0</v>
      </c>
      <c r="O66">
        <v>3</v>
      </c>
      <c r="P66">
        <v>0</v>
      </c>
      <c r="Q66">
        <v>0</v>
      </c>
      <c r="R66">
        <v>0</v>
      </c>
      <c r="S66" t="s">
        <v>6</v>
      </c>
      <c r="T66">
        <v>10</v>
      </c>
      <c r="U66" s="112"/>
      <c r="V66" s="146">
        <v>605.55555555555554</v>
      </c>
      <c r="W66">
        <v>440</v>
      </c>
      <c r="X66">
        <f t="shared" si="8"/>
        <v>72.660550458715605</v>
      </c>
    </row>
    <row r="67" spans="1:24" x14ac:dyDescent="0.25">
      <c r="A67" t="s">
        <v>17</v>
      </c>
      <c r="B67" s="146" t="s">
        <v>197</v>
      </c>
      <c r="C67">
        <v>0</v>
      </c>
      <c r="D67">
        <v>0</v>
      </c>
      <c r="E67">
        <v>1</v>
      </c>
      <c r="F67">
        <v>0</v>
      </c>
      <c r="G67">
        <v>0</v>
      </c>
      <c r="H67">
        <v>2</v>
      </c>
      <c r="I67">
        <v>0</v>
      </c>
      <c r="J67">
        <v>0</v>
      </c>
      <c r="K67">
        <v>1</v>
      </c>
      <c r="L67">
        <v>0</v>
      </c>
      <c r="M67">
        <v>3</v>
      </c>
      <c r="N67">
        <v>0</v>
      </c>
      <c r="O67">
        <v>3</v>
      </c>
      <c r="P67">
        <v>0</v>
      </c>
      <c r="Q67">
        <v>0</v>
      </c>
      <c r="R67">
        <v>0</v>
      </c>
      <c r="S67" t="s">
        <v>6</v>
      </c>
      <c r="T67">
        <v>10</v>
      </c>
      <c r="U67" s="112"/>
      <c r="V67" s="146">
        <v>1375</v>
      </c>
      <c r="W67">
        <v>1027</v>
      </c>
      <c r="X67">
        <f t="shared" si="8"/>
        <v>74.690909090909088</v>
      </c>
    </row>
    <row r="68" spans="1:24" x14ac:dyDescent="0.25">
      <c r="A68" t="str">
        <f>'Data From Lance'!$A$35</f>
        <v>1D09L01</v>
      </c>
      <c r="B68" t="s">
        <v>198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</v>
      </c>
      <c r="J68">
        <v>1</v>
      </c>
      <c r="K68">
        <v>2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 t="s">
        <v>77</v>
      </c>
      <c r="T68">
        <v>5</v>
      </c>
      <c r="U68" s="113"/>
      <c r="V68" s="146">
        <v>286.11111111111109</v>
      </c>
      <c r="W68">
        <v>0</v>
      </c>
      <c r="X68">
        <f>(W68/V68)*100</f>
        <v>0</v>
      </c>
    </row>
    <row r="69" spans="1:24" x14ac:dyDescent="0.25">
      <c r="A69" t="str">
        <f>'Data From Lance'!$A$35</f>
        <v>1D09L01</v>
      </c>
      <c r="B69" s="146" t="s">
        <v>199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2</v>
      </c>
      <c r="J69">
        <v>1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1</v>
      </c>
      <c r="S69" t="s">
        <v>77</v>
      </c>
      <c r="T69">
        <v>5</v>
      </c>
      <c r="U69" s="113"/>
      <c r="V69" s="146">
        <v>291.66666666666669</v>
      </c>
      <c r="W69">
        <v>0</v>
      </c>
      <c r="X69">
        <f>(W69/V69)*100</f>
        <v>0</v>
      </c>
    </row>
    <row r="70" spans="1:24" x14ac:dyDescent="0.25">
      <c r="A70" t="str">
        <f>'Data From Lance'!$A$35</f>
        <v>1D09L01</v>
      </c>
      <c r="B70" s="146" t="s">
        <v>200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</v>
      </c>
      <c r="J70">
        <v>1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 t="s">
        <v>77</v>
      </c>
      <c r="T70">
        <v>5</v>
      </c>
      <c r="U70" s="113"/>
      <c r="V70" s="146">
        <v>627.22222222222217</v>
      </c>
      <c r="W70">
        <v>0</v>
      </c>
      <c r="X70">
        <f>(W70/V70)*100</f>
        <v>0</v>
      </c>
    </row>
    <row r="71" spans="1:24" x14ac:dyDescent="0.25">
      <c r="A71" t="str">
        <f>'Data From Lance'!$A$35</f>
        <v>1D09L01</v>
      </c>
      <c r="B71" s="146" t="s">
        <v>201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</v>
      </c>
      <c r="J71">
        <v>1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 t="s">
        <v>77</v>
      </c>
      <c r="T71">
        <v>5</v>
      </c>
      <c r="U71" s="113"/>
      <c r="V71" s="146">
        <v>3522.2222222222226</v>
      </c>
      <c r="W71">
        <v>1280</v>
      </c>
      <c r="X71">
        <f t="shared" ref="X71:X72" si="9">(W71/V71)*100</f>
        <v>36.340694006309143</v>
      </c>
    </row>
    <row r="72" spans="1:24" x14ac:dyDescent="0.25">
      <c r="A72" t="str">
        <f>'Data From Lance'!$A$35</f>
        <v>1D09L01</v>
      </c>
      <c r="B72" s="146" t="s">
        <v>202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</v>
      </c>
      <c r="J72">
        <v>1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 t="s">
        <v>77</v>
      </c>
      <c r="T72">
        <v>5</v>
      </c>
      <c r="U72" s="113"/>
      <c r="V72" s="146">
        <v>1888.8888888888891</v>
      </c>
      <c r="W72">
        <v>1480</v>
      </c>
      <c r="X72">
        <f t="shared" si="9"/>
        <v>78.35294117647058</v>
      </c>
    </row>
    <row r="73" spans="1:24" x14ac:dyDescent="0.25">
      <c r="A73" t="str">
        <f>'Data From Lance'!$A$35</f>
        <v>1D09L01</v>
      </c>
      <c r="B73" s="146" t="s">
        <v>203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2</v>
      </c>
      <c r="J73">
        <v>1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1</v>
      </c>
      <c r="S73" t="s">
        <v>77</v>
      </c>
      <c r="T73">
        <v>5</v>
      </c>
      <c r="U73" s="113"/>
      <c r="V73" s="146">
        <v>1988.8888888888887</v>
      </c>
      <c r="W73">
        <v>1080</v>
      </c>
      <c r="X73">
        <f t="shared" ref="X73:X76" si="10">(W73/V73)*100</f>
        <v>54.301675977653638</v>
      </c>
    </row>
    <row r="74" spans="1:24" x14ac:dyDescent="0.25">
      <c r="A74" t="str">
        <f>'Data From Lance'!$A$35</f>
        <v>1D09L01</v>
      </c>
      <c r="B74" s="146" t="s">
        <v>204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2</v>
      </c>
      <c r="J74">
        <v>1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1</v>
      </c>
      <c r="S74" t="s">
        <v>77</v>
      </c>
      <c r="T74">
        <v>5</v>
      </c>
      <c r="U74" s="113"/>
      <c r="V74" s="146">
        <v>1451.6666666666665</v>
      </c>
      <c r="W74">
        <v>883.33331999999996</v>
      </c>
      <c r="X74">
        <f t="shared" si="10"/>
        <v>60.849597244546501</v>
      </c>
    </row>
    <row r="75" spans="1:24" x14ac:dyDescent="0.25">
      <c r="A75" t="str">
        <f>'Data From Lance'!$A$35</f>
        <v>1D09L01</v>
      </c>
      <c r="B75" s="146" t="s">
        <v>205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1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 t="s">
        <v>77</v>
      </c>
      <c r="T75">
        <v>5</v>
      </c>
      <c r="U75" s="113"/>
      <c r="V75" s="146">
        <v>1392.2222222222222</v>
      </c>
      <c r="W75">
        <v>920</v>
      </c>
      <c r="X75">
        <f t="shared" si="10"/>
        <v>66.081404628890667</v>
      </c>
    </row>
    <row r="76" spans="1:24" x14ac:dyDescent="0.25">
      <c r="A76" t="str">
        <f>'Data From Lance'!$A$35</f>
        <v>1D09L01</v>
      </c>
      <c r="B76" s="146" t="s">
        <v>206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</v>
      </c>
      <c r="J76">
        <v>1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 t="s">
        <v>77</v>
      </c>
      <c r="T76">
        <v>5</v>
      </c>
      <c r="U76" s="113"/>
      <c r="V76" s="146">
        <v>688.88888888888891</v>
      </c>
      <c r="W76">
        <v>120</v>
      </c>
      <c r="X76">
        <f t="shared" si="10"/>
        <v>17.419354838709676</v>
      </c>
    </row>
    <row r="77" spans="1:24" x14ac:dyDescent="0.25">
      <c r="A77" t="s">
        <v>19</v>
      </c>
      <c r="B77" s="146" t="s">
        <v>210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</v>
      </c>
      <c r="J77">
        <v>0</v>
      </c>
      <c r="K77">
        <v>2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  <c r="S77" t="s">
        <v>35</v>
      </c>
      <c r="T77">
        <v>6</v>
      </c>
      <c r="U77" s="114"/>
      <c r="V77">
        <v>388.88888888888891</v>
      </c>
      <c r="W77">
        <v>0</v>
      </c>
      <c r="X77">
        <f>(W77/V77)*100</f>
        <v>0</v>
      </c>
    </row>
    <row r="78" spans="1:24" x14ac:dyDescent="0.25">
      <c r="A78" t="s">
        <v>19</v>
      </c>
      <c r="B78" s="146" t="s">
        <v>211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0</v>
      </c>
      <c r="K78">
        <v>2</v>
      </c>
      <c r="L78">
        <v>0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 t="s">
        <v>35</v>
      </c>
      <c r="T78">
        <v>6</v>
      </c>
      <c r="U78" s="114"/>
      <c r="V78">
        <v>1919.4444444444446</v>
      </c>
      <c r="W78">
        <v>1344</v>
      </c>
      <c r="X78">
        <f>(W78/V78)*100</f>
        <v>70.020260492040521</v>
      </c>
    </row>
    <row r="79" spans="1:24" x14ac:dyDescent="0.25">
      <c r="A79" t="s">
        <v>19</v>
      </c>
      <c r="B79" s="146" t="s">
        <v>212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</v>
      </c>
      <c r="J79">
        <v>0</v>
      </c>
      <c r="K79">
        <v>2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0</v>
      </c>
      <c r="S79" t="s">
        <v>35</v>
      </c>
      <c r="T79">
        <v>6</v>
      </c>
      <c r="U79" s="114"/>
      <c r="V79">
        <v>669.44444444444446</v>
      </c>
      <c r="W79">
        <v>258.33326</v>
      </c>
      <c r="X79">
        <f t="shared" ref="X79:X80" si="11">(W79/V79)*100</f>
        <v>38.589200663900414</v>
      </c>
    </row>
    <row r="80" spans="1:24" x14ac:dyDescent="0.25">
      <c r="A80" t="s">
        <v>19</v>
      </c>
      <c r="B80" s="146" t="s">
        <v>213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</v>
      </c>
      <c r="J80">
        <v>0</v>
      </c>
      <c r="K80">
        <v>2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0</v>
      </c>
      <c r="S80" t="s">
        <v>35</v>
      </c>
      <c r="T80">
        <v>6</v>
      </c>
      <c r="U80" s="114"/>
      <c r="V80">
        <v>1322.2222222222222</v>
      </c>
      <c r="W80">
        <v>240</v>
      </c>
      <c r="X80">
        <f t="shared" si="11"/>
        <v>18.15126050420168</v>
      </c>
    </row>
    <row r="81" spans="1:24" x14ac:dyDescent="0.25">
      <c r="A81" t="s">
        <v>21</v>
      </c>
      <c r="B81" t="s">
        <v>214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5</v>
      </c>
      <c r="J81">
        <v>1</v>
      </c>
      <c r="K81">
        <v>0</v>
      </c>
      <c r="L81">
        <v>2</v>
      </c>
      <c r="M81">
        <v>0</v>
      </c>
      <c r="N81">
        <v>1</v>
      </c>
      <c r="O81">
        <v>1</v>
      </c>
      <c r="P81">
        <v>0</v>
      </c>
      <c r="Q81">
        <v>1</v>
      </c>
      <c r="R81">
        <v>0</v>
      </c>
      <c r="S81" t="s">
        <v>38</v>
      </c>
      <c r="T81">
        <v>10</v>
      </c>
      <c r="U81" s="114"/>
      <c r="V81">
        <v>2553.8888888888887</v>
      </c>
      <c r="W81">
        <v>2081.6666599999999</v>
      </c>
      <c r="X81">
        <f>(W81/V81)*100</f>
        <v>81.509679965194692</v>
      </c>
    </row>
    <row r="82" spans="1:24" x14ac:dyDescent="0.25">
      <c r="A82" t="s">
        <v>21</v>
      </c>
      <c r="B82" t="s">
        <v>215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5</v>
      </c>
      <c r="J82">
        <v>1</v>
      </c>
      <c r="K82">
        <v>0</v>
      </c>
      <c r="L82">
        <v>2</v>
      </c>
      <c r="M82">
        <v>0</v>
      </c>
      <c r="N82">
        <v>1</v>
      </c>
      <c r="O82">
        <v>1</v>
      </c>
      <c r="P82">
        <v>0</v>
      </c>
      <c r="Q82">
        <v>1</v>
      </c>
      <c r="R82">
        <v>0</v>
      </c>
      <c r="S82" t="s">
        <v>38</v>
      </c>
      <c r="T82">
        <v>10</v>
      </c>
      <c r="U82" s="114"/>
      <c r="V82">
        <v>1860.5555555555554</v>
      </c>
      <c r="W82">
        <v>1276</v>
      </c>
      <c r="X82">
        <f t="shared" ref="X82:X83" si="12">(W82/V82)*100</f>
        <v>68.581666169005672</v>
      </c>
    </row>
    <row r="83" spans="1:24" x14ac:dyDescent="0.25">
      <c r="A83" t="s">
        <v>21</v>
      </c>
      <c r="B83" t="s">
        <v>216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5</v>
      </c>
      <c r="J83">
        <v>1</v>
      </c>
      <c r="K83">
        <v>0</v>
      </c>
      <c r="L83">
        <v>2</v>
      </c>
      <c r="M83">
        <v>0</v>
      </c>
      <c r="N83">
        <v>1</v>
      </c>
      <c r="O83">
        <v>1</v>
      </c>
      <c r="P83">
        <v>0</v>
      </c>
      <c r="Q83">
        <v>1</v>
      </c>
      <c r="R83">
        <v>0</v>
      </c>
      <c r="S83" t="s">
        <v>38</v>
      </c>
      <c r="T83">
        <v>10</v>
      </c>
      <c r="U83" s="114"/>
      <c r="V83">
        <v>2136.1111111111109</v>
      </c>
      <c r="W83">
        <v>1280</v>
      </c>
      <c r="X83">
        <f t="shared" si="12"/>
        <v>59.921976592977899</v>
      </c>
    </row>
    <row r="84" spans="1:24" x14ac:dyDescent="0.25">
      <c r="A84" t="s">
        <v>21</v>
      </c>
      <c r="B84" t="s">
        <v>217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5</v>
      </c>
      <c r="J84">
        <v>1</v>
      </c>
      <c r="K84">
        <v>0</v>
      </c>
      <c r="L84">
        <v>2</v>
      </c>
      <c r="M84">
        <v>0</v>
      </c>
      <c r="N84">
        <v>1</v>
      </c>
      <c r="O84">
        <v>1</v>
      </c>
      <c r="P84">
        <v>0</v>
      </c>
      <c r="Q84">
        <v>1</v>
      </c>
      <c r="R84">
        <v>0</v>
      </c>
      <c r="S84" t="s">
        <v>38</v>
      </c>
      <c r="T84">
        <v>10</v>
      </c>
      <c r="U84" s="114"/>
      <c r="V84">
        <v>180.55555555555554</v>
      </c>
      <c r="W84">
        <v>200</v>
      </c>
      <c r="X84">
        <f t="shared" ref="X84:X90" si="13">(W84/V84)*100</f>
        <v>110.76923076923077</v>
      </c>
    </row>
    <row r="85" spans="1:24" x14ac:dyDescent="0.25">
      <c r="A85" t="s">
        <v>21</v>
      </c>
      <c r="B85" t="s">
        <v>218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5</v>
      </c>
      <c r="J85">
        <v>1</v>
      </c>
      <c r="K85">
        <v>0</v>
      </c>
      <c r="L85">
        <v>2</v>
      </c>
      <c r="M85">
        <v>0</v>
      </c>
      <c r="N85">
        <v>1</v>
      </c>
      <c r="O85">
        <v>1</v>
      </c>
      <c r="P85">
        <v>0</v>
      </c>
      <c r="Q85">
        <v>1</v>
      </c>
      <c r="R85">
        <v>0</v>
      </c>
      <c r="S85" t="s">
        <v>38</v>
      </c>
      <c r="T85">
        <v>10</v>
      </c>
      <c r="U85" s="114"/>
      <c r="V85">
        <v>2963.8888888888891</v>
      </c>
      <c r="W85">
        <v>2352</v>
      </c>
      <c r="X85">
        <f t="shared" si="13"/>
        <v>79.35520149953139</v>
      </c>
    </row>
    <row r="86" spans="1:24" x14ac:dyDescent="0.25">
      <c r="A86" t="s">
        <v>24</v>
      </c>
      <c r="B86" s="146" t="s">
        <v>219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1</v>
      </c>
      <c r="L86">
        <v>5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6</v>
      </c>
      <c r="T86">
        <v>10</v>
      </c>
      <c r="U86" s="112"/>
      <c r="V86">
        <v>1966.6666666666665</v>
      </c>
      <c r="W86">
        <v>1680</v>
      </c>
      <c r="X86">
        <f t="shared" si="13"/>
        <v>85.423728813559336</v>
      </c>
    </row>
    <row r="87" spans="1:24" x14ac:dyDescent="0.25">
      <c r="A87" t="s">
        <v>24</v>
      </c>
      <c r="B87" s="146" t="s">
        <v>220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  <c r="K87">
        <v>1</v>
      </c>
      <c r="L87">
        <v>5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6</v>
      </c>
      <c r="T87">
        <v>10</v>
      </c>
      <c r="U87" s="112"/>
      <c r="V87">
        <v>1972.2222222222222</v>
      </c>
      <c r="W87">
        <v>1832</v>
      </c>
      <c r="X87">
        <f t="shared" si="13"/>
        <v>92.89014084507042</v>
      </c>
    </row>
    <row r="88" spans="1:24" x14ac:dyDescent="0.25">
      <c r="A88" t="s">
        <v>24</v>
      </c>
      <c r="B88" s="146" t="s">
        <v>221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  <c r="K88">
        <v>1</v>
      </c>
      <c r="L88">
        <v>5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 t="s">
        <v>6</v>
      </c>
      <c r="T88">
        <v>10</v>
      </c>
      <c r="U88" s="112"/>
      <c r="V88">
        <v>1944.4444444444443</v>
      </c>
      <c r="W88">
        <v>1600</v>
      </c>
      <c r="X88">
        <f t="shared" si="13"/>
        <v>82.285714285714292</v>
      </c>
    </row>
    <row r="89" spans="1:24" x14ac:dyDescent="0.25">
      <c r="A89" t="s">
        <v>24</v>
      </c>
      <c r="B89" s="146" t="s">
        <v>222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  <c r="K89">
        <v>1</v>
      </c>
      <c r="L89">
        <v>5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6</v>
      </c>
      <c r="T89">
        <v>10</v>
      </c>
      <c r="U89" s="112"/>
      <c r="V89">
        <v>2391.6666666666665</v>
      </c>
      <c r="W89">
        <v>2269.6666599999999</v>
      </c>
      <c r="X89">
        <f t="shared" si="13"/>
        <v>94.898954425087112</v>
      </c>
    </row>
    <row r="90" spans="1:24" x14ac:dyDescent="0.25">
      <c r="A90" t="s">
        <v>24</v>
      </c>
      <c r="B90" s="146" t="s">
        <v>223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  <c r="K90">
        <v>1</v>
      </c>
      <c r="L90">
        <v>5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6</v>
      </c>
      <c r="T90">
        <v>10</v>
      </c>
      <c r="U90" s="112"/>
      <c r="V90">
        <v>2324.9999999999995</v>
      </c>
      <c r="W90">
        <v>2121.6666599999999</v>
      </c>
      <c r="X90">
        <f t="shared" si="13"/>
        <v>91.254480000000015</v>
      </c>
    </row>
    <row r="91" spans="1:24" x14ac:dyDescent="0.25">
      <c r="A91" t="s">
        <v>24</v>
      </c>
      <c r="B91" s="146" t="s">
        <v>224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1</v>
      </c>
      <c r="L91">
        <v>5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 t="s">
        <v>6</v>
      </c>
      <c r="T91">
        <v>10</v>
      </c>
      <c r="U91" s="112"/>
      <c r="V91">
        <v>1752.7777777777778</v>
      </c>
      <c r="W91">
        <v>1320</v>
      </c>
      <c r="X91">
        <f t="shared" ref="X91:X92" si="14">(W91/V91)*100</f>
        <v>75.309033280507137</v>
      </c>
    </row>
    <row r="92" spans="1:24" x14ac:dyDescent="0.25">
      <c r="A92" t="s">
        <v>24</v>
      </c>
      <c r="B92" s="146" t="s">
        <v>225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  <c r="K92">
        <v>1</v>
      </c>
      <c r="L92">
        <v>5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 t="s">
        <v>6</v>
      </c>
      <c r="T92">
        <v>10</v>
      </c>
      <c r="U92" s="112"/>
      <c r="V92">
        <v>3269.4444444444448</v>
      </c>
      <c r="W92">
        <v>3036</v>
      </c>
      <c r="X92">
        <f t="shared" si="14"/>
        <v>92.859813084112147</v>
      </c>
    </row>
    <row r="93" spans="1:24" x14ac:dyDescent="0.25">
      <c r="A93" t="s">
        <v>24</v>
      </c>
      <c r="B93" s="146" t="s">
        <v>226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1</v>
      </c>
      <c r="L93">
        <v>5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 t="s">
        <v>6</v>
      </c>
      <c r="T93">
        <v>10</v>
      </c>
      <c r="U93" s="112"/>
      <c r="V93">
        <v>2527.7777777777778</v>
      </c>
      <c r="W93">
        <v>1989.6666599999999</v>
      </c>
      <c r="X93">
        <f t="shared" ref="X93:X115" si="15">(W93/V93)*100</f>
        <v>78.712087648351641</v>
      </c>
    </row>
    <row r="94" spans="1:24" x14ac:dyDescent="0.25">
      <c r="A94" t="s">
        <v>24</v>
      </c>
      <c r="B94" s="146" t="s">
        <v>227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  <c r="K94">
        <v>1</v>
      </c>
      <c r="L94">
        <v>5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 t="s">
        <v>6</v>
      </c>
      <c r="T94">
        <v>10</v>
      </c>
      <c r="U94" s="112"/>
      <c r="V94">
        <v>266.66666666666669</v>
      </c>
      <c r="W94">
        <v>0</v>
      </c>
      <c r="X94">
        <f t="shared" si="15"/>
        <v>0</v>
      </c>
    </row>
    <row r="95" spans="1:24" x14ac:dyDescent="0.25">
      <c r="A95" t="s">
        <v>24</v>
      </c>
      <c r="B95" s="146" t="s">
        <v>228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  <c r="K95">
        <v>1</v>
      </c>
      <c r="L95">
        <v>5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 t="s">
        <v>6</v>
      </c>
      <c r="T95">
        <v>10</v>
      </c>
      <c r="U95" s="112"/>
      <c r="V95">
        <v>1855.5555555555557</v>
      </c>
      <c r="W95">
        <v>1681.6666599999999</v>
      </c>
      <c r="X95">
        <f t="shared" si="15"/>
        <v>90.628742155688613</v>
      </c>
    </row>
    <row r="96" spans="1:24" x14ac:dyDescent="0.25">
      <c r="A96" t="s">
        <v>24</v>
      </c>
      <c r="B96" s="146" t="s">
        <v>229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  <c r="K96">
        <v>1</v>
      </c>
      <c r="L96">
        <v>5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 t="s">
        <v>6</v>
      </c>
      <c r="T96">
        <v>10</v>
      </c>
      <c r="U96" s="112"/>
      <c r="V96">
        <v>1983.3333333333333</v>
      </c>
      <c r="W96">
        <v>1761.6666599999999</v>
      </c>
      <c r="X96">
        <f t="shared" si="15"/>
        <v>88.823529075630248</v>
      </c>
    </row>
    <row r="97" spans="1:24" x14ac:dyDescent="0.25">
      <c r="A97" t="s">
        <v>24</v>
      </c>
      <c r="B97" s="146" t="s">
        <v>230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  <c r="K97">
        <v>1</v>
      </c>
      <c r="L97">
        <v>5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 t="s">
        <v>6</v>
      </c>
      <c r="T97">
        <v>10</v>
      </c>
      <c r="U97" s="112"/>
      <c r="V97">
        <v>3002.7777777777778</v>
      </c>
      <c r="W97">
        <v>2595.66662</v>
      </c>
      <c r="X97">
        <f t="shared" si="15"/>
        <v>86.442181609620718</v>
      </c>
    </row>
    <row r="98" spans="1:24" x14ac:dyDescent="0.25">
      <c r="A98" t="s">
        <v>24</v>
      </c>
      <c r="B98" s="146" t="s">
        <v>231</v>
      </c>
      <c r="C98">
        <v>0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  <c r="K98">
        <v>1</v>
      </c>
      <c r="L98">
        <v>5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6</v>
      </c>
      <c r="T98">
        <v>10</v>
      </c>
      <c r="U98" s="112"/>
      <c r="V98">
        <v>3057.2222222222217</v>
      </c>
      <c r="W98">
        <v>2720</v>
      </c>
      <c r="X98">
        <f t="shared" si="15"/>
        <v>88.969652916590974</v>
      </c>
    </row>
    <row r="99" spans="1:24" x14ac:dyDescent="0.25">
      <c r="A99" t="s">
        <v>24</v>
      </c>
      <c r="B99" s="146" t="s">
        <v>232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  <c r="K99">
        <v>1</v>
      </c>
      <c r="L99">
        <v>5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6</v>
      </c>
      <c r="T99">
        <v>10</v>
      </c>
      <c r="U99" s="112"/>
      <c r="V99">
        <v>1258.8888888888889</v>
      </c>
      <c r="W99">
        <v>1028</v>
      </c>
      <c r="X99">
        <f t="shared" si="15"/>
        <v>81.659311562224175</v>
      </c>
    </row>
    <row r="100" spans="1:24" x14ac:dyDescent="0.25">
      <c r="A100" t="s">
        <v>24</v>
      </c>
      <c r="B100" s="146" t="s">
        <v>233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  <c r="K100">
        <v>1</v>
      </c>
      <c r="L100">
        <v>5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 t="s">
        <v>6</v>
      </c>
      <c r="T100">
        <v>10</v>
      </c>
      <c r="U100" s="112"/>
      <c r="V100">
        <v>1702.7777777777778</v>
      </c>
      <c r="W100">
        <v>1360</v>
      </c>
      <c r="X100">
        <f t="shared" si="15"/>
        <v>79.869494290375201</v>
      </c>
    </row>
    <row r="101" spans="1:24" x14ac:dyDescent="0.25">
      <c r="A101" t="s">
        <v>24</v>
      </c>
      <c r="B101" s="146" t="s">
        <v>234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1</v>
      </c>
      <c r="L101">
        <v>5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 t="s">
        <v>6</v>
      </c>
      <c r="T101">
        <v>10</v>
      </c>
      <c r="U101" s="112"/>
      <c r="V101">
        <v>1701.6666666666665</v>
      </c>
      <c r="W101">
        <v>680</v>
      </c>
      <c r="X101">
        <f t="shared" si="15"/>
        <v>39.960822722820765</v>
      </c>
    </row>
    <row r="102" spans="1:24" x14ac:dyDescent="0.25">
      <c r="A102" t="s">
        <v>24</v>
      </c>
      <c r="B102" s="146" t="s">
        <v>235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1</v>
      </c>
      <c r="L102">
        <v>5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6</v>
      </c>
      <c r="T102">
        <v>10</v>
      </c>
      <c r="U102" s="112"/>
      <c r="V102">
        <v>1246.1111111111111</v>
      </c>
      <c r="W102">
        <v>960</v>
      </c>
      <c r="X102">
        <f t="shared" si="15"/>
        <v>77.03967900133749</v>
      </c>
    </row>
    <row r="103" spans="1:24" x14ac:dyDescent="0.25">
      <c r="A103" t="s">
        <v>24</v>
      </c>
      <c r="B103" s="146" t="s">
        <v>236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1</v>
      </c>
      <c r="L103">
        <v>5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 t="s">
        <v>6</v>
      </c>
      <c r="T103">
        <v>10</v>
      </c>
      <c r="U103" s="112"/>
      <c r="V103">
        <v>1901.666666666667</v>
      </c>
      <c r="W103">
        <v>1708</v>
      </c>
      <c r="X103">
        <f t="shared" si="15"/>
        <v>89.815950920245385</v>
      </c>
    </row>
    <row r="104" spans="1:24" x14ac:dyDescent="0.25">
      <c r="A104" t="s">
        <v>24</v>
      </c>
      <c r="B104" s="146" t="s">
        <v>237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  <c r="K104">
        <v>1</v>
      </c>
      <c r="L104">
        <v>5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6</v>
      </c>
      <c r="T104">
        <v>10</v>
      </c>
      <c r="U104" s="112"/>
      <c r="V104">
        <v>1938.8888888888889</v>
      </c>
      <c r="W104">
        <v>1480</v>
      </c>
      <c r="X104">
        <f t="shared" si="15"/>
        <v>76.332378223495695</v>
      </c>
    </row>
    <row r="105" spans="1:24" x14ac:dyDescent="0.25">
      <c r="A105" t="s">
        <v>24</v>
      </c>
      <c r="B105" s="146" t="s">
        <v>238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5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6</v>
      </c>
      <c r="T105">
        <v>10</v>
      </c>
      <c r="U105" s="112"/>
      <c r="V105">
        <v>2618.3333333333335</v>
      </c>
      <c r="W105">
        <v>2440</v>
      </c>
      <c r="X105">
        <f t="shared" si="15"/>
        <v>93.18905155951623</v>
      </c>
    </row>
    <row r="106" spans="1:24" x14ac:dyDescent="0.25">
      <c r="A106" t="s">
        <v>24</v>
      </c>
      <c r="B106" s="146" t="s">
        <v>239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5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6</v>
      </c>
      <c r="T106">
        <v>10</v>
      </c>
      <c r="U106" s="112"/>
      <c r="V106">
        <v>2441.6666666666665</v>
      </c>
      <c r="W106">
        <v>1984</v>
      </c>
      <c r="X106">
        <f t="shared" si="15"/>
        <v>81.255972696245735</v>
      </c>
    </row>
    <row r="107" spans="1:24" x14ac:dyDescent="0.25">
      <c r="A107" t="s">
        <v>24</v>
      </c>
      <c r="B107" s="146" t="s">
        <v>240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5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 t="s">
        <v>6</v>
      </c>
      <c r="T107">
        <v>10</v>
      </c>
      <c r="U107" s="112"/>
      <c r="V107">
        <v>2273.3333333333335</v>
      </c>
      <c r="W107">
        <v>0</v>
      </c>
      <c r="X107">
        <f t="shared" si="15"/>
        <v>0</v>
      </c>
    </row>
    <row r="108" spans="1:24" x14ac:dyDescent="0.25">
      <c r="A108" t="s">
        <v>24</v>
      </c>
      <c r="B108" s="146" t="s">
        <v>241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1</v>
      </c>
      <c r="L108">
        <v>5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 t="s">
        <v>6</v>
      </c>
      <c r="T108">
        <v>10</v>
      </c>
      <c r="U108" s="112"/>
      <c r="V108">
        <v>1877.2222222222222</v>
      </c>
      <c r="W108">
        <v>720</v>
      </c>
      <c r="X108">
        <f t="shared" si="15"/>
        <v>38.354542764131402</v>
      </c>
    </row>
    <row r="109" spans="1:24" x14ac:dyDescent="0.25">
      <c r="A109" t="s">
        <v>24</v>
      </c>
      <c r="B109" s="146" t="s">
        <v>242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5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 t="s">
        <v>6</v>
      </c>
      <c r="T109">
        <v>10</v>
      </c>
      <c r="U109" s="112"/>
      <c r="V109">
        <v>1944.4444444444443</v>
      </c>
      <c r="W109">
        <v>1708</v>
      </c>
      <c r="X109">
        <f t="shared" si="15"/>
        <v>87.84</v>
      </c>
    </row>
    <row r="110" spans="1:24" x14ac:dyDescent="0.25">
      <c r="A110" t="s">
        <v>24</v>
      </c>
      <c r="B110" s="146" t="s">
        <v>243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5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6</v>
      </c>
      <c r="T110">
        <v>10</v>
      </c>
      <c r="U110" s="112"/>
      <c r="V110">
        <v>1605.5555555555554</v>
      </c>
      <c r="W110">
        <v>1440</v>
      </c>
      <c r="X110">
        <f t="shared" si="15"/>
        <v>89.688581314878903</v>
      </c>
    </row>
    <row r="111" spans="1:24" x14ac:dyDescent="0.25">
      <c r="A111" t="s">
        <v>24</v>
      </c>
      <c r="B111" s="146" t="s">
        <v>244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1</v>
      </c>
      <c r="L111">
        <v>5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 t="s">
        <v>6</v>
      </c>
      <c r="T111">
        <v>10</v>
      </c>
      <c r="U111" s="112"/>
      <c r="V111">
        <v>1722.2222222222224</v>
      </c>
      <c r="W111">
        <v>1508</v>
      </c>
      <c r="X111">
        <f t="shared" si="15"/>
        <v>87.561290322580632</v>
      </c>
    </row>
    <row r="112" spans="1:24" x14ac:dyDescent="0.25">
      <c r="A112" t="s">
        <v>24</v>
      </c>
      <c r="B112" s="146" t="s">
        <v>245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5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6</v>
      </c>
      <c r="T112">
        <v>10</v>
      </c>
      <c r="U112" s="112"/>
      <c r="V112">
        <v>2328.3333333333335</v>
      </c>
      <c r="W112">
        <v>2040</v>
      </c>
      <c r="X112">
        <f t="shared" si="15"/>
        <v>87.616320687186828</v>
      </c>
    </row>
    <row r="113" spans="1:24" x14ac:dyDescent="0.25">
      <c r="A113" t="s">
        <v>24</v>
      </c>
      <c r="B113" s="146" t="s">
        <v>246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  <c r="K113">
        <v>1</v>
      </c>
      <c r="L113">
        <v>5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 t="s">
        <v>6</v>
      </c>
      <c r="T113">
        <v>10</v>
      </c>
      <c r="U113" s="112"/>
      <c r="V113">
        <v>2093.3333333333335</v>
      </c>
      <c r="W113">
        <v>1560</v>
      </c>
      <c r="X113">
        <f t="shared" si="15"/>
        <v>74.522292993630572</v>
      </c>
    </row>
    <row r="114" spans="1:24" x14ac:dyDescent="0.25">
      <c r="A114" t="s">
        <v>24</v>
      </c>
      <c r="B114" s="146" t="s">
        <v>247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1</v>
      </c>
      <c r="L114">
        <v>5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 t="s">
        <v>6</v>
      </c>
      <c r="T114">
        <v>10</v>
      </c>
      <c r="U114" s="112"/>
      <c r="V114">
        <v>1427.7777777777778</v>
      </c>
      <c r="W114">
        <v>1280</v>
      </c>
      <c r="X114">
        <f t="shared" si="15"/>
        <v>89.649805447470811</v>
      </c>
    </row>
    <row r="115" spans="1:24" x14ac:dyDescent="0.25">
      <c r="A115" t="s">
        <v>24</v>
      </c>
      <c r="B115" s="146" t="s">
        <v>248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1</v>
      </c>
      <c r="L115">
        <v>5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6</v>
      </c>
      <c r="T115">
        <v>10</v>
      </c>
      <c r="U115" s="112"/>
      <c r="V115">
        <v>2370</v>
      </c>
      <c r="W115">
        <v>2029.6666600000001</v>
      </c>
      <c r="X115">
        <f t="shared" si="15"/>
        <v>85.639943459915614</v>
      </c>
    </row>
    <row r="116" spans="1:24" x14ac:dyDescent="0.25">
      <c r="A116" t="s">
        <v>26</v>
      </c>
      <c r="B116" s="146" t="s">
        <v>251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3</v>
      </c>
      <c r="K116">
        <v>1</v>
      </c>
      <c r="L116">
        <v>0</v>
      </c>
      <c r="M116">
        <v>0</v>
      </c>
      <c r="N116">
        <v>2</v>
      </c>
      <c r="O116">
        <v>0</v>
      </c>
      <c r="P116">
        <v>0</v>
      </c>
      <c r="Q116">
        <v>1</v>
      </c>
      <c r="R116">
        <v>0</v>
      </c>
      <c r="S116" t="s">
        <v>97</v>
      </c>
      <c r="T116">
        <v>8</v>
      </c>
      <c r="U116" s="114"/>
      <c r="V116">
        <v>1958.3333333333333</v>
      </c>
      <c r="W116">
        <v>1760</v>
      </c>
      <c r="X116">
        <f>(W116/V116)*100</f>
        <v>89.872340425531917</v>
      </c>
    </row>
    <row r="117" spans="1:24" x14ac:dyDescent="0.25">
      <c r="A117" t="s">
        <v>26</v>
      </c>
      <c r="B117" s="146" t="s">
        <v>252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3</v>
      </c>
      <c r="K117">
        <v>1</v>
      </c>
      <c r="L117">
        <v>0</v>
      </c>
      <c r="M117">
        <v>0</v>
      </c>
      <c r="N117">
        <v>2</v>
      </c>
      <c r="O117">
        <v>0</v>
      </c>
      <c r="P117">
        <v>0</v>
      </c>
      <c r="Q117">
        <v>1</v>
      </c>
      <c r="R117">
        <v>0</v>
      </c>
      <c r="S117" t="s">
        <v>97</v>
      </c>
      <c r="T117">
        <v>8</v>
      </c>
      <c r="U117" s="114"/>
      <c r="V117">
        <v>1836.1111111111111</v>
      </c>
      <c r="W117">
        <v>1268</v>
      </c>
      <c r="X117">
        <f>(W117/V117)*100</f>
        <v>69.059001512859311</v>
      </c>
    </row>
    <row r="118" spans="1:24" x14ac:dyDescent="0.25">
      <c r="A118" t="s">
        <v>26</v>
      </c>
      <c r="B118" s="146" t="s">
        <v>253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3</v>
      </c>
      <c r="K118">
        <v>1</v>
      </c>
      <c r="L118">
        <v>0</v>
      </c>
      <c r="M118">
        <v>0</v>
      </c>
      <c r="N118">
        <v>2</v>
      </c>
      <c r="O118">
        <v>0</v>
      </c>
      <c r="P118">
        <v>0</v>
      </c>
      <c r="Q118">
        <v>1</v>
      </c>
      <c r="R118">
        <v>0</v>
      </c>
      <c r="S118" t="s">
        <v>97</v>
      </c>
      <c r="T118">
        <v>8</v>
      </c>
      <c r="U118" s="114"/>
      <c r="V118">
        <v>1605.5555555555557</v>
      </c>
      <c r="W118">
        <v>1040</v>
      </c>
      <c r="X118">
        <f>(W118/V118)*100</f>
        <v>64.775086505190302</v>
      </c>
    </row>
    <row r="119" spans="1:24" x14ac:dyDescent="0.25">
      <c r="A119" t="s">
        <v>26</v>
      </c>
      <c r="B119" s="146" t="s">
        <v>254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3</v>
      </c>
      <c r="K119">
        <v>1</v>
      </c>
      <c r="L119">
        <v>0</v>
      </c>
      <c r="M119">
        <v>0</v>
      </c>
      <c r="N119">
        <v>2</v>
      </c>
      <c r="O119">
        <v>0</v>
      </c>
      <c r="P119">
        <v>0</v>
      </c>
      <c r="Q119">
        <v>1</v>
      </c>
      <c r="R119">
        <v>0</v>
      </c>
      <c r="S119" t="s">
        <v>97</v>
      </c>
      <c r="T119">
        <v>8</v>
      </c>
      <c r="U119" s="114"/>
      <c r="V119">
        <v>1975</v>
      </c>
      <c r="W119">
        <v>1108</v>
      </c>
      <c r="X119">
        <f>(W119/V119)*100</f>
        <v>56.101265822784811</v>
      </c>
    </row>
    <row r="120" spans="1:24" x14ac:dyDescent="0.25">
      <c r="A120" t="s">
        <v>115</v>
      </c>
      <c r="B120" s="146" t="s">
        <v>255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2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 t="s">
        <v>73</v>
      </c>
      <c r="T120">
        <v>6</v>
      </c>
      <c r="U120" s="112"/>
      <c r="V120">
        <v>1963.8888888888887</v>
      </c>
      <c r="W120">
        <v>1720</v>
      </c>
      <c r="X120">
        <f>(W120/V120)*100</f>
        <v>87.581329561527582</v>
      </c>
    </row>
    <row r="121" spans="1:24" x14ac:dyDescent="0.25">
      <c r="A121" t="s">
        <v>115</v>
      </c>
      <c r="B121" s="146" t="s">
        <v>256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2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 t="s">
        <v>73</v>
      </c>
      <c r="T121">
        <v>6</v>
      </c>
      <c r="U121" s="112"/>
      <c r="V121">
        <v>1761.1111111111109</v>
      </c>
      <c r="W121">
        <v>1672</v>
      </c>
      <c r="X121">
        <f t="shared" ref="X121:X125" si="16">(W121/V121)*100</f>
        <v>94.940063091482656</v>
      </c>
    </row>
    <row r="122" spans="1:24" x14ac:dyDescent="0.25">
      <c r="A122" t="s">
        <v>115</v>
      </c>
      <c r="B122" s="146" t="s">
        <v>257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2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 t="s">
        <v>73</v>
      </c>
      <c r="T122">
        <v>6</v>
      </c>
      <c r="U122" s="112"/>
      <c r="V122">
        <v>2033.3333333333333</v>
      </c>
      <c r="W122">
        <v>1880</v>
      </c>
      <c r="X122">
        <f t="shared" si="16"/>
        <v>92.459016393442624</v>
      </c>
    </row>
    <row r="123" spans="1:24" x14ac:dyDescent="0.25">
      <c r="A123" t="s">
        <v>115</v>
      </c>
      <c r="B123" s="146" t="s">
        <v>258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2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 t="s">
        <v>73</v>
      </c>
      <c r="T123">
        <v>6</v>
      </c>
      <c r="U123" s="112"/>
      <c r="V123">
        <v>2030.5555555555557</v>
      </c>
      <c r="W123">
        <v>1872</v>
      </c>
      <c r="X123">
        <f t="shared" si="16"/>
        <v>92.191518467852248</v>
      </c>
    </row>
    <row r="124" spans="1:24" x14ac:dyDescent="0.25">
      <c r="A124" t="s">
        <v>115</v>
      </c>
      <c r="B124" s="146" t="s">
        <v>259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2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0</v>
      </c>
      <c r="S124" t="s">
        <v>73</v>
      </c>
      <c r="T124">
        <v>6</v>
      </c>
      <c r="U124" s="112"/>
      <c r="V124">
        <v>1930.5555555555554</v>
      </c>
      <c r="W124">
        <v>960</v>
      </c>
      <c r="X124">
        <f t="shared" si="16"/>
        <v>49.726618705035975</v>
      </c>
    </row>
    <row r="125" spans="1:24" x14ac:dyDescent="0.25">
      <c r="A125" t="s">
        <v>115</v>
      </c>
      <c r="B125" s="146" t="s">
        <v>260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2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0</v>
      </c>
      <c r="S125" t="s">
        <v>73</v>
      </c>
      <c r="T125">
        <v>6</v>
      </c>
      <c r="U125" s="112"/>
      <c r="V125">
        <v>1788.8888888888887</v>
      </c>
      <c r="W125">
        <v>1636</v>
      </c>
      <c r="X125">
        <f t="shared" si="16"/>
        <v>91.453416149068332</v>
      </c>
    </row>
    <row r="126" spans="1:24" x14ac:dyDescent="0.25">
      <c r="A126" t="s">
        <v>115</v>
      </c>
      <c r="B126" s="146" t="s">
        <v>261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2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0</v>
      </c>
      <c r="S126" t="s">
        <v>73</v>
      </c>
      <c r="T126">
        <v>6</v>
      </c>
      <c r="U126" s="112"/>
      <c r="V126">
        <v>1188.8888888888887</v>
      </c>
      <c r="W126">
        <v>1081.9999600000001</v>
      </c>
      <c r="X126">
        <f t="shared" ref="X126:X127" si="17">(W126/V126)*100</f>
        <v>91.009342429906567</v>
      </c>
    </row>
    <row r="127" spans="1:24" x14ac:dyDescent="0.25">
      <c r="A127" t="s">
        <v>115</v>
      </c>
      <c r="B127" s="146" t="s">
        <v>262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2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 t="s">
        <v>73</v>
      </c>
      <c r="T127">
        <v>6</v>
      </c>
      <c r="U127" s="112"/>
      <c r="V127">
        <v>2009.4444444444443</v>
      </c>
      <c r="W127">
        <v>1840</v>
      </c>
      <c r="X127">
        <f t="shared" si="17"/>
        <v>91.56759745645563</v>
      </c>
    </row>
    <row r="128" spans="1:24" x14ac:dyDescent="0.25">
      <c r="A128" t="s">
        <v>115</v>
      </c>
      <c r="B128" s="146" t="s">
        <v>263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1</v>
      </c>
      <c r="J128">
        <v>0</v>
      </c>
      <c r="K128">
        <v>0</v>
      </c>
      <c r="L128">
        <v>2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 t="s">
        <v>73</v>
      </c>
      <c r="T128">
        <v>6</v>
      </c>
      <c r="U128" s="112"/>
      <c r="V128">
        <v>2033.3333333333333</v>
      </c>
      <c r="W128">
        <v>1595.3333200000002</v>
      </c>
      <c r="X128">
        <f t="shared" ref="X128:X134" si="18">(W128/V128)*100</f>
        <v>78.459015737704931</v>
      </c>
    </row>
    <row r="129" spans="1:24" x14ac:dyDescent="0.25">
      <c r="A129" t="s">
        <v>115</v>
      </c>
      <c r="B129" s="146" t="s">
        <v>264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1</v>
      </c>
      <c r="J129">
        <v>0</v>
      </c>
      <c r="K129">
        <v>0</v>
      </c>
      <c r="L129">
        <v>2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 t="s">
        <v>73</v>
      </c>
      <c r="T129">
        <v>6</v>
      </c>
      <c r="U129" s="112"/>
      <c r="V129">
        <v>2644.4444444444443</v>
      </c>
      <c r="W129">
        <v>2161.6666599999999</v>
      </c>
      <c r="X129">
        <f t="shared" si="18"/>
        <v>81.74369722689076</v>
      </c>
    </row>
    <row r="130" spans="1:24" x14ac:dyDescent="0.25">
      <c r="A130" t="s">
        <v>115</v>
      </c>
      <c r="B130" s="146" t="s">
        <v>265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2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 t="s">
        <v>73</v>
      </c>
      <c r="T130">
        <v>6</v>
      </c>
      <c r="U130" s="112"/>
      <c r="V130">
        <v>1888.8888888888889</v>
      </c>
      <c r="W130">
        <v>1606.6666399999999</v>
      </c>
      <c r="X130">
        <f t="shared" si="18"/>
        <v>85.058822117647054</v>
      </c>
    </row>
    <row r="131" spans="1:24" x14ac:dyDescent="0.25">
      <c r="A131" t="s">
        <v>115</v>
      </c>
      <c r="B131" s="146" t="s">
        <v>266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1</v>
      </c>
      <c r="J131">
        <v>0</v>
      </c>
      <c r="K131">
        <v>0</v>
      </c>
      <c r="L131">
        <v>2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 t="s">
        <v>73</v>
      </c>
      <c r="T131">
        <v>6</v>
      </c>
      <c r="U131" s="112"/>
      <c r="V131">
        <v>1694.4444444444443</v>
      </c>
      <c r="W131">
        <v>1508</v>
      </c>
      <c r="X131">
        <f t="shared" si="18"/>
        <v>88.996721311475412</v>
      </c>
    </row>
    <row r="132" spans="1:24" x14ac:dyDescent="0.25">
      <c r="A132" t="s">
        <v>115</v>
      </c>
      <c r="B132" s="146" t="s">
        <v>267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0</v>
      </c>
      <c r="K132">
        <v>0</v>
      </c>
      <c r="L132">
        <v>2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 t="s">
        <v>73</v>
      </c>
      <c r="T132">
        <v>6</v>
      </c>
      <c r="U132" s="112"/>
      <c r="V132">
        <v>2641.666666666667</v>
      </c>
      <c r="W132">
        <v>2240</v>
      </c>
      <c r="X132">
        <f t="shared" si="18"/>
        <v>84.794952681387997</v>
      </c>
    </row>
    <row r="133" spans="1:24" x14ac:dyDescent="0.25">
      <c r="A133" t="s">
        <v>115</v>
      </c>
      <c r="B133" s="146" t="s">
        <v>268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1</v>
      </c>
      <c r="J133">
        <v>0</v>
      </c>
      <c r="K133">
        <v>0</v>
      </c>
      <c r="L133">
        <v>2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 t="s">
        <v>73</v>
      </c>
      <c r="T133">
        <v>6</v>
      </c>
      <c r="U133" s="112"/>
      <c r="V133">
        <v>1986.1111111111109</v>
      </c>
      <c r="W133">
        <v>1793.6666599999999</v>
      </c>
      <c r="X133">
        <f t="shared" si="18"/>
        <v>90.310489174825179</v>
      </c>
    </row>
    <row r="134" spans="1:24" x14ac:dyDescent="0.25">
      <c r="A134" t="s">
        <v>115</v>
      </c>
      <c r="B134" s="146" t="s">
        <v>269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1</v>
      </c>
      <c r="J134">
        <v>0</v>
      </c>
      <c r="K134">
        <v>0</v>
      </c>
      <c r="L134">
        <v>2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 t="s">
        <v>73</v>
      </c>
      <c r="T134">
        <v>6</v>
      </c>
      <c r="U134" s="112"/>
      <c r="V134">
        <v>1961.1111111111111</v>
      </c>
      <c r="W134">
        <v>1801.6666600000001</v>
      </c>
      <c r="X134">
        <f t="shared" si="18"/>
        <v>91.869688045325788</v>
      </c>
    </row>
    <row r="135" spans="1:24" x14ac:dyDescent="0.25">
      <c r="A135" t="s">
        <v>115</v>
      </c>
      <c r="B135" s="146" t="s">
        <v>270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2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 t="s">
        <v>73</v>
      </c>
      <c r="T135">
        <v>6</v>
      </c>
      <c r="U135" s="112"/>
      <c r="V135">
        <v>2713.8888888888887</v>
      </c>
      <c r="W135">
        <v>2552</v>
      </c>
      <c r="X135">
        <f t="shared" ref="X135:X137" si="19">(W135/V135)*100</f>
        <v>94.03480040941659</v>
      </c>
    </row>
    <row r="136" spans="1:24" x14ac:dyDescent="0.25">
      <c r="A136" t="s">
        <v>115</v>
      </c>
      <c r="B136" s="146" t="s">
        <v>271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2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 t="s">
        <v>73</v>
      </c>
      <c r="T136">
        <v>6</v>
      </c>
      <c r="U136" s="112"/>
      <c r="V136">
        <v>2533.3333333333335</v>
      </c>
      <c r="W136">
        <v>2320</v>
      </c>
      <c r="X136">
        <f t="shared" si="19"/>
        <v>91.578947368421055</v>
      </c>
    </row>
    <row r="137" spans="1:24" x14ac:dyDescent="0.25">
      <c r="A137" t="s">
        <v>115</v>
      </c>
      <c r="B137" s="146" t="s">
        <v>272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0</v>
      </c>
      <c r="L137">
        <v>2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  <c r="S137" t="s">
        <v>73</v>
      </c>
      <c r="T137">
        <v>6</v>
      </c>
      <c r="U137" s="112"/>
      <c r="V137">
        <v>2033.3333333333333</v>
      </c>
      <c r="W137">
        <v>1876</v>
      </c>
      <c r="X137">
        <f t="shared" si="19"/>
        <v>92.26229508196721</v>
      </c>
    </row>
    <row r="138" spans="1:24" x14ac:dyDescent="0.25">
      <c r="A138" t="s">
        <v>115</v>
      </c>
      <c r="B138" s="146" t="s">
        <v>273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2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  <c r="S138" t="s">
        <v>73</v>
      </c>
      <c r="T138">
        <v>6</v>
      </c>
      <c r="U138" s="112"/>
      <c r="V138">
        <v>2651.6666666666665</v>
      </c>
      <c r="W138">
        <v>2361.6666599999999</v>
      </c>
      <c r="X138">
        <f>(W138/V138)*100</f>
        <v>89.063481835323699</v>
      </c>
    </row>
    <row r="139" spans="1:24" x14ac:dyDescent="0.25">
      <c r="A139" t="s">
        <v>115</v>
      </c>
      <c r="B139" s="146" t="s">
        <v>274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2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 t="s">
        <v>73</v>
      </c>
      <c r="T139">
        <v>6</v>
      </c>
      <c r="U139" s="112"/>
      <c r="V139">
        <v>2639.4444444444448</v>
      </c>
      <c r="W139">
        <v>2348</v>
      </c>
      <c r="X139">
        <f t="shared" ref="X139:X140" si="20">(W139/V139)*100</f>
        <v>88.958114081246038</v>
      </c>
    </row>
    <row r="140" spans="1:24" x14ac:dyDescent="0.25">
      <c r="A140" t="s">
        <v>115</v>
      </c>
      <c r="B140" s="146" t="s">
        <v>275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1</v>
      </c>
      <c r="J140">
        <v>0</v>
      </c>
      <c r="K140">
        <v>0</v>
      </c>
      <c r="L140">
        <v>2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 t="s">
        <v>73</v>
      </c>
      <c r="T140">
        <v>6</v>
      </c>
      <c r="U140" s="112"/>
      <c r="V140">
        <v>2155.5555555555557</v>
      </c>
      <c r="W140">
        <v>1840</v>
      </c>
      <c r="X140">
        <f t="shared" si="20"/>
        <v>85.360824742268036</v>
      </c>
    </row>
    <row r="141" spans="1:24" x14ac:dyDescent="0.25">
      <c r="A141" t="s">
        <v>117</v>
      </c>
      <c r="B141" s="146" t="s">
        <v>277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2</v>
      </c>
      <c r="J141">
        <v>4</v>
      </c>
      <c r="K141">
        <v>1</v>
      </c>
      <c r="L141">
        <v>3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 t="s">
        <v>98</v>
      </c>
      <c r="T141">
        <v>12</v>
      </c>
      <c r="U141" s="112"/>
      <c r="V141">
        <v>666.66666666666663</v>
      </c>
      <c r="W141">
        <v>600</v>
      </c>
      <c r="X141">
        <f>(W141/V141)*100</f>
        <v>90</v>
      </c>
    </row>
    <row r="142" spans="1:24" x14ac:dyDescent="0.25">
      <c r="A142" t="s">
        <v>120</v>
      </c>
      <c r="B142" s="146" t="s">
        <v>278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1</v>
      </c>
      <c r="K142">
        <v>1</v>
      </c>
      <c r="L142">
        <v>2</v>
      </c>
      <c r="M142">
        <v>1</v>
      </c>
      <c r="N142">
        <v>0</v>
      </c>
      <c r="O142">
        <v>0</v>
      </c>
      <c r="P142">
        <v>0</v>
      </c>
      <c r="T142">
        <v>7</v>
      </c>
      <c r="U142" s="112"/>
      <c r="V142">
        <v>2658.333333333333</v>
      </c>
      <c r="W142">
        <v>2400</v>
      </c>
      <c r="X142">
        <f>(W142/V142)*100</f>
        <v>90.282131661442008</v>
      </c>
    </row>
    <row r="143" spans="1:24" x14ac:dyDescent="0.25">
      <c r="A143" t="s">
        <v>120</v>
      </c>
      <c r="B143" s="146" t="s">
        <v>279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</v>
      </c>
      <c r="K143">
        <v>1</v>
      </c>
      <c r="L143">
        <v>2</v>
      </c>
      <c r="M143">
        <v>1</v>
      </c>
      <c r="N143">
        <v>0</v>
      </c>
      <c r="O143">
        <v>0</v>
      </c>
      <c r="P143">
        <v>0</v>
      </c>
      <c r="T143">
        <v>7</v>
      </c>
      <c r="U143" s="112"/>
      <c r="V143">
        <v>2708.333333333333</v>
      </c>
      <c r="W143">
        <v>2352</v>
      </c>
      <c r="X143">
        <f>(W143/V143)*100</f>
        <v>86.843076923076936</v>
      </c>
    </row>
    <row r="144" spans="1:24" x14ac:dyDescent="0.25">
      <c r="A144" t="s">
        <v>120</v>
      </c>
      <c r="B144" s="146" t="s">
        <v>280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1</v>
      </c>
      <c r="L144">
        <v>2</v>
      </c>
      <c r="M144">
        <v>1</v>
      </c>
      <c r="N144">
        <v>0</v>
      </c>
      <c r="O144">
        <v>0</v>
      </c>
      <c r="P144">
        <v>0</v>
      </c>
      <c r="T144">
        <v>7</v>
      </c>
      <c r="U144" s="112"/>
      <c r="V144">
        <v>300</v>
      </c>
      <c r="W144">
        <v>200</v>
      </c>
      <c r="X144">
        <f t="shared" ref="X144:X147" si="21">(W144/V144)*100</f>
        <v>66.666666666666657</v>
      </c>
    </row>
    <row r="145" spans="1:24" x14ac:dyDescent="0.25">
      <c r="A145" t="s">
        <v>120</v>
      </c>
      <c r="B145" s="146" t="s">
        <v>281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1</v>
      </c>
      <c r="K145">
        <v>1</v>
      </c>
      <c r="L145">
        <v>2</v>
      </c>
      <c r="M145">
        <v>1</v>
      </c>
      <c r="N145">
        <v>0</v>
      </c>
      <c r="O145">
        <v>0</v>
      </c>
      <c r="P145">
        <v>0</v>
      </c>
      <c r="T145">
        <v>7</v>
      </c>
      <c r="U145" s="112"/>
      <c r="V145">
        <v>1930.5555555555557</v>
      </c>
      <c r="W145">
        <v>836</v>
      </c>
      <c r="X145">
        <f t="shared" si="21"/>
        <v>43.303597122302158</v>
      </c>
    </row>
    <row r="146" spans="1:24" x14ac:dyDescent="0.25">
      <c r="A146" t="s">
        <v>120</v>
      </c>
      <c r="B146" s="146" t="s">
        <v>282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1</v>
      </c>
      <c r="K146">
        <v>1</v>
      </c>
      <c r="L146">
        <v>2</v>
      </c>
      <c r="M146">
        <v>1</v>
      </c>
      <c r="N146">
        <v>0</v>
      </c>
      <c r="O146">
        <v>0</v>
      </c>
      <c r="P146">
        <v>0</v>
      </c>
      <c r="T146">
        <v>7</v>
      </c>
      <c r="U146" s="112"/>
      <c r="V146">
        <v>2013.8888888888889</v>
      </c>
      <c r="W146">
        <v>1236</v>
      </c>
      <c r="X146">
        <f t="shared" si="21"/>
        <v>61.373793103448271</v>
      </c>
    </row>
    <row r="147" spans="1:24" x14ac:dyDescent="0.25">
      <c r="A147" t="s">
        <v>120</v>
      </c>
      <c r="B147" s="146" t="s">
        <v>283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1</v>
      </c>
      <c r="L147">
        <v>2</v>
      </c>
      <c r="M147">
        <v>1</v>
      </c>
      <c r="N147">
        <v>0</v>
      </c>
      <c r="O147">
        <v>0</v>
      </c>
      <c r="P147">
        <v>0</v>
      </c>
      <c r="T147">
        <v>7</v>
      </c>
      <c r="U147" s="112"/>
      <c r="V147">
        <v>1999.9999999999998</v>
      </c>
      <c r="W147">
        <v>1756</v>
      </c>
      <c r="X147">
        <f t="shared" si="21"/>
        <v>87.800000000000011</v>
      </c>
    </row>
    <row r="148" spans="1:24" x14ac:dyDescent="0.25">
      <c r="A148" t="s">
        <v>122</v>
      </c>
      <c r="B148" s="146" t="s">
        <v>284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2</v>
      </c>
      <c r="J148">
        <v>1</v>
      </c>
      <c r="K148">
        <v>2</v>
      </c>
      <c r="L148">
        <v>2</v>
      </c>
      <c r="M148">
        <v>0</v>
      </c>
      <c r="N148">
        <v>0</v>
      </c>
      <c r="O148">
        <v>0</v>
      </c>
      <c r="P148">
        <v>0</v>
      </c>
      <c r="T148">
        <v>8</v>
      </c>
      <c r="U148" s="112"/>
      <c r="V148">
        <v>2644.4444444444443</v>
      </c>
      <c r="W148">
        <v>2481.6666599999999</v>
      </c>
      <c r="X148">
        <f>(W148/V148)*100</f>
        <v>93.844537563025213</v>
      </c>
    </row>
    <row r="149" spans="1:24" x14ac:dyDescent="0.25">
      <c r="A149" t="s">
        <v>122</v>
      </c>
      <c r="B149" s="146" t="s">
        <v>285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2</v>
      </c>
      <c r="J149">
        <v>1</v>
      </c>
      <c r="K149">
        <v>2</v>
      </c>
      <c r="L149">
        <v>2</v>
      </c>
      <c r="M149">
        <v>0</v>
      </c>
      <c r="N149">
        <v>0</v>
      </c>
      <c r="O149">
        <v>0</v>
      </c>
      <c r="P149">
        <v>0</v>
      </c>
      <c r="T149">
        <v>8</v>
      </c>
      <c r="U149" s="112"/>
      <c r="V149">
        <v>2472.2222222222222</v>
      </c>
      <c r="W149">
        <v>2152</v>
      </c>
      <c r="X149">
        <f>(W149/V149)*100</f>
        <v>87.047191011235952</v>
      </c>
    </row>
    <row r="150" spans="1:24" x14ac:dyDescent="0.25">
      <c r="A150" t="s">
        <v>122</v>
      </c>
      <c r="B150" s="146" t="s">
        <v>286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2</v>
      </c>
      <c r="J150">
        <v>1</v>
      </c>
      <c r="K150">
        <v>2</v>
      </c>
      <c r="L150">
        <v>2</v>
      </c>
      <c r="M150">
        <v>0</v>
      </c>
      <c r="N150">
        <v>0</v>
      </c>
      <c r="O150">
        <v>0</v>
      </c>
      <c r="P150">
        <v>0</v>
      </c>
      <c r="T150">
        <v>8</v>
      </c>
      <c r="U150" s="112"/>
      <c r="V150">
        <v>2530.5555555555557</v>
      </c>
      <c r="W150">
        <v>2320</v>
      </c>
      <c r="X150">
        <f>(W150/V150)*100</f>
        <v>91.679473106476394</v>
      </c>
    </row>
    <row r="151" spans="1:24" x14ac:dyDescent="0.25">
      <c r="A151" t="s">
        <v>122</v>
      </c>
      <c r="B151" s="146" t="s">
        <v>287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2</v>
      </c>
      <c r="J151">
        <v>1</v>
      </c>
      <c r="K151">
        <v>2</v>
      </c>
      <c r="L151">
        <v>2</v>
      </c>
      <c r="M151">
        <v>0</v>
      </c>
      <c r="N151">
        <v>0</v>
      </c>
      <c r="O151">
        <v>0</v>
      </c>
      <c r="P151">
        <v>0</v>
      </c>
      <c r="T151">
        <v>8</v>
      </c>
      <c r="U151" s="112"/>
      <c r="V151">
        <v>2380.5555555555557</v>
      </c>
      <c r="W151">
        <v>2003.33332</v>
      </c>
      <c r="X151">
        <f t="shared" ref="X151:X153" si="22">(W151/V151)*100</f>
        <v>84.154025110851805</v>
      </c>
    </row>
    <row r="152" spans="1:24" x14ac:dyDescent="0.25">
      <c r="A152" t="s">
        <v>122</v>
      </c>
      <c r="B152" s="146" t="s">
        <v>288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2</v>
      </c>
      <c r="J152">
        <v>1</v>
      </c>
      <c r="K152">
        <v>2</v>
      </c>
      <c r="L152">
        <v>2</v>
      </c>
      <c r="M152">
        <v>0</v>
      </c>
      <c r="N152">
        <v>0</v>
      </c>
      <c r="O152">
        <v>0</v>
      </c>
      <c r="P152">
        <v>0</v>
      </c>
      <c r="T152">
        <v>8</v>
      </c>
      <c r="U152" s="112"/>
      <c r="V152">
        <v>2536.1111111111113</v>
      </c>
      <c r="W152">
        <v>2032.9999800000001</v>
      </c>
      <c r="X152">
        <f t="shared" si="22"/>
        <v>80.162102168674693</v>
      </c>
    </row>
    <row r="153" spans="1:24" x14ac:dyDescent="0.25">
      <c r="A153" t="s">
        <v>122</v>
      </c>
      <c r="B153" s="146" t="s">
        <v>289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2</v>
      </c>
      <c r="J153">
        <v>1</v>
      </c>
      <c r="K153">
        <v>2</v>
      </c>
      <c r="L153">
        <v>2</v>
      </c>
      <c r="M153">
        <v>0</v>
      </c>
      <c r="N153">
        <v>0</v>
      </c>
      <c r="O153">
        <v>0</v>
      </c>
      <c r="P153">
        <v>0</v>
      </c>
      <c r="T153">
        <v>8</v>
      </c>
      <c r="U153" s="112"/>
      <c r="V153">
        <v>2713.8888888888887</v>
      </c>
      <c r="W153">
        <v>2120</v>
      </c>
      <c r="X153">
        <f t="shared" si="22"/>
        <v>78.116683725690891</v>
      </c>
    </row>
    <row r="154" spans="1:24" x14ac:dyDescent="0.25">
      <c r="A154" t="s">
        <v>122</v>
      </c>
      <c r="B154" s="146" t="s">
        <v>290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2</v>
      </c>
      <c r="J154">
        <v>1</v>
      </c>
      <c r="K154">
        <v>2</v>
      </c>
      <c r="L154">
        <v>2</v>
      </c>
      <c r="M154">
        <v>0</v>
      </c>
      <c r="N154">
        <v>0</v>
      </c>
      <c r="O154">
        <v>0</v>
      </c>
      <c r="P154">
        <v>0</v>
      </c>
      <c r="T154">
        <v>8</v>
      </c>
      <c r="U154" s="112"/>
      <c r="V154">
        <v>2750</v>
      </c>
      <c r="W154">
        <v>2240</v>
      </c>
      <c r="X154">
        <f t="shared" ref="X154:X155" si="23">(W154/V154)*100</f>
        <v>81.454545454545453</v>
      </c>
    </row>
    <row r="155" spans="1:24" x14ac:dyDescent="0.25">
      <c r="A155" t="s">
        <v>122</v>
      </c>
      <c r="B155" s="146" t="s">
        <v>291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2</v>
      </c>
      <c r="J155">
        <v>1</v>
      </c>
      <c r="K155">
        <v>2</v>
      </c>
      <c r="L155">
        <v>2</v>
      </c>
      <c r="M155">
        <v>0</v>
      </c>
      <c r="N155">
        <v>0</v>
      </c>
      <c r="O155">
        <v>0</v>
      </c>
      <c r="P155">
        <v>0</v>
      </c>
      <c r="T155">
        <v>8</v>
      </c>
      <c r="U155" s="112"/>
      <c r="V155">
        <v>1277.7777777777778</v>
      </c>
      <c r="W155">
        <v>1152</v>
      </c>
      <c r="X155">
        <f t="shared" si="23"/>
        <v>90.15652173913044</v>
      </c>
    </row>
    <row r="156" spans="1:24" x14ac:dyDescent="0.25">
      <c r="A156" t="s">
        <v>122</v>
      </c>
      <c r="B156" s="146" t="s">
        <v>292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2</v>
      </c>
      <c r="J156">
        <v>1</v>
      </c>
      <c r="K156">
        <v>2</v>
      </c>
      <c r="L156">
        <v>2</v>
      </c>
      <c r="M156">
        <v>0</v>
      </c>
      <c r="N156">
        <v>0</v>
      </c>
      <c r="O156">
        <v>0</v>
      </c>
      <c r="P156">
        <v>0</v>
      </c>
      <c r="T156">
        <v>8</v>
      </c>
      <c r="U156" s="112"/>
      <c r="V156">
        <v>1019.4444444444445</v>
      </c>
      <c r="W156">
        <v>0</v>
      </c>
      <c r="X156">
        <f>(W156/V156)*100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workbookViewId="0">
      <selection activeCell="C2" sqref="C2"/>
    </sheetView>
  </sheetViews>
  <sheetFormatPr defaultRowHeight="15" x14ac:dyDescent="0.25"/>
  <cols>
    <col min="2" max="2" width="11.28515625" customWidth="1"/>
    <col min="13" max="16" width="9.85546875" customWidth="1"/>
    <col min="17" max="17" width="11.85546875" customWidth="1"/>
    <col min="18" max="18" width="10.85546875" customWidth="1"/>
    <col min="19" max="19" width="12.7109375" customWidth="1"/>
    <col min="20" max="20" width="14.140625" customWidth="1"/>
    <col min="21" max="21" width="13.7109375" customWidth="1"/>
    <col min="22" max="22" width="13.5703125" customWidth="1"/>
    <col min="23" max="23" width="16.85546875" customWidth="1"/>
    <col min="24" max="24" width="12.5703125" customWidth="1"/>
  </cols>
  <sheetData>
    <row r="1" spans="1:25" x14ac:dyDescent="0.25">
      <c r="A1" s="144" t="s">
        <v>207</v>
      </c>
      <c r="B1" s="144" t="s">
        <v>126</v>
      </c>
      <c r="C1" s="144" t="s">
        <v>80</v>
      </c>
      <c r="D1" s="144" t="s">
        <v>94</v>
      </c>
      <c r="E1" s="144" t="s">
        <v>81</v>
      </c>
      <c r="F1" s="144" t="s">
        <v>82</v>
      </c>
      <c r="G1" s="144" t="s">
        <v>83</v>
      </c>
      <c r="H1" s="144" t="s">
        <v>84</v>
      </c>
      <c r="I1" s="144" t="s">
        <v>85</v>
      </c>
      <c r="J1" s="144" t="s">
        <v>86</v>
      </c>
      <c r="K1" s="144" t="s">
        <v>87</v>
      </c>
      <c r="L1" s="144" t="s">
        <v>88</v>
      </c>
      <c r="M1" s="144" t="s">
        <v>89</v>
      </c>
      <c r="N1" s="144" t="s">
        <v>90</v>
      </c>
      <c r="O1" s="144" t="s">
        <v>91</v>
      </c>
      <c r="P1" s="144" t="s">
        <v>92</v>
      </c>
      <c r="Q1" s="144" t="s">
        <v>38</v>
      </c>
      <c r="R1" s="144" t="s">
        <v>93</v>
      </c>
      <c r="S1" s="144" t="s">
        <v>59</v>
      </c>
      <c r="T1" s="144" t="s">
        <v>95</v>
      </c>
      <c r="U1" s="144" t="s">
        <v>96</v>
      </c>
      <c r="V1" s="144" t="s">
        <v>155</v>
      </c>
      <c r="W1" s="144" t="s">
        <v>156</v>
      </c>
      <c r="X1" s="144" t="s">
        <v>124</v>
      </c>
      <c r="Y1" s="144" t="s">
        <v>293</v>
      </c>
    </row>
    <row r="2" spans="1:25" x14ac:dyDescent="0.25">
      <c r="A2" t="str">
        <f>'Data From Lance'!$A$6</f>
        <v>1D6D527</v>
      </c>
      <c r="B2" s="146" t="s">
        <v>129</v>
      </c>
      <c r="C2">
        <f>(AF30_ByRubLot[[#This Row],[0-10]]/AF30_ByRubLot3[[Total Charge]:[Total Charge]])</f>
        <v>0</v>
      </c>
      <c r="D2">
        <f>(AF30_ByRubLot[[#This Row],[11-20]]/AF30_ByRubLot3[[Total Charge]:[Total Charge]])</f>
        <v>0</v>
      </c>
      <c r="E2">
        <f>(AF30_ByRubLot[[#This Row],[21-30]]/AF30_ByRubLot3[[Total Charge]:[Total Charge]])</f>
        <v>0</v>
      </c>
      <c r="F2">
        <f>(AF30_ByRubLot[[#This Row],[31-40]]/AF30_ByRubLot3[[Total Charge]:[Total Charge]])</f>
        <v>7.6923076923076927E-2</v>
      </c>
      <c r="G2">
        <f>(AF30_ByRubLot[[#This Row],[41-50]]/AF30_ByRubLot3[[Total Charge]:[Total Charge]])</f>
        <v>0.15384615384615385</v>
      </c>
      <c r="H2">
        <f>(AF30_ByRubLot[[#This Row],[51-60]]/AF30_ByRubLot3[[Total Charge]:[Total Charge]])</f>
        <v>0.15384615384615385</v>
      </c>
      <c r="I2">
        <f>(AF30_ByRubLot[[#This Row],[61-70]]/AF30_ByRubLot3[[Total Charge]:[Total Charge]])</f>
        <v>7.6923076923076927E-2</v>
      </c>
      <c r="J2">
        <f>(AF30_ByRubLot[[#This Row],[71-80]]/AF30_ByRubLot3[[Total Charge]:[Total Charge]])</f>
        <v>7.6923076923076927E-2</v>
      </c>
      <c r="K2">
        <f>(AF30_ByRubLot[[#This Row],[81-90]]/AF30_ByRubLot3[[Total Charge]:[Total Charge]])</f>
        <v>0</v>
      </c>
      <c r="L2">
        <f>(AF30_ByRubLot[[#This Row],[91-100]]/AF30_ByRubLot3[[Total Charge]:[Total Charge]])</f>
        <v>0.15384615384615385</v>
      </c>
      <c r="M2">
        <f>(AF30_ByRubLot[[#This Row],[101-110]]/AF30_ByRubLot3[[Total Charge]:[Total Charge]])</f>
        <v>7.6923076923076927E-2</v>
      </c>
      <c r="N2">
        <f>(AF30_ByRubLot[[#This Row],[111-120]]/AF30_ByRubLot3[[Total Charge]:[Total Charge]])</f>
        <v>0.23076923076923078</v>
      </c>
      <c r="O2">
        <f>(AF30_ByRubLot[[#This Row],[121-130]]/AF30_ByRubLot3[[Total Charge]:[Total Charge]])</f>
        <v>0</v>
      </c>
      <c r="P2">
        <f>(AF30_ByRubLot[[#This Row],[131-140]]/AF30_ByRubLot3[[Total Charge]:[Total Charge]])</f>
        <v>0</v>
      </c>
      <c r="Q2">
        <f>AF30_ByRubLot[[#This Row],[Shrinkage]]</f>
        <v>0</v>
      </c>
      <c r="R2">
        <f>AF30_ByRubLot[[#This Row],[Pinholes]]</f>
        <v>0</v>
      </c>
      <c r="S2" t="str">
        <f>AF30_ByRubLot[[#This Row],[Comments]]</f>
        <v>Good</v>
      </c>
      <c r="T2">
        <v>13</v>
      </c>
      <c r="U2" s="112"/>
      <c r="V2">
        <v>1730.5555555555554</v>
      </c>
      <c r="W2">
        <v>868</v>
      </c>
      <c r="X2">
        <f>(W2/V2)*100</f>
        <v>50.157303370786522</v>
      </c>
      <c r="Y2">
        <f>SUM(AF30_ByRubLot3[[#This Row],[0-10]:[131-140]])</f>
        <v>1.0000000000000002</v>
      </c>
    </row>
    <row r="3" spans="1:25" x14ac:dyDescent="0.25">
      <c r="A3" t="s">
        <v>5</v>
      </c>
      <c r="B3" s="146" t="s">
        <v>130</v>
      </c>
      <c r="C3">
        <f>(AF30_ByRubLot[[#This Row],[0-10]]/AF30_ByRubLot3[[Total Charge]:[Total Charge]])</f>
        <v>0</v>
      </c>
      <c r="D3">
        <f>(AF30_ByRubLot[[#This Row],[11-20]]/AF30_ByRubLot3[[Total Charge]:[Total Charge]])</f>
        <v>0</v>
      </c>
      <c r="E3">
        <f>(AF30_ByRubLot[[#This Row],[21-30]]/AF30_ByRubLot3[[Total Charge]:[Total Charge]])</f>
        <v>0</v>
      </c>
      <c r="F3">
        <f>(AF30_ByRubLot[[#This Row],[31-40]]/AF30_ByRubLot3[[Total Charge]:[Total Charge]])</f>
        <v>7.6923076923076927E-2</v>
      </c>
      <c r="G3">
        <f>(AF30_ByRubLot[[#This Row],[41-50]]/AF30_ByRubLot3[[Total Charge]:[Total Charge]])</f>
        <v>0.15384615384615385</v>
      </c>
      <c r="H3">
        <f>(AF30_ByRubLot[[#This Row],[51-60]]/AF30_ByRubLot3[[Total Charge]:[Total Charge]])</f>
        <v>0.15384615384615385</v>
      </c>
      <c r="I3">
        <f>(AF30_ByRubLot[[#This Row],[61-70]]/AF30_ByRubLot3[[Total Charge]:[Total Charge]])</f>
        <v>7.6923076923076927E-2</v>
      </c>
      <c r="J3">
        <f>(AF30_ByRubLot[[#This Row],[71-80]]/AF30_ByRubLot3[[Total Charge]:[Total Charge]])</f>
        <v>7.6923076923076927E-2</v>
      </c>
      <c r="K3">
        <f>(AF30_ByRubLot[[#This Row],[81-90]]/AF30_ByRubLot3[[Total Charge]:[Total Charge]])</f>
        <v>0</v>
      </c>
      <c r="L3">
        <f>(AF30_ByRubLot[[#This Row],[91-100]]/AF30_ByRubLot3[[Total Charge]:[Total Charge]])</f>
        <v>0.15384615384615385</v>
      </c>
      <c r="M3">
        <f>(AF30_ByRubLot[[#This Row],[101-110]]/AF30_ByRubLot3[[Total Charge]:[Total Charge]])</f>
        <v>7.6923076923076927E-2</v>
      </c>
      <c r="N3">
        <f>(AF30_ByRubLot[[#This Row],[111-120]]/AF30_ByRubLot3[[Total Charge]:[Total Charge]])</f>
        <v>0.23076923076923078</v>
      </c>
      <c r="O3">
        <f>(AF30_ByRubLot[[#This Row],[121-130]]/AF30_ByRubLot3[[Total Charge]:[Total Charge]])</f>
        <v>0</v>
      </c>
      <c r="P3">
        <f>(AF30_ByRubLot[[#This Row],[131-140]]/AF30_ByRubLot3[[Total Charge]:[Total Charge]])</f>
        <v>0</v>
      </c>
      <c r="Q3">
        <v>0</v>
      </c>
      <c r="R3">
        <v>0</v>
      </c>
      <c r="S3" t="s">
        <v>6</v>
      </c>
      <c r="T3">
        <v>13</v>
      </c>
      <c r="U3" s="112"/>
      <c r="V3">
        <v>869.44444444444457</v>
      </c>
      <c r="W3">
        <v>155</v>
      </c>
      <c r="X3">
        <f t="shared" ref="X3:X27" si="0">(W3/V3)*100</f>
        <v>17.827476038338656</v>
      </c>
      <c r="Y3">
        <f>SUM(AF30_ByRubLot3[[#This Row],[0-10]:[131-140]])</f>
        <v>1.0000000000000002</v>
      </c>
    </row>
    <row r="4" spans="1:25" x14ac:dyDescent="0.25">
      <c r="A4" t="str">
        <f>'Data From Lance'!$A$6</f>
        <v>1D6D527</v>
      </c>
      <c r="B4" s="146" t="s">
        <v>131</v>
      </c>
      <c r="C4">
        <f>(AF30_ByRubLot[[#This Row],[0-10]]/AF30_ByRubLot3[[Total Charge]:[Total Charge]])</f>
        <v>0</v>
      </c>
      <c r="D4">
        <f>(AF30_ByRubLot[[#This Row],[11-20]]/AF30_ByRubLot3[[Total Charge]:[Total Charge]])</f>
        <v>0</v>
      </c>
      <c r="E4">
        <f>(AF30_ByRubLot[[#This Row],[21-30]]/AF30_ByRubLot3[[Total Charge]:[Total Charge]])</f>
        <v>0</v>
      </c>
      <c r="F4">
        <f>(AF30_ByRubLot[[#This Row],[31-40]]/AF30_ByRubLot3[[Total Charge]:[Total Charge]])</f>
        <v>7.6923076923076927E-2</v>
      </c>
      <c r="G4">
        <f>(AF30_ByRubLot[[#This Row],[41-50]]/AF30_ByRubLot3[[Total Charge]:[Total Charge]])</f>
        <v>0.15384615384615385</v>
      </c>
      <c r="H4">
        <f>(AF30_ByRubLot[[#This Row],[51-60]]/AF30_ByRubLot3[[Total Charge]:[Total Charge]])</f>
        <v>0.15384615384615385</v>
      </c>
      <c r="I4">
        <f>(AF30_ByRubLot[[#This Row],[61-70]]/AF30_ByRubLot3[[Total Charge]:[Total Charge]])</f>
        <v>7.6923076923076927E-2</v>
      </c>
      <c r="J4">
        <f>(AF30_ByRubLot[[#This Row],[71-80]]/AF30_ByRubLot3[[Total Charge]:[Total Charge]])</f>
        <v>7.6923076923076927E-2</v>
      </c>
      <c r="K4">
        <f>(AF30_ByRubLot[[#This Row],[81-90]]/AF30_ByRubLot3[[Total Charge]:[Total Charge]])</f>
        <v>0</v>
      </c>
      <c r="L4">
        <f>(AF30_ByRubLot[[#This Row],[91-100]]/AF30_ByRubLot3[[Total Charge]:[Total Charge]])</f>
        <v>0.15384615384615385</v>
      </c>
      <c r="M4">
        <f>(AF30_ByRubLot[[#This Row],[101-110]]/AF30_ByRubLot3[[Total Charge]:[Total Charge]])</f>
        <v>7.6923076923076927E-2</v>
      </c>
      <c r="N4">
        <f>(AF30_ByRubLot[[#This Row],[111-120]]/AF30_ByRubLot3[[Total Charge]:[Total Charge]])</f>
        <v>0.23076923076923078</v>
      </c>
      <c r="O4">
        <f>(AF30_ByRubLot[[#This Row],[121-130]]/AF30_ByRubLot3[[Total Charge]:[Total Charge]])</f>
        <v>0</v>
      </c>
      <c r="P4">
        <f>(AF30_ByRubLot[[#This Row],[131-140]]/AF30_ByRubLot3[[Total Charge]:[Total Charge]])</f>
        <v>0</v>
      </c>
      <c r="Q4">
        <v>0</v>
      </c>
      <c r="R4">
        <v>0</v>
      </c>
      <c r="S4" t="s">
        <v>6</v>
      </c>
      <c r="T4">
        <v>13</v>
      </c>
      <c r="U4" s="112"/>
      <c r="V4">
        <v>891.66666666666663</v>
      </c>
      <c r="W4">
        <v>800.66664000000003</v>
      </c>
      <c r="X4">
        <f t="shared" si="0"/>
        <v>89.794389532710284</v>
      </c>
      <c r="Y4">
        <f>SUM(AF30_ByRubLot3[[#This Row],[0-10]:[131-140]])</f>
        <v>1.0000000000000002</v>
      </c>
    </row>
    <row r="5" spans="1:25" x14ac:dyDescent="0.25">
      <c r="A5" t="s">
        <v>5</v>
      </c>
      <c r="B5" s="146" t="s">
        <v>132</v>
      </c>
      <c r="C5">
        <f>(AF30_ByRubLot[[#This Row],[0-10]]/AF30_ByRubLot3[[Total Charge]:[Total Charge]])</f>
        <v>0</v>
      </c>
      <c r="D5">
        <f>(AF30_ByRubLot[[#This Row],[11-20]]/AF30_ByRubLot3[[Total Charge]:[Total Charge]])</f>
        <v>0</v>
      </c>
      <c r="E5">
        <f>(AF30_ByRubLot[[#This Row],[21-30]]/AF30_ByRubLot3[[Total Charge]:[Total Charge]])</f>
        <v>0</v>
      </c>
      <c r="F5">
        <f>(AF30_ByRubLot[[#This Row],[31-40]]/AF30_ByRubLot3[[Total Charge]:[Total Charge]])</f>
        <v>7.6923076923076927E-2</v>
      </c>
      <c r="G5">
        <f>(AF30_ByRubLot[[#This Row],[41-50]]/AF30_ByRubLot3[[Total Charge]:[Total Charge]])</f>
        <v>0.15384615384615385</v>
      </c>
      <c r="H5">
        <f>(AF30_ByRubLot[[#This Row],[51-60]]/AF30_ByRubLot3[[Total Charge]:[Total Charge]])</f>
        <v>0.15384615384615385</v>
      </c>
      <c r="I5">
        <f>(AF30_ByRubLot[[#This Row],[61-70]]/AF30_ByRubLot3[[Total Charge]:[Total Charge]])</f>
        <v>7.6923076923076927E-2</v>
      </c>
      <c r="J5">
        <f>(AF30_ByRubLot[[#This Row],[71-80]]/AF30_ByRubLot3[[Total Charge]:[Total Charge]])</f>
        <v>7.6923076923076927E-2</v>
      </c>
      <c r="K5">
        <f>(AF30_ByRubLot[[#This Row],[81-90]]/AF30_ByRubLot3[[Total Charge]:[Total Charge]])</f>
        <v>0</v>
      </c>
      <c r="L5">
        <f>(AF30_ByRubLot[[#This Row],[91-100]]/AF30_ByRubLot3[[Total Charge]:[Total Charge]])</f>
        <v>0.15384615384615385</v>
      </c>
      <c r="M5">
        <f>(AF30_ByRubLot[[#This Row],[101-110]]/AF30_ByRubLot3[[Total Charge]:[Total Charge]])</f>
        <v>7.6923076923076927E-2</v>
      </c>
      <c r="N5">
        <f>(AF30_ByRubLot[[#This Row],[111-120]]/AF30_ByRubLot3[[Total Charge]:[Total Charge]])</f>
        <v>0.23076923076923078</v>
      </c>
      <c r="O5">
        <f>(AF30_ByRubLot[[#This Row],[121-130]]/AF30_ByRubLot3[[Total Charge]:[Total Charge]])</f>
        <v>0</v>
      </c>
      <c r="P5">
        <f>(AF30_ByRubLot[[#This Row],[131-140]]/AF30_ByRubLot3[[Total Charge]:[Total Charge]])</f>
        <v>0</v>
      </c>
      <c r="Q5">
        <v>0</v>
      </c>
      <c r="R5">
        <v>0</v>
      </c>
      <c r="S5" t="s">
        <v>6</v>
      </c>
      <c r="T5">
        <v>13</v>
      </c>
      <c r="U5" s="112"/>
      <c r="V5">
        <v>791.66666666666663</v>
      </c>
      <c r="W5">
        <v>747</v>
      </c>
      <c r="X5">
        <f t="shared" si="0"/>
        <v>94.357894736842113</v>
      </c>
      <c r="Y5">
        <f>SUM(AF30_ByRubLot3[[#This Row],[0-10]:[131-140]])</f>
        <v>1.0000000000000002</v>
      </c>
    </row>
    <row r="6" spans="1:25" x14ac:dyDescent="0.25">
      <c r="A6" t="s">
        <v>5</v>
      </c>
      <c r="B6" s="146" t="s">
        <v>133</v>
      </c>
      <c r="C6">
        <f>(AF30_ByRubLot[[#This Row],[0-10]]/AF30_ByRubLot3[[Total Charge]:[Total Charge]])</f>
        <v>0</v>
      </c>
      <c r="D6">
        <f>(AF30_ByRubLot[[#This Row],[11-20]]/AF30_ByRubLot3[[Total Charge]:[Total Charge]])</f>
        <v>0</v>
      </c>
      <c r="E6">
        <f>(AF30_ByRubLot[[#This Row],[21-30]]/AF30_ByRubLot3[[Total Charge]:[Total Charge]])</f>
        <v>0</v>
      </c>
      <c r="F6">
        <f>(AF30_ByRubLot[[#This Row],[31-40]]/AF30_ByRubLot3[[Total Charge]:[Total Charge]])</f>
        <v>7.6923076923076927E-2</v>
      </c>
      <c r="G6">
        <f>(AF30_ByRubLot[[#This Row],[41-50]]/AF30_ByRubLot3[[Total Charge]:[Total Charge]])</f>
        <v>0.15384615384615385</v>
      </c>
      <c r="H6">
        <f>(AF30_ByRubLot[[#This Row],[51-60]]/AF30_ByRubLot3[[Total Charge]:[Total Charge]])</f>
        <v>0.15384615384615385</v>
      </c>
      <c r="I6">
        <f>(AF30_ByRubLot[[#This Row],[61-70]]/AF30_ByRubLot3[[Total Charge]:[Total Charge]])</f>
        <v>7.6923076923076927E-2</v>
      </c>
      <c r="J6">
        <f>(AF30_ByRubLot[[#This Row],[71-80]]/AF30_ByRubLot3[[Total Charge]:[Total Charge]])</f>
        <v>7.6923076923076927E-2</v>
      </c>
      <c r="K6">
        <f>(AF30_ByRubLot[[#This Row],[81-90]]/AF30_ByRubLot3[[Total Charge]:[Total Charge]])</f>
        <v>0</v>
      </c>
      <c r="L6">
        <f>(AF30_ByRubLot[[#This Row],[91-100]]/AF30_ByRubLot3[[Total Charge]:[Total Charge]])</f>
        <v>0.15384615384615385</v>
      </c>
      <c r="M6">
        <f>(AF30_ByRubLot[[#This Row],[101-110]]/AF30_ByRubLot3[[Total Charge]:[Total Charge]])</f>
        <v>7.6923076923076927E-2</v>
      </c>
      <c r="N6">
        <f>(AF30_ByRubLot[[#This Row],[111-120]]/AF30_ByRubLot3[[Total Charge]:[Total Charge]])</f>
        <v>0.23076923076923078</v>
      </c>
      <c r="O6">
        <f>(AF30_ByRubLot[[#This Row],[121-130]]/AF30_ByRubLot3[[Total Charge]:[Total Charge]])</f>
        <v>0</v>
      </c>
      <c r="P6">
        <f>(AF30_ByRubLot[[#This Row],[131-140]]/AF30_ByRubLot3[[Total Charge]:[Total Charge]])</f>
        <v>0</v>
      </c>
      <c r="Q6">
        <v>0</v>
      </c>
      <c r="R6">
        <v>0</v>
      </c>
      <c r="S6" t="s">
        <v>6</v>
      </c>
      <c r="T6">
        <v>13</v>
      </c>
      <c r="U6" s="112"/>
      <c r="V6">
        <v>816.66666666666674</v>
      </c>
      <c r="W6">
        <v>360</v>
      </c>
      <c r="X6">
        <f t="shared" si="0"/>
        <v>44.08163265306122</v>
      </c>
      <c r="Y6">
        <f>SUM(AF30_ByRubLot3[[#This Row],[0-10]:[131-140]])</f>
        <v>1.0000000000000002</v>
      </c>
    </row>
    <row r="7" spans="1:25" x14ac:dyDescent="0.25">
      <c r="A7" t="s">
        <v>5</v>
      </c>
      <c r="B7" s="146" t="s">
        <v>134</v>
      </c>
      <c r="C7">
        <f>(AF30_ByRubLot[[#This Row],[0-10]]/AF30_ByRubLot3[[Total Charge]:[Total Charge]])</f>
        <v>0</v>
      </c>
      <c r="D7">
        <f>(AF30_ByRubLot[[#This Row],[11-20]]/AF30_ByRubLot3[[Total Charge]:[Total Charge]])</f>
        <v>0</v>
      </c>
      <c r="E7">
        <f>(AF30_ByRubLot[[#This Row],[21-30]]/AF30_ByRubLot3[[Total Charge]:[Total Charge]])</f>
        <v>0</v>
      </c>
      <c r="F7">
        <f>(AF30_ByRubLot[[#This Row],[31-40]]/AF30_ByRubLot3[[Total Charge]:[Total Charge]])</f>
        <v>7.6923076923076927E-2</v>
      </c>
      <c r="G7">
        <f>(AF30_ByRubLot[[#This Row],[41-50]]/AF30_ByRubLot3[[Total Charge]:[Total Charge]])</f>
        <v>0.15384615384615385</v>
      </c>
      <c r="H7">
        <f>(AF30_ByRubLot[[#This Row],[51-60]]/AF30_ByRubLot3[[Total Charge]:[Total Charge]])</f>
        <v>0.15384615384615385</v>
      </c>
      <c r="I7">
        <f>(AF30_ByRubLot[[#This Row],[61-70]]/AF30_ByRubLot3[[Total Charge]:[Total Charge]])</f>
        <v>7.6923076923076927E-2</v>
      </c>
      <c r="J7">
        <f>(AF30_ByRubLot[[#This Row],[71-80]]/AF30_ByRubLot3[[Total Charge]:[Total Charge]])</f>
        <v>7.6923076923076927E-2</v>
      </c>
      <c r="K7">
        <f>(AF30_ByRubLot[[#This Row],[81-90]]/AF30_ByRubLot3[[Total Charge]:[Total Charge]])</f>
        <v>0</v>
      </c>
      <c r="L7">
        <f>(AF30_ByRubLot[[#This Row],[91-100]]/AF30_ByRubLot3[[Total Charge]:[Total Charge]])</f>
        <v>0.15384615384615385</v>
      </c>
      <c r="M7">
        <f>(AF30_ByRubLot[[#This Row],[101-110]]/AF30_ByRubLot3[[Total Charge]:[Total Charge]])</f>
        <v>7.6923076923076927E-2</v>
      </c>
      <c r="N7">
        <f>(AF30_ByRubLot[[#This Row],[111-120]]/AF30_ByRubLot3[[Total Charge]:[Total Charge]])</f>
        <v>0.23076923076923078</v>
      </c>
      <c r="O7">
        <f>(AF30_ByRubLot[[#This Row],[121-130]]/AF30_ByRubLot3[[Total Charge]:[Total Charge]])</f>
        <v>0</v>
      </c>
      <c r="P7">
        <f>(AF30_ByRubLot[[#This Row],[131-140]]/AF30_ByRubLot3[[Total Charge]:[Total Charge]])</f>
        <v>0</v>
      </c>
      <c r="Q7">
        <v>0</v>
      </c>
      <c r="R7">
        <v>0</v>
      </c>
      <c r="S7" t="s">
        <v>6</v>
      </c>
      <c r="T7">
        <v>13</v>
      </c>
      <c r="U7" s="112"/>
      <c r="V7">
        <v>3505.5555555555557</v>
      </c>
      <c r="W7">
        <v>0</v>
      </c>
      <c r="X7">
        <f t="shared" si="0"/>
        <v>0</v>
      </c>
      <c r="Y7">
        <f>SUM(AF30_ByRubLot3[[#This Row],[0-10]:[131-140]])</f>
        <v>1.0000000000000002</v>
      </c>
    </row>
    <row r="8" spans="1:25" x14ac:dyDescent="0.25">
      <c r="A8" t="s">
        <v>5</v>
      </c>
      <c r="B8" s="146" t="s">
        <v>135</v>
      </c>
      <c r="C8">
        <f>(AF30_ByRubLot[[#This Row],[0-10]]/AF30_ByRubLot3[[Total Charge]:[Total Charge]])</f>
        <v>0</v>
      </c>
      <c r="D8">
        <f>(AF30_ByRubLot[[#This Row],[11-20]]/AF30_ByRubLot3[[Total Charge]:[Total Charge]])</f>
        <v>0</v>
      </c>
      <c r="E8">
        <f>(AF30_ByRubLot[[#This Row],[21-30]]/AF30_ByRubLot3[[Total Charge]:[Total Charge]])</f>
        <v>0</v>
      </c>
      <c r="F8">
        <f>(AF30_ByRubLot[[#This Row],[31-40]]/AF30_ByRubLot3[[Total Charge]:[Total Charge]])</f>
        <v>7.6923076923076927E-2</v>
      </c>
      <c r="G8">
        <f>(AF30_ByRubLot[[#This Row],[41-50]]/AF30_ByRubLot3[[Total Charge]:[Total Charge]])</f>
        <v>0.15384615384615385</v>
      </c>
      <c r="H8">
        <f>(AF30_ByRubLot[[#This Row],[51-60]]/AF30_ByRubLot3[[Total Charge]:[Total Charge]])</f>
        <v>0.15384615384615385</v>
      </c>
      <c r="I8">
        <f>(AF30_ByRubLot[[#This Row],[61-70]]/AF30_ByRubLot3[[Total Charge]:[Total Charge]])</f>
        <v>7.6923076923076927E-2</v>
      </c>
      <c r="J8">
        <f>(AF30_ByRubLot[[#This Row],[71-80]]/AF30_ByRubLot3[[Total Charge]:[Total Charge]])</f>
        <v>7.6923076923076927E-2</v>
      </c>
      <c r="K8">
        <f>(AF30_ByRubLot[[#This Row],[81-90]]/AF30_ByRubLot3[[Total Charge]:[Total Charge]])</f>
        <v>0</v>
      </c>
      <c r="L8">
        <f>(AF30_ByRubLot[[#This Row],[91-100]]/AF30_ByRubLot3[[Total Charge]:[Total Charge]])</f>
        <v>0.15384615384615385</v>
      </c>
      <c r="M8">
        <f>(AF30_ByRubLot[[#This Row],[101-110]]/AF30_ByRubLot3[[Total Charge]:[Total Charge]])</f>
        <v>7.6923076923076927E-2</v>
      </c>
      <c r="N8">
        <f>(AF30_ByRubLot[[#This Row],[111-120]]/AF30_ByRubLot3[[Total Charge]:[Total Charge]])</f>
        <v>0.23076923076923078</v>
      </c>
      <c r="O8">
        <f>(AF30_ByRubLot[[#This Row],[121-130]]/AF30_ByRubLot3[[Total Charge]:[Total Charge]])</f>
        <v>0</v>
      </c>
      <c r="P8">
        <f>(AF30_ByRubLot[[#This Row],[131-140]]/AF30_ByRubLot3[[Total Charge]:[Total Charge]])</f>
        <v>0</v>
      </c>
      <c r="Q8">
        <v>0</v>
      </c>
      <c r="R8">
        <v>0</v>
      </c>
      <c r="S8" t="s">
        <v>6</v>
      </c>
      <c r="T8">
        <v>13</v>
      </c>
      <c r="U8" s="112"/>
      <c r="V8">
        <v>855.55555555555566</v>
      </c>
      <c r="W8">
        <v>840</v>
      </c>
      <c r="X8">
        <f t="shared" si="0"/>
        <v>98.181818181818173</v>
      </c>
      <c r="Y8">
        <f>SUM(AF30_ByRubLot3[[#This Row],[0-10]:[131-140]])</f>
        <v>1.0000000000000002</v>
      </c>
    </row>
    <row r="9" spans="1:25" x14ac:dyDescent="0.25">
      <c r="A9" t="s">
        <v>5</v>
      </c>
      <c r="B9" s="146" t="s">
        <v>136</v>
      </c>
      <c r="C9">
        <f>(AF30_ByRubLot[[#This Row],[0-10]]/AF30_ByRubLot3[[Total Charge]:[Total Charge]])</f>
        <v>0</v>
      </c>
      <c r="D9">
        <f>(AF30_ByRubLot[[#This Row],[11-20]]/AF30_ByRubLot3[[Total Charge]:[Total Charge]])</f>
        <v>0</v>
      </c>
      <c r="E9">
        <f>(AF30_ByRubLot[[#This Row],[21-30]]/AF30_ByRubLot3[[Total Charge]:[Total Charge]])</f>
        <v>0</v>
      </c>
      <c r="F9">
        <f>(AF30_ByRubLot[[#This Row],[31-40]]/AF30_ByRubLot3[[Total Charge]:[Total Charge]])</f>
        <v>7.6923076923076927E-2</v>
      </c>
      <c r="G9">
        <f>(AF30_ByRubLot[[#This Row],[41-50]]/AF30_ByRubLot3[[Total Charge]:[Total Charge]])</f>
        <v>0.15384615384615385</v>
      </c>
      <c r="H9">
        <f>(AF30_ByRubLot[[#This Row],[51-60]]/AF30_ByRubLot3[[Total Charge]:[Total Charge]])</f>
        <v>0.15384615384615385</v>
      </c>
      <c r="I9">
        <f>(AF30_ByRubLot[[#This Row],[61-70]]/AF30_ByRubLot3[[Total Charge]:[Total Charge]])</f>
        <v>7.6923076923076927E-2</v>
      </c>
      <c r="J9">
        <f>(AF30_ByRubLot[[#This Row],[71-80]]/AF30_ByRubLot3[[Total Charge]:[Total Charge]])</f>
        <v>7.6923076923076927E-2</v>
      </c>
      <c r="K9">
        <f>(AF30_ByRubLot[[#This Row],[81-90]]/AF30_ByRubLot3[[Total Charge]:[Total Charge]])</f>
        <v>0</v>
      </c>
      <c r="L9">
        <f>(AF30_ByRubLot[[#This Row],[91-100]]/AF30_ByRubLot3[[Total Charge]:[Total Charge]])</f>
        <v>0.15384615384615385</v>
      </c>
      <c r="M9">
        <f>(AF30_ByRubLot[[#This Row],[101-110]]/AF30_ByRubLot3[[Total Charge]:[Total Charge]])</f>
        <v>7.6923076923076927E-2</v>
      </c>
      <c r="N9">
        <f>(AF30_ByRubLot[[#This Row],[111-120]]/AF30_ByRubLot3[[Total Charge]:[Total Charge]])</f>
        <v>0.23076923076923078</v>
      </c>
      <c r="O9">
        <f>(AF30_ByRubLot[[#This Row],[121-130]]/AF30_ByRubLot3[[Total Charge]:[Total Charge]])</f>
        <v>0</v>
      </c>
      <c r="P9">
        <f>(AF30_ByRubLot[[#This Row],[131-140]]/AF30_ByRubLot3[[Total Charge]:[Total Charge]])</f>
        <v>0</v>
      </c>
      <c r="Q9">
        <v>0</v>
      </c>
      <c r="R9">
        <v>0</v>
      </c>
      <c r="S9" t="s">
        <v>6</v>
      </c>
      <c r="T9">
        <v>13</v>
      </c>
      <c r="U9" s="112"/>
      <c r="V9">
        <v>755.55555555555554</v>
      </c>
      <c r="W9">
        <v>628.75</v>
      </c>
      <c r="X9">
        <f t="shared" si="0"/>
        <v>83.216911764705884</v>
      </c>
      <c r="Y9">
        <f>SUM(AF30_ByRubLot3[[#This Row],[0-10]:[131-140]])</f>
        <v>1.0000000000000002</v>
      </c>
    </row>
    <row r="10" spans="1:25" x14ac:dyDescent="0.25">
      <c r="A10" t="s">
        <v>5</v>
      </c>
      <c r="B10" s="146" t="s">
        <v>137</v>
      </c>
      <c r="C10">
        <f>(AF30_ByRubLot[[#This Row],[0-10]]/AF30_ByRubLot3[[Total Charge]:[Total Charge]])</f>
        <v>0</v>
      </c>
      <c r="D10">
        <f>(AF30_ByRubLot[[#This Row],[11-20]]/AF30_ByRubLot3[[Total Charge]:[Total Charge]])</f>
        <v>0</v>
      </c>
      <c r="E10">
        <f>(AF30_ByRubLot[[#This Row],[21-30]]/AF30_ByRubLot3[[Total Charge]:[Total Charge]])</f>
        <v>0</v>
      </c>
      <c r="F10">
        <f>(AF30_ByRubLot[[#This Row],[31-40]]/AF30_ByRubLot3[[Total Charge]:[Total Charge]])</f>
        <v>7.6923076923076927E-2</v>
      </c>
      <c r="G10">
        <f>(AF30_ByRubLot[[#This Row],[41-50]]/AF30_ByRubLot3[[Total Charge]:[Total Charge]])</f>
        <v>0.15384615384615385</v>
      </c>
      <c r="H10">
        <f>(AF30_ByRubLot[[#This Row],[51-60]]/AF30_ByRubLot3[[Total Charge]:[Total Charge]])</f>
        <v>0.15384615384615385</v>
      </c>
      <c r="I10">
        <f>(AF30_ByRubLot[[#This Row],[61-70]]/AF30_ByRubLot3[[Total Charge]:[Total Charge]])</f>
        <v>7.6923076923076927E-2</v>
      </c>
      <c r="J10">
        <f>(AF30_ByRubLot[[#This Row],[71-80]]/AF30_ByRubLot3[[Total Charge]:[Total Charge]])</f>
        <v>7.6923076923076927E-2</v>
      </c>
      <c r="K10">
        <f>(AF30_ByRubLot[[#This Row],[81-90]]/AF30_ByRubLot3[[Total Charge]:[Total Charge]])</f>
        <v>0</v>
      </c>
      <c r="L10">
        <f>(AF30_ByRubLot[[#This Row],[91-100]]/AF30_ByRubLot3[[Total Charge]:[Total Charge]])</f>
        <v>0.15384615384615385</v>
      </c>
      <c r="M10">
        <f>(AF30_ByRubLot[[#This Row],[101-110]]/AF30_ByRubLot3[[Total Charge]:[Total Charge]])</f>
        <v>7.6923076923076927E-2</v>
      </c>
      <c r="N10">
        <f>(AF30_ByRubLot[[#This Row],[111-120]]/AF30_ByRubLot3[[Total Charge]:[Total Charge]])</f>
        <v>0.23076923076923078</v>
      </c>
      <c r="O10">
        <f>(AF30_ByRubLot[[#This Row],[121-130]]/AF30_ByRubLot3[[Total Charge]:[Total Charge]])</f>
        <v>0</v>
      </c>
      <c r="P10">
        <f>(AF30_ByRubLot[[#This Row],[131-140]]/AF30_ByRubLot3[[Total Charge]:[Total Charge]])</f>
        <v>0</v>
      </c>
      <c r="Q10">
        <v>0</v>
      </c>
      <c r="R10">
        <v>0</v>
      </c>
      <c r="S10" t="s">
        <v>6</v>
      </c>
      <c r="T10">
        <v>13</v>
      </c>
      <c r="U10" s="112"/>
      <c r="V10">
        <v>763.88888888888891</v>
      </c>
      <c r="W10">
        <v>0</v>
      </c>
      <c r="X10">
        <f t="shared" si="0"/>
        <v>0</v>
      </c>
      <c r="Y10">
        <f>SUM(AF30_ByRubLot3[[#This Row],[0-10]:[131-140]])</f>
        <v>1.0000000000000002</v>
      </c>
    </row>
    <row r="11" spans="1:25" x14ac:dyDescent="0.25">
      <c r="A11" t="s">
        <v>5</v>
      </c>
      <c r="B11" s="146" t="s">
        <v>138</v>
      </c>
      <c r="C11">
        <f>(AF30_ByRubLot[[#This Row],[0-10]]/AF30_ByRubLot3[[Total Charge]:[Total Charge]])</f>
        <v>0</v>
      </c>
      <c r="D11">
        <f>(AF30_ByRubLot[[#This Row],[11-20]]/AF30_ByRubLot3[[Total Charge]:[Total Charge]])</f>
        <v>0</v>
      </c>
      <c r="E11">
        <f>(AF30_ByRubLot[[#This Row],[21-30]]/AF30_ByRubLot3[[Total Charge]:[Total Charge]])</f>
        <v>0</v>
      </c>
      <c r="F11">
        <f>(AF30_ByRubLot[[#This Row],[31-40]]/AF30_ByRubLot3[[Total Charge]:[Total Charge]])</f>
        <v>7.6923076923076927E-2</v>
      </c>
      <c r="G11">
        <f>(AF30_ByRubLot[[#This Row],[41-50]]/AF30_ByRubLot3[[Total Charge]:[Total Charge]])</f>
        <v>0.15384615384615385</v>
      </c>
      <c r="H11">
        <f>(AF30_ByRubLot[[#This Row],[51-60]]/AF30_ByRubLot3[[Total Charge]:[Total Charge]])</f>
        <v>0.15384615384615385</v>
      </c>
      <c r="I11">
        <f>(AF30_ByRubLot[[#This Row],[61-70]]/AF30_ByRubLot3[[Total Charge]:[Total Charge]])</f>
        <v>7.6923076923076927E-2</v>
      </c>
      <c r="J11">
        <f>(AF30_ByRubLot[[#This Row],[71-80]]/AF30_ByRubLot3[[Total Charge]:[Total Charge]])</f>
        <v>7.6923076923076927E-2</v>
      </c>
      <c r="K11">
        <f>(AF30_ByRubLot[[#This Row],[81-90]]/AF30_ByRubLot3[[Total Charge]:[Total Charge]])</f>
        <v>0</v>
      </c>
      <c r="L11">
        <f>(AF30_ByRubLot[[#This Row],[91-100]]/AF30_ByRubLot3[[Total Charge]:[Total Charge]])</f>
        <v>0.15384615384615385</v>
      </c>
      <c r="M11">
        <f>(AF30_ByRubLot[[#This Row],[101-110]]/AF30_ByRubLot3[[Total Charge]:[Total Charge]])</f>
        <v>7.6923076923076927E-2</v>
      </c>
      <c r="N11">
        <f>(AF30_ByRubLot[[#This Row],[111-120]]/AF30_ByRubLot3[[Total Charge]:[Total Charge]])</f>
        <v>0.23076923076923078</v>
      </c>
      <c r="O11">
        <f>(AF30_ByRubLot[[#This Row],[121-130]]/AF30_ByRubLot3[[Total Charge]:[Total Charge]])</f>
        <v>0</v>
      </c>
      <c r="P11">
        <f>(AF30_ByRubLot[[#This Row],[131-140]]/AF30_ByRubLot3[[Total Charge]:[Total Charge]])</f>
        <v>0</v>
      </c>
      <c r="Q11">
        <v>0</v>
      </c>
      <c r="R11">
        <v>0</v>
      </c>
      <c r="S11" t="s">
        <v>6</v>
      </c>
      <c r="T11">
        <v>13</v>
      </c>
      <c r="U11" s="112"/>
      <c r="V11">
        <v>623.88888888888891</v>
      </c>
      <c r="W11">
        <v>0</v>
      </c>
      <c r="X11">
        <f t="shared" si="0"/>
        <v>0</v>
      </c>
      <c r="Y11">
        <f>SUM(AF30_ByRubLot3[[#This Row],[0-10]:[131-140]])</f>
        <v>1.0000000000000002</v>
      </c>
    </row>
    <row r="12" spans="1:25" x14ac:dyDescent="0.25">
      <c r="A12" t="s">
        <v>5</v>
      </c>
      <c r="B12" s="146" t="s">
        <v>139</v>
      </c>
      <c r="C12">
        <f>(AF30_ByRubLot[[#This Row],[0-10]]/AF30_ByRubLot3[[Total Charge]:[Total Charge]])</f>
        <v>0</v>
      </c>
      <c r="D12">
        <f>(AF30_ByRubLot[[#This Row],[11-20]]/AF30_ByRubLot3[[Total Charge]:[Total Charge]])</f>
        <v>0</v>
      </c>
      <c r="E12">
        <f>(AF30_ByRubLot[[#This Row],[21-30]]/AF30_ByRubLot3[[Total Charge]:[Total Charge]])</f>
        <v>0</v>
      </c>
      <c r="F12">
        <f>(AF30_ByRubLot[[#This Row],[31-40]]/AF30_ByRubLot3[[Total Charge]:[Total Charge]])</f>
        <v>7.6923076923076927E-2</v>
      </c>
      <c r="G12">
        <f>(AF30_ByRubLot[[#This Row],[41-50]]/AF30_ByRubLot3[[Total Charge]:[Total Charge]])</f>
        <v>0.15384615384615385</v>
      </c>
      <c r="H12">
        <f>(AF30_ByRubLot[[#This Row],[51-60]]/AF30_ByRubLot3[[Total Charge]:[Total Charge]])</f>
        <v>0.15384615384615385</v>
      </c>
      <c r="I12">
        <f>(AF30_ByRubLot[[#This Row],[61-70]]/AF30_ByRubLot3[[Total Charge]:[Total Charge]])</f>
        <v>7.6923076923076927E-2</v>
      </c>
      <c r="J12">
        <f>(AF30_ByRubLot[[#This Row],[71-80]]/AF30_ByRubLot3[[Total Charge]:[Total Charge]])</f>
        <v>7.6923076923076927E-2</v>
      </c>
      <c r="K12">
        <f>(AF30_ByRubLot[[#This Row],[81-90]]/AF30_ByRubLot3[[Total Charge]:[Total Charge]])</f>
        <v>0</v>
      </c>
      <c r="L12">
        <f>(AF30_ByRubLot[[#This Row],[91-100]]/AF30_ByRubLot3[[Total Charge]:[Total Charge]])</f>
        <v>0.15384615384615385</v>
      </c>
      <c r="M12">
        <f>(AF30_ByRubLot[[#This Row],[101-110]]/AF30_ByRubLot3[[Total Charge]:[Total Charge]])</f>
        <v>7.6923076923076927E-2</v>
      </c>
      <c r="N12">
        <f>(AF30_ByRubLot[[#This Row],[111-120]]/AF30_ByRubLot3[[Total Charge]:[Total Charge]])</f>
        <v>0.23076923076923078</v>
      </c>
      <c r="O12">
        <f>(AF30_ByRubLot[[#This Row],[121-130]]/AF30_ByRubLot3[[Total Charge]:[Total Charge]])</f>
        <v>0</v>
      </c>
      <c r="P12">
        <f>(AF30_ByRubLot[[#This Row],[131-140]]/AF30_ByRubLot3[[Total Charge]:[Total Charge]])</f>
        <v>0</v>
      </c>
      <c r="Q12">
        <v>0</v>
      </c>
      <c r="R12">
        <v>0</v>
      </c>
      <c r="S12" t="s">
        <v>6</v>
      </c>
      <c r="T12">
        <v>13</v>
      </c>
      <c r="U12" s="112"/>
      <c r="V12">
        <v>688.88888888888891</v>
      </c>
      <c r="W12">
        <v>0</v>
      </c>
      <c r="X12">
        <f t="shared" si="0"/>
        <v>0</v>
      </c>
      <c r="Y12">
        <f>SUM(AF30_ByRubLot3[[#This Row],[0-10]:[131-140]])</f>
        <v>1.0000000000000002</v>
      </c>
    </row>
    <row r="13" spans="1:25" x14ac:dyDescent="0.25">
      <c r="A13" t="s">
        <v>5</v>
      </c>
      <c r="B13" s="146" t="s">
        <v>140</v>
      </c>
      <c r="C13">
        <f>(AF30_ByRubLot[[#This Row],[0-10]]/AF30_ByRubLot3[[Total Charge]:[Total Charge]])</f>
        <v>0</v>
      </c>
      <c r="D13">
        <f>(AF30_ByRubLot[[#This Row],[11-20]]/AF30_ByRubLot3[[Total Charge]:[Total Charge]])</f>
        <v>0</v>
      </c>
      <c r="E13">
        <f>(AF30_ByRubLot[[#This Row],[21-30]]/AF30_ByRubLot3[[Total Charge]:[Total Charge]])</f>
        <v>0</v>
      </c>
      <c r="F13">
        <f>(AF30_ByRubLot[[#This Row],[31-40]]/AF30_ByRubLot3[[Total Charge]:[Total Charge]])</f>
        <v>7.6923076923076927E-2</v>
      </c>
      <c r="G13">
        <f>(AF30_ByRubLot[[#This Row],[41-50]]/AF30_ByRubLot3[[Total Charge]:[Total Charge]])</f>
        <v>0.15384615384615385</v>
      </c>
      <c r="H13">
        <f>(AF30_ByRubLot[[#This Row],[51-60]]/AF30_ByRubLot3[[Total Charge]:[Total Charge]])</f>
        <v>0.15384615384615385</v>
      </c>
      <c r="I13">
        <f>(AF30_ByRubLot[[#This Row],[61-70]]/AF30_ByRubLot3[[Total Charge]:[Total Charge]])</f>
        <v>7.6923076923076927E-2</v>
      </c>
      <c r="J13">
        <f>(AF30_ByRubLot[[#This Row],[71-80]]/AF30_ByRubLot3[[Total Charge]:[Total Charge]])</f>
        <v>7.6923076923076927E-2</v>
      </c>
      <c r="K13">
        <f>(AF30_ByRubLot[[#This Row],[81-90]]/AF30_ByRubLot3[[Total Charge]:[Total Charge]])</f>
        <v>0</v>
      </c>
      <c r="L13">
        <f>(AF30_ByRubLot[[#This Row],[91-100]]/AF30_ByRubLot3[[Total Charge]:[Total Charge]])</f>
        <v>0.15384615384615385</v>
      </c>
      <c r="M13">
        <f>(AF30_ByRubLot[[#This Row],[101-110]]/AF30_ByRubLot3[[Total Charge]:[Total Charge]])</f>
        <v>7.6923076923076927E-2</v>
      </c>
      <c r="N13">
        <f>(AF30_ByRubLot[[#This Row],[111-120]]/AF30_ByRubLot3[[Total Charge]:[Total Charge]])</f>
        <v>0.23076923076923078</v>
      </c>
      <c r="O13">
        <f>(AF30_ByRubLot[[#This Row],[121-130]]/AF30_ByRubLot3[[Total Charge]:[Total Charge]])</f>
        <v>0</v>
      </c>
      <c r="P13">
        <f>(AF30_ByRubLot[[#This Row],[131-140]]/AF30_ByRubLot3[[Total Charge]:[Total Charge]])</f>
        <v>0</v>
      </c>
      <c r="Q13">
        <v>0</v>
      </c>
      <c r="R13">
        <v>0</v>
      </c>
      <c r="S13" t="s">
        <v>6</v>
      </c>
      <c r="T13">
        <v>13</v>
      </c>
      <c r="U13" s="112"/>
      <c r="V13">
        <v>333.33333333333331</v>
      </c>
      <c r="W13">
        <v>0</v>
      </c>
      <c r="X13">
        <f t="shared" si="0"/>
        <v>0</v>
      </c>
      <c r="Y13">
        <f>SUM(AF30_ByRubLot3[[#This Row],[0-10]:[131-140]])</f>
        <v>1.0000000000000002</v>
      </c>
    </row>
    <row r="14" spans="1:25" x14ac:dyDescent="0.25">
      <c r="A14" t="s">
        <v>5</v>
      </c>
      <c r="B14" s="146" t="s">
        <v>141</v>
      </c>
      <c r="C14">
        <f>(AF30_ByRubLot[[#This Row],[0-10]]/AF30_ByRubLot3[[Total Charge]:[Total Charge]])</f>
        <v>0</v>
      </c>
      <c r="D14">
        <f>(AF30_ByRubLot[[#This Row],[11-20]]/AF30_ByRubLot3[[Total Charge]:[Total Charge]])</f>
        <v>0</v>
      </c>
      <c r="E14">
        <f>(AF30_ByRubLot[[#This Row],[21-30]]/AF30_ByRubLot3[[Total Charge]:[Total Charge]])</f>
        <v>0</v>
      </c>
      <c r="F14">
        <f>(AF30_ByRubLot[[#This Row],[31-40]]/AF30_ByRubLot3[[Total Charge]:[Total Charge]])</f>
        <v>7.6923076923076927E-2</v>
      </c>
      <c r="G14">
        <f>(AF30_ByRubLot[[#This Row],[41-50]]/AF30_ByRubLot3[[Total Charge]:[Total Charge]])</f>
        <v>0.15384615384615385</v>
      </c>
      <c r="H14">
        <f>(AF30_ByRubLot[[#This Row],[51-60]]/AF30_ByRubLot3[[Total Charge]:[Total Charge]])</f>
        <v>0.15384615384615385</v>
      </c>
      <c r="I14">
        <f>(AF30_ByRubLot[[#This Row],[61-70]]/AF30_ByRubLot3[[Total Charge]:[Total Charge]])</f>
        <v>7.6923076923076927E-2</v>
      </c>
      <c r="J14">
        <f>(AF30_ByRubLot[[#This Row],[71-80]]/AF30_ByRubLot3[[Total Charge]:[Total Charge]])</f>
        <v>7.6923076923076927E-2</v>
      </c>
      <c r="K14">
        <f>(AF30_ByRubLot[[#This Row],[81-90]]/AF30_ByRubLot3[[Total Charge]:[Total Charge]])</f>
        <v>0</v>
      </c>
      <c r="L14">
        <f>(AF30_ByRubLot[[#This Row],[91-100]]/AF30_ByRubLot3[[Total Charge]:[Total Charge]])</f>
        <v>0.15384615384615385</v>
      </c>
      <c r="M14">
        <f>(AF30_ByRubLot[[#This Row],[101-110]]/AF30_ByRubLot3[[Total Charge]:[Total Charge]])</f>
        <v>7.6923076923076927E-2</v>
      </c>
      <c r="N14">
        <f>(AF30_ByRubLot[[#This Row],[111-120]]/AF30_ByRubLot3[[Total Charge]:[Total Charge]])</f>
        <v>0.23076923076923078</v>
      </c>
      <c r="O14">
        <f>(AF30_ByRubLot[[#This Row],[121-130]]/AF30_ByRubLot3[[Total Charge]:[Total Charge]])</f>
        <v>0</v>
      </c>
      <c r="P14">
        <f>(AF30_ByRubLot[[#This Row],[131-140]]/AF30_ByRubLot3[[Total Charge]:[Total Charge]])</f>
        <v>0</v>
      </c>
      <c r="Q14">
        <v>0</v>
      </c>
      <c r="R14">
        <v>0</v>
      </c>
      <c r="S14" t="s">
        <v>6</v>
      </c>
      <c r="T14">
        <v>13</v>
      </c>
      <c r="U14" s="112"/>
      <c r="V14">
        <v>869.44444444444434</v>
      </c>
      <c r="W14">
        <v>0</v>
      </c>
      <c r="X14">
        <f t="shared" si="0"/>
        <v>0</v>
      </c>
      <c r="Y14">
        <f>SUM(AF30_ByRubLot3[[#This Row],[0-10]:[131-140]])</f>
        <v>1.0000000000000002</v>
      </c>
    </row>
    <row r="15" spans="1:25" x14ac:dyDescent="0.25">
      <c r="A15" t="s">
        <v>5</v>
      </c>
      <c r="B15" s="146" t="s">
        <v>142</v>
      </c>
      <c r="C15">
        <f>(AF30_ByRubLot[[#This Row],[0-10]]/AF30_ByRubLot3[[Total Charge]:[Total Charge]])</f>
        <v>0</v>
      </c>
      <c r="D15">
        <f>(AF30_ByRubLot[[#This Row],[11-20]]/AF30_ByRubLot3[[Total Charge]:[Total Charge]])</f>
        <v>0</v>
      </c>
      <c r="E15">
        <f>(AF30_ByRubLot[[#This Row],[21-30]]/AF30_ByRubLot3[[Total Charge]:[Total Charge]])</f>
        <v>0</v>
      </c>
      <c r="F15">
        <f>(AF30_ByRubLot[[#This Row],[31-40]]/AF30_ByRubLot3[[Total Charge]:[Total Charge]])</f>
        <v>7.6923076923076927E-2</v>
      </c>
      <c r="G15">
        <f>(AF30_ByRubLot[[#This Row],[41-50]]/AF30_ByRubLot3[[Total Charge]:[Total Charge]])</f>
        <v>0.15384615384615385</v>
      </c>
      <c r="H15">
        <f>(AF30_ByRubLot[[#This Row],[51-60]]/AF30_ByRubLot3[[Total Charge]:[Total Charge]])</f>
        <v>0.15384615384615385</v>
      </c>
      <c r="I15">
        <f>(AF30_ByRubLot[[#This Row],[61-70]]/AF30_ByRubLot3[[Total Charge]:[Total Charge]])</f>
        <v>7.6923076923076927E-2</v>
      </c>
      <c r="J15">
        <f>(AF30_ByRubLot[[#This Row],[71-80]]/AF30_ByRubLot3[[Total Charge]:[Total Charge]])</f>
        <v>7.6923076923076927E-2</v>
      </c>
      <c r="K15">
        <f>(AF30_ByRubLot[[#This Row],[81-90]]/AF30_ByRubLot3[[Total Charge]:[Total Charge]])</f>
        <v>0</v>
      </c>
      <c r="L15">
        <f>(AF30_ByRubLot[[#This Row],[91-100]]/AF30_ByRubLot3[[Total Charge]:[Total Charge]])</f>
        <v>0.15384615384615385</v>
      </c>
      <c r="M15">
        <f>(AF30_ByRubLot[[#This Row],[101-110]]/AF30_ByRubLot3[[Total Charge]:[Total Charge]])</f>
        <v>7.6923076923076927E-2</v>
      </c>
      <c r="N15">
        <f>(AF30_ByRubLot[[#This Row],[111-120]]/AF30_ByRubLot3[[Total Charge]:[Total Charge]])</f>
        <v>0.23076923076923078</v>
      </c>
      <c r="O15">
        <f>(AF30_ByRubLot[[#This Row],[121-130]]/AF30_ByRubLot3[[Total Charge]:[Total Charge]])</f>
        <v>0</v>
      </c>
      <c r="P15">
        <f>(AF30_ByRubLot[[#This Row],[131-140]]/AF30_ByRubLot3[[Total Charge]:[Total Charge]])</f>
        <v>0</v>
      </c>
      <c r="Q15">
        <v>0</v>
      </c>
      <c r="R15">
        <v>0</v>
      </c>
      <c r="S15" t="s">
        <v>6</v>
      </c>
      <c r="T15">
        <v>13</v>
      </c>
      <c r="U15" s="112"/>
      <c r="V15">
        <v>1660</v>
      </c>
      <c r="W15">
        <v>600</v>
      </c>
      <c r="X15">
        <f t="shared" si="0"/>
        <v>36.144578313253014</v>
      </c>
      <c r="Y15">
        <f>SUM(AF30_ByRubLot3[[#This Row],[0-10]:[131-140]])</f>
        <v>1.0000000000000002</v>
      </c>
    </row>
    <row r="16" spans="1:25" x14ac:dyDescent="0.25">
      <c r="A16" t="s">
        <v>5</v>
      </c>
      <c r="B16" s="146" t="s">
        <v>143</v>
      </c>
      <c r="C16">
        <f>(AF30_ByRubLot[[#This Row],[0-10]]/AF30_ByRubLot3[[Total Charge]:[Total Charge]])</f>
        <v>0</v>
      </c>
      <c r="D16">
        <f>(AF30_ByRubLot[[#This Row],[11-20]]/AF30_ByRubLot3[[Total Charge]:[Total Charge]])</f>
        <v>0</v>
      </c>
      <c r="E16">
        <f>(AF30_ByRubLot[[#This Row],[21-30]]/AF30_ByRubLot3[[Total Charge]:[Total Charge]])</f>
        <v>0</v>
      </c>
      <c r="F16">
        <f>(AF30_ByRubLot[[#This Row],[31-40]]/AF30_ByRubLot3[[Total Charge]:[Total Charge]])</f>
        <v>7.6923076923076927E-2</v>
      </c>
      <c r="G16">
        <f>(AF30_ByRubLot[[#This Row],[41-50]]/AF30_ByRubLot3[[Total Charge]:[Total Charge]])</f>
        <v>0.15384615384615385</v>
      </c>
      <c r="H16">
        <f>(AF30_ByRubLot[[#This Row],[51-60]]/AF30_ByRubLot3[[Total Charge]:[Total Charge]])</f>
        <v>0.15384615384615385</v>
      </c>
      <c r="I16">
        <f>(AF30_ByRubLot[[#This Row],[61-70]]/AF30_ByRubLot3[[Total Charge]:[Total Charge]])</f>
        <v>7.6923076923076927E-2</v>
      </c>
      <c r="J16">
        <f>(AF30_ByRubLot[[#This Row],[71-80]]/AF30_ByRubLot3[[Total Charge]:[Total Charge]])</f>
        <v>7.6923076923076927E-2</v>
      </c>
      <c r="K16">
        <f>(AF30_ByRubLot[[#This Row],[81-90]]/AF30_ByRubLot3[[Total Charge]:[Total Charge]])</f>
        <v>0</v>
      </c>
      <c r="L16">
        <f>(AF30_ByRubLot[[#This Row],[91-100]]/AF30_ByRubLot3[[Total Charge]:[Total Charge]])</f>
        <v>0.15384615384615385</v>
      </c>
      <c r="M16">
        <f>(AF30_ByRubLot[[#This Row],[101-110]]/AF30_ByRubLot3[[Total Charge]:[Total Charge]])</f>
        <v>7.6923076923076927E-2</v>
      </c>
      <c r="N16">
        <f>(AF30_ByRubLot[[#This Row],[111-120]]/AF30_ByRubLot3[[Total Charge]:[Total Charge]])</f>
        <v>0.23076923076923078</v>
      </c>
      <c r="O16">
        <f>(AF30_ByRubLot[[#This Row],[121-130]]/AF30_ByRubLot3[[Total Charge]:[Total Charge]])</f>
        <v>0</v>
      </c>
      <c r="P16">
        <f>(AF30_ByRubLot[[#This Row],[131-140]]/AF30_ByRubLot3[[Total Charge]:[Total Charge]])</f>
        <v>0</v>
      </c>
      <c r="Q16">
        <v>0</v>
      </c>
      <c r="R16">
        <v>0</v>
      </c>
      <c r="S16" t="s">
        <v>6</v>
      </c>
      <c r="T16">
        <v>13</v>
      </c>
      <c r="U16" s="112"/>
      <c r="V16">
        <v>1684.4444444444443</v>
      </c>
      <c r="W16">
        <v>0</v>
      </c>
      <c r="X16">
        <f t="shared" si="0"/>
        <v>0</v>
      </c>
      <c r="Y16">
        <f>SUM(AF30_ByRubLot3[[#This Row],[0-10]:[131-140]])</f>
        <v>1.0000000000000002</v>
      </c>
    </row>
    <row r="17" spans="1:25" x14ac:dyDescent="0.25">
      <c r="A17" t="s">
        <v>5</v>
      </c>
      <c r="B17" s="146" t="s">
        <v>144</v>
      </c>
      <c r="C17">
        <f>(AF30_ByRubLot[[#This Row],[0-10]]/AF30_ByRubLot3[[Total Charge]:[Total Charge]])</f>
        <v>0</v>
      </c>
      <c r="D17">
        <f>(AF30_ByRubLot[[#This Row],[11-20]]/AF30_ByRubLot3[[Total Charge]:[Total Charge]])</f>
        <v>0</v>
      </c>
      <c r="E17">
        <f>(AF30_ByRubLot[[#This Row],[21-30]]/AF30_ByRubLot3[[Total Charge]:[Total Charge]])</f>
        <v>0</v>
      </c>
      <c r="F17">
        <f>(AF30_ByRubLot[[#This Row],[31-40]]/AF30_ByRubLot3[[Total Charge]:[Total Charge]])</f>
        <v>7.6923076923076927E-2</v>
      </c>
      <c r="G17">
        <f>(AF30_ByRubLot[[#This Row],[41-50]]/AF30_ByRubLot3[[Total Charge]:[Total Charge]])</f>
        <v>0.15384615384615385</v>
      </c>
      <c r="H17">
        <f>(AF30_ByRubLot[[#This Row],[51-60]]/AF30_ByRubLot3[[Total Charge]:[Total Charge]])</f>
        <v>0.15384615384615385</v>
      </c>
      <c r="I17">
        <f>(AF30_ByRubLot[[#This Row],[61-70]]/AF30_ByRubLot3[[Total Charge]:[Total Charge]])</f>
        <v>7.6923076923076927E-2</v>
      </c>
      <c r="J17">
        <f>(AF30_ByRubLot[[#This Row],[71-80]]/AF30_ByRubLot3[[Total Charge]:[Total Charge]])</f>
        <v>7.6923076923076927E-2</v>
      </c>
      <c r="K17">
        <f>(AF30_ByRubLot[[#This Row],[81-90]]/AF30_ByRubLot3[[Total Charge]:[Total Charge]])</f>
        <v>0</v>
      </c>
      <c r="L17">
        <f>(AF30_ByRubLot[[#This Row],[91-100]]/AF30_ByRubLot3[[Total Charge]:[Total Charge]])</f>
        <v>0.15384615384615385</v>
      </c>
      <c r="M17">
        <f>(AF30_ByRubLot[[#This Row],[101-110]]/AF30_ByRubLot3[[Total Charge]:[Total Charge]])</f>
        <v>7.6923076923076927E-2</v>
      </c>
      <c r="N17">
        <f>(AF30_ByRubLot[[#This Row],[111-120]]/AF30_ByRubLot3[[Total Charge]:[Total Charge]])</f>
        <v>0.23076923076923078</v>
      </c>
      <c r="O17">
        <f>(AF30_ByRubLot[[#This Row],[121-130]]/AF30_ByRubLot3[[Total Charge]:[Total Charge]])</f>
        <v>0</v>
      </c>
      <c r="P17">
        <f>(AF30_ByRubLot[[#This Row],[131-140]]/AF30_ByRubLot3[[Total Charge]:[Total Charge]])</f>
        <v>0</v>
      </c>
      <c r="Q17">
        <v>0</v>
      </c>
      <c r="R17">
        <v>0</v>
      </c>
      <c r="S17" t="s">
        <v>6</v>
      </c>
      <c r="T17">
        <v>13</v>
      </c>
      <c r="U17" s="112"/>
      <c r="V17">
        <v>661.66666666666663</v>
      </c>
      <c r="W17">
        <v>359.83329999999995</v>
      </c>
      <c r="X17">
        <f t="shared" si="0"/>
        <v>54.382866498740547</v>
      </c>
      <c r="Y17">
        <f>SUM(AF30_ByRubLot3[[#This Row],[0-10]:[131-140]])</f>
        <v>1.0000000000000002</v>
      </c>
    </row>
    <row r="18" spans="1:25" x14ac:dyDescent="0.25">
      <c r="A18" t="s">
        <v>5</v>
      </c>
      <c r="B18" s="146" t="s">
        <v>145</v>
      </c>
      <c r="C18">
        <f>(AF30_ByRubLot[[#This Row],[0-10]]/AF30_ByRubLot3[[Total Charge]:[Total Charge]])</f>
        <v>0</v>
      </c>
      <c r="D18">
        <f>(AF30_ByRubLot[[#This Row],[11-20]]/AF30_ByRubLot3[[Total Charge]:[Total Charge]])</f>
        <v>0</v>
      </c>
      <c r="E18">
        <f>(AF30_ByRubLot[[#This Row],[21-30]]/AF30_ByRubLot3[[Total Charge]:[Total Charge]])</f>
        <v>0</v>
      </c>
      <c r="F18">
        <f>(AF30_ByRubLot[[#This Row],[31-40]]/AF30_ByRubLot3[[Total Charge]:[Total Charge]])</f>
        <v>7.6923076923076927E-2</v>
      </c>
      <c r="G18">
        <f>(AF30_ByRubLot[[#This Row],[41-50]]/AF30_ByRubLot3[[Total Charge]:[Total Charge]])</f>
        <v>0.15384615384615385</v>
      </c>
      <c r="H18">
        <f>(AF30_ByRubLot[[#This Row],[51-60]]/AF30_ByRubLot3[[Total Charge]:[Total Charge]])</f>
        <v>0.15384615384615385</v>
      </c>
      <c r="I18">
        <f>(AF30_ByRubLot[[#This Row],[61-70]]/AF30_ByRubLot3[[Total Charge]:[Total Charge]])</f>
        <v>7.6923076923076927E-2</v>
      </c>
      <c r="J18">
        <f>(AF30_ByRubLot[[#This Row],[71-80]]/AF30_ByRubLot3[[Total Charge]:[Total Charge]])</f>
        <v>7.6923076923076927E-2</v>
      </c>
      <c r="K18">
        <f>(AF30_ByRubLot[[#This Row],[81-90]]/AF30_ByRubLot3[[Total Charge]:[Total Charge]])</f>
        <v>0</v>
      </c>
      <c r="L18">
        <f>(AF30_ByRubLot[[#This Row],[91-100]]/AF30_ByRubLot3[[Total Charge]:[Total Charge]])</f>
        <v>0.15384615384615385</v>
      </c>
      <c r="M18">
        <f>(AF30_ByRubLot[[#This Row],[101-110]]/AF30_ByRubLot3[[Total Charge]:[Total Charge]])</f>
        <v>7.6923076923076927E-2</v>
      </c>
      <c r="N18">
        <f>(AF30_ByRubLot[[#This Row],[111-120]]/AF30_ByRubLot3[[Total Charge]:[Total Charge]])</f>
        <v>0.23076923076923078</v>
      </c>
      <c r="O18">
        <f>(AF30_ByRubLot[[#This Row],[121-130]]/AF30_ByRubLot3[[Total Charge]:[Total Charge]])</f>
        <v>0</v>
      </c>
      <c r="P18">
        <f>(AF30_ByRubLot[[#This Row],[131-140]]/AF30_ByRubLot3[[Total Charge]:[Total Charge]])</f>
        <v>0</v>
      </c>
      <c r="Q18">
        <v>0</v>
      </c>
      <c r="R18">
        <v>0</v>
      </c>
      <c r="S18" t="s">
        <v>6</v>
      </c>
      <c r="T18">
        <v>13</v>
      </c>
      <c r="U18" s="112"/>
      <c r="V18">
        <v>916.66666666666663</v>
      </c>
      <c r="W18">
        <v>0</v>
      </c>
      <c r="X18">
        <f t="shared" si="0"/>
        <v>0</v>
      </c>
      <c r="Y18">
        <f>SUM(AF30_ByRubLot3[[#This Row],[0-10]:[131-140]])</f>
        <v>1.0000000000000002</v>
      </c>
    </row>
    <row r="19" spans="1:25" x14ac:dyDescent="0.25">
      <c r="A19" t="s">
        <v>5</v>
      </c>
      <c r="B19" s="146" t="s">
        <v>146</v>
      </c>
      <c r="C19">
        <f>(AF30_ByRubLot[[#This Row],[0-10]]/AF30_ByRubLot3[[Total Charge]:[Total Charge]])</f>
        <v>0</v>
      </c>
      <c r="D19">
        <f>(AF30_ByRubLot[[#This Row],[11-20]]/AF30_ByRubLot3[[Total Charge]:[Total Charge]])</f>
        <v>0</v>
      </c>
      <c r="E19">
        <f>(AF30_ByRubLot[[#This Row],[21-30]]/AF30_ByRubLot3[[Total Charge]:[Total Charge]])</f>
        <v>0</v>
      </c>
      <c r="F19">
        <f>(AF30_ByRubLot[[#This Row],[31-40]]/AF30_ByRubLot3[[Total Charge]:[Total Charge]])</f>
        <v>7.6923076923076927E-2</v>
      </c>
      <c r="G19">
        <f>(AF30_ByRubLot[[#This Row],[41-50]]/AF30_ByRubLot3[[Total Charge]:[Total Charge]])</f>
        <v>0.15384615384615385</v>
      </c>
      <c r="H19">
        <f>(AF30_ByRubLot[[#This Row],[51-60]]/AF30_ByRubLot3[[Total Charge]:[Total Charge]])</f>
        <v>0.15384615384615385</v>
      </c>
      <c r="I19">
        <f>(AF30_ByRubLot[[#This Row],[61-70]]/AF30_ByRubLot3[[Total Charge]:[Total Charge]])</f>
        <v>7.6923076923076927E-2</v>
      </c>
      <c r="J19">
        <f>(AF30_ByRubLot[[#This Row],[71-80]]/AF30_ByRubLot3[[Total Charge]:[Total Charge]])</f>
        <v>7.6923076923076927E-2</v>
      </c>
      <c r="K19">
        <f>(AF30_ByRubLot[[#This Row],[81-90]]/AF30_ByRubLot3[[Total Charge]:[Total Charge]])</f>
        <v>0</v>
      </c>
      <c r="L19">
        <f>(AF30_ByRubLot[[#This Row],[91-100]]/AF30_ByRubLot3[[Total Charge]:[Total Charge]])</f>
        <v>0.15384615384615385</v>
      </c>
      <c r="M19">
        <f>(AF30_ByRubLot[[#This Row],[101-110]]/AF30_ByRubLot3[[Total Charge]:[Total Charge]])</f>
        <v>7.6923076923076927E-2</v>
      </c>
      <c r="N19">
        <f>(AF30_ByRubLot[[#This Row],[111-120]]/AF30_ByRubLot3[[Total Charge]:[Total Charge]])</f>
        <v>0.23076923076923078</v>
      </c>
      <c r="O19">
        <f>(AF30_ByRubLot[[#This Row],[121-130]]/AF30_ByRubLot3[[Total Charge]:[Total Charge]])</f>
        <v>0</v>
      </c>
      <c r="P19">
        <f>(AF30_ByRubLot[[#This Row],[131-140]]/AF30_ByRubLot3[[Total Charge]:[Total Charge]])</f>
        <v>0</v>
      </c>
      <c r="Q19">
        <v>0</v>
      </c>
      <c r="R19">
        <v>0</v>
      </c>
      <c r="S19" t="s">
        <v>6</v>
      </c>
      <c r="T19">
        <v>13</v>
      </c>
      <c r="U19" s="112"/>
      <c r="V19">
        <v>1707.2222222222224</v>
      </c>
      <c r="W19">
        <v>1555.3333200000002</v>
      </c>
      <c r="X19">
        <f t="shared" si="0"/>
        <v>91.103155743573055</v>
      </c>
      <c r="Y19">
        <f>SUM(AF30_ByRubLot3[[#This Row],[0-10]:[131-140]])</f>
        <v>1.0000000000000002</v>
      </c>
    </row>
    <row r="20" spans="1:25" x14ac:dyDescent="0.25">
      <c r="A20" t="s">
        <v>5</v>
      </c>
      <c r="B20" s="146" t="s">
        <v>147</v>
      </c>
      <c r="C20">
        <f>(AF30_ByRubLot[[#This Row],[0-10]]/AF30_ByRubLot3[[Total Charge]:[Total Charge]])</f>
        <v>0</v>
      </c>
      <c r="D20">
        <f>(AF30_ByRubLot[[#This Row],[11-20]]/AF30_ByRubLot3[[Total Charge]:[Total Charge]])</f>
        <v>0</v>
      </c>
      <c r="E20">
        <f>(AF30_ByRubLot[[#This Row],[21-30]]/AF30_ByRubLot3[[Total Charge]:[Total Charge]])</f>
        <v>0</v>
      </c>
      <c r="F20">
        <f>(AF30_ByRubLot[[#This Row],[31-40]]/AF30_ByRubLot3[[Total Charge]:[Total Charge]])</f>
        <v>7.6923076923076927E-2</v>
      </c>
      <c r="G20">
        <f>(AF30_ByRubLot[[#This Row],[41-50]]/AF30_ByRubLot3[[Total Charge]:[Total Charge]])</f>
        <v>0.15384615384615385</v>
      </c>
      <c r="H20">
        <f>(AF30_ByRubLot[[#This Row],[51-60]]/AF30_ByRubLot3[[Total Charge]:[Total Charge]])</f>
        <v>0.15384615384615385</v>
      </c>
      <c r="I20">
        <f>(AF30_ByRubLot[[#This Row],[61-70]]/AF30_ByRubLot3[[Total Charge]:[Total Charge]])</f>
        <v>7.6923076923076927E-2</v>
      </c>
      <c r="J20">
        <f>(AF30_ByRubLot[[#This Row],[71-80]]/AF30_ByRubLot3[[Total Charge]:[Total Charge]])</f>
        <v>7.6923076923076927E-2</v>
      </c>
      <c r="K20">
        <f>(AF30_ByRubLot[[#This Row],[81-90]]/AF30_ByRubLot3[[Total Charge]:[Total Charge]])</f>
        <v>0</v>
      </c>
      <c r="L20">
        <f>(AF30_ByRubLot[[#This Row],[91-100]]/AF30_ByRubLot3[[Total Charge]:[Total Charge]])</f>
        <v>0.15384615384615385</v>
      </c>
      <c r="M20">
        <f>(AF30_ByRubLot[[#This Row],[101-110]]/AF30_ByRubLot3[[Total Charge]:[Total Charge]])</f>
        <v>7.6923076923076927E-2</v>
      </c>
      <c r="N20">
        <f>(AF30_ByRubLot[[#This Row],[111-120]]/AF30_ByRubLot3[[Total Charge]:[Total Charge]])</f>
        <v>0.23076923076923078</v>
      </c>
      <c r="O20">
        <f>(AF30_ByRubLot[[#This Row],[121-130]]/AF30_ByRubLot3[[Total Charge]:[Total Charge]])</f>
        <v>0</v>
      </c>
      <c r="P20">
        <f>(AF30_ByRubLot[[#This Row],[131-140]]/AF30_ByRubLot3[[Total Charge]:[Total Charge]])</f>
        <v>0</v>
      </c>
      <c r="Q20">
        <v>0</v>
      </c>
      <c r="R20">
        <v>0</v>
      </c>
      <c r="S20" t="s">
        <v>6</v>
      </c>
      <c r="T20">
        <v>13</v>
      </c>
      <c r="U20" s="112"/>
      <c r="V20">
        <v>766.66666666666674</v>
      </c>
      <c r="W20">
        <v>320</v>
      </c>
      <c r="X20">
        <f t="shared" si="0"/>
        <v>41.739130434782609</v>
      </c>
      <c r="Y20">
        <f>SUM(AF30_ByRubLot3[[#This Row],[0-10]:[131-140]])</f>
        <v>1.0000000000000002</v>
      </c>
    </row>
    <row r="21" spans="1:25" x14ac:dyDescent="0.25">
      <c r="A21" t="s">
        <v>5</v>
      </c>
      <c r="B21" s="146" t="s">
        <v>148</v>
      </c>
      <c r="C21">
        <f>(AF30_ByRubLot[[#This Row],[0-10]]/AF30_ByRubLot3[[Total Charge]:[Total Charge]])</f>
        <v>0</v>
      </c>
      <c r="D21">
        <f>(AF30_ByRubLot[[#This Row],[11-20]]/AF30_ByRubLot3[[Total Charge]:[Total Charge]])</f>
        <v>0</v>
      </c>
      <c r="E21">
        <f>(AF30_ByRubLot[[#This Row],[21-30]]/AF30_ByRubLot3[[Total Charge]:[Total Charge]])</f>
        <v>0</v>
      </c>
      <c r="F21">
        <f>(AF30_ByRubLot[[#This Row],[31-40]]/AF30_ByRubLot3[[Total Charge]:[Total Charge]])</f>
        <v>7.6923076923076927E-2</v>
      </c>
      <c r="G21">
        <f>(AF30_ByRubLot[[#This Row],[41-50]]/AF30_ByRubLot3[[Total Charge]:[Total Charge]])</f>
        <v>0.15384615384615385</v>
      </c>
      <c r="H21">
        <f>(AF30_ByRubLot[[#This Row],[51-60]]/AF30_ByRubLot3[[Total Charge]:[Total Charge]])</f>
        <v>0.15384615384615385</v>
      </c>
      <c r="I21">
        <f>(AF30_ByRubLot[[#This Row],[61-70]]/AF30_ByRubLot3[[Total Charge]:[Total Charge]])</f>
        <v>7.6923076923076927E-2</v>
      </c>
      <c r="J21">
        <f>(AF30_ByRubLot[[#This Row],[71-80]]/AF30_ByRubLot3[[Total Charge]:[Total Charge]])</f>
        <v>7.6923076923076927E-2</v>
      </c>
      <c r="K21">
        <f>(AF30_ByRubLot[[#This Row],[81-90]]/AF30_ByRubLot3[[Total Charge]:[Total Charge]])</f>
        <v>0</v>
      </c>
      <c r="L21">
        <f>(AF30_ByRubLot[[#This Row],[91-100]]/AF30_ByRubLot3[[Total Charge]:[Total Charge]])</f>
        <v>0.15384615384615385</v>
      </c>
      <c r="M21">
        <f>(AF30_ByRubLot[[#This Row],[101-110]]/AF30_ByRubLot3[[Total Charge]:[Total Charge]])</f>
        <v>7.6923076923076927E-2</v>
      </c>
      <c r="N21">
        <f>(AF30_ByRubLot[[#This Row],[111-120]]/AF30_ByRubLot3[[Total Charge]:[Total Charge]])</f>
        <v>0.23076923076923078</v>
      </c>
      <c r="O21">
        <f>(AF30_ByRubLot[[#This Row],[121-130]]/AF30_ByRubLot3[[Total Charge]:[Total Charge]])</f>
        <v>0</v>
      </c>
      <c r="P21">
        <f>(AF30_ByRubLot[[#This Row],[131-140]]/AF30_ByRubLot3[[Total Charge]:[Total Charge]])</f>
        <v>0</v>
      </c>
      <c r="Q21">
        <v>0</v>
      </c>
      <c r="R21">
        <v>0</v>
      </c>
      <c r="S21" t="s">
        <v>6</v>
      </c>
      <c r="T21">
        <v>13</v>
      </c>
      <c r="U21" s="112"/>
      <c r="V21">
        <v>811.11111111111109</v>
      </c>
      <c r="W21">
        <v>0</v>
      </c>
      <c r="X21">
        <f t="shared" si="0"/>
        <v>0</v>
      </c>
      <c r="Y21">
        <f>SUM(AF30_ByRubLot3[[#This Row],[0-10]:[131-140]])</f>
        <v>1.0000000000000002</v>
      </c>
    </row>
    <row r="22" spans="1:25" x14ac:dyDescent="0.25">
      <c r="A22" t="s">
        <v>5</v>
      </c>
      <c r="B22" s="146" t="s">
        <v>149</v>
      </c>
      <c r="C22">
        <f>(AF30_ByRubLot[[#This Row],[0-10]]/AF30_ByRubLot3[[Total Charge]:[Total Charge]])</f>
        <v>0</v>
      </c>
      <c r="D22">
        <f>(AF30_ByRubLot[[#This Row],[11-20]]/AF30_ByRubLot3[[Total Charge]:[Total Charge]])</f>
        <v>0</v>
      </c>
      <c r="E22">
        <f>(AF30_ByRubLot[[#This Row],[21-30]]/AF30_ByRubLot3[[Total Charge]:[Total Charge]])</f>
        <v>0</v>
      </c>
      <c r="F22">
        <f>(AF30_ByRubLot[[#This Row],[31-40]]/AF30_ByRubLot3[[Total Charge]:[Total Charge]])</f>
        <v>7.6923076923076927E-2</v>
      </c>
      <c r="G22">
        <f>(AF30_ByRubLot[[#This Row],[41-50]]/AF30_ByRubLot3[[Total Charge]:[Total Charge]])</f>
        <v>0.15384615384615385</v>
      </c>
      <c r="H22">
        <f>(AF30_ByRubLot[[#This Row],[51-60]]/AF30_ByRubLot3[[Total Charge]:[Total Charge]])</f>
        <v>0.15384615384615385</v>
      </c>
      <c r="I22">
        <f>(AF30_ByRubLot[[#This Row],[61-70]]/AF30_ByRubLot3[[Total Charge]:[Total Charge]])</f>
        <v>7.6923076923076927E-2</v>
      </c>
      <c r="J22">
        <f>(AF30_ByRubLot[[#This Row],[71-80]]/AF30_ByRubLot3[[Total Charge]:[Total Charge]])</f>
        <v>7.6923076923076927E-2</v>
      </c>
      <c r="K22">
        <f>(AF30_ByRubLot[[#This Row],[81-90]]/AF30_ByRubLot3[[Total Charge]:[Total Charge]])</f>
        <v>0</v>
      </c>
      <c r="L22">
        <f>(AF30_ByRubLot[[#This Row],[91-100]]/AF30_ByRubLot3[[Total Charge]:[Total Charge]])</f>
        <v>0.15384615384615385</v>
      </c>
      <c r="M22">
        <f>(AF30_ByRubLot[[#This Row],[101-110]]/AF30_ByRubLot3[[Total Charge]:[Total Charge]])</f>
        <v>7.6923076923076927E-2</v>
      </c>
      <c r="N22">
        <f>(AF30_ByRubLot[[#This Row],[111-120]]/AF30_ByRubLot3[[Total Charge]:[Total Charge]])</f>
        <v>0.23076923076923078</v>
      </c>
      <c r="O22">
        <f>(AF30_ByRubLot[[#This Row],[121-130]]/AF30_ByRubLot3[[Total Charge]:[Total Charge]])</f>
        <v>0</v>
      </c>
      <c r="P22">
        <f>(AF30_ByRubLot[[#This Row],[131-140]]/AF30_ByRubLot3[[Total Charge]:[Total Charge]])</f>
        <v>0</v>
      </c>
      <c r="Q22">
        <v>0</v>
      </c>
      <c r="R22">
        <v>0</v>
      </c>
      <c r="S22" t="s">
        <v>6</v>
      </c>
      <c r="T22">
        <v>13</v>
      </c>
      <c r="U22" s="112"/>
      <c r="V22">
        <v>769.44444444444446</v>
      </c>
      <c r="W22">
        <v>0</v>
      </c>
      <c r="X22">
        <f t="shared" si="0"/>
        <v>0</v>
      </c>
      <c r="Y22">
        <f>SUM(AF30_ByRubLot3[[#This Row],[0-10]:[131-140]])</f>
        <v>1.0000000000000002</v>
      </c>
    </row>
    <row r="23" spans="1:25" x14ac:dyDescent="0.25">
      <c r="A23" t="s">
        <v>5</v>
      </c>
      <c r="B23" s="146" t="s">
        <v>150</v>
      </c>
      <c r="C23">
        <f>(AF30_ByRubLot[[#This Row],[0-10]]/AF30_ByRubLot3[[Total Charge]:[Total Charge]])</f>
        <v>0</v>
      </c>
      <c r="D23">
        <f>(AF30_ByRubLot[[#This Row],[11-20]]/AF30_ByRubLot3[[Total Charge]:[Total Charge]])</f>
        <v>0</v>
      </c>
      <c r="E23">
        <f>(AF30_ByRubLot[[#This Row],[21-30]]/AF30_ByRubLot3[[Total Charge]:[Total Charge]])</f>
        <v>0</v>
      </c>
      <c r="F23">
        <f>(AF30_ByRubLot[[#This Row],[31-40]]/AF30_ByRubLot3[[Total Charge]:[Total Charge]])</f>
        <v>7.6923076923076927E-2</v>
      </c>
      <c r="G23">
        <f>(AF30_ByRubLot[[#This Row],[41-50]]/AF30_ByRubLot3[[Total Charge]:[Total Charge]])</f>
        <v>0.15384615384615385</v>
      </c>
      <c r="H23">
        <f>(AF30_ByRubLot[[#This Row],[51-60]]/AF30_ByRubLot3[[Total Charge]:[Total Charge]])</f>
        <v>0.15384615384615385</v>
      </c>
      <c r="I23">
        <f>(AF30_ByRubLot[[#This Row],[61-70]]/AF30_ByRubLot3[[Total Charge]:[Total Charge]])</f>
        <v>7.6923076923076927E-2</v>
      </c>
      <c r="J23">
        <f>(AF30_ByRubLot[[#This Row],[71-80]]/AF30_ByRubLot3[[Total Charge]:[Total Charge]])</f>
        <v>7.6923076923076927E-2</v>
      </c>
      <c r="K23">
        <f>(AF30_ByRubLot[[#This Row],[81-90]]/AF30_ByRubLot3[[Total Charge]:[Total Charge]])</f>
        <v>0</v>
      </c>
      <c r="L23">
        <f>(AF30_ByRubLot[[#This Row],[91-100]]/AF30_ByRubLot3[[Total Charge]:[Total Charge]])</f>
        <v>0.15384615384615385</v>
      </c>
      <c r="M23">
        <f>(AF30_ByRubLot[[#This Row],[101-110]]/AF30_ByRubLot3[[Total Charge]:[Total Charge]])</f>
        <v>7.6923076923076927E-2</v>
      </c>
      <c r="N23">
        <f>(AF30_ByRubLot[[#This Row],[111-120]]/AF30_ByRubLot3[[Total Charge]:[Total Charge]])</f>
        <v>0.23076923076923078</v>
      </c>
      <c r="O23">
        <f>(AF30_ByRubLot[[#This Row],[121-130]]/AF30_ByRubLot3[[Total Charge]:[Total Charge]])</f>
        <v>0</v>
      </c>
      <c r="P23">
        <f>(AF30_ByRubLot[[#This Row],[131-140]]/AF30_ByRubLot3[[Total Charge]:[Total Charge]])</f>
        <v>0</v>
      </c>
      <c r="Q23">
        <v>0</v>
      </c>
      <c r="R23">
        <v>0</v>
      </c>
      <c r="S23" t="s">
        <v>6</v>
      </c>
      <c r="T23">
        <v>13</v>
      </c>
      <c r="U23" s="112"/>
      <c r="V23">
        <v>1084.4444444444443</v>
      </c>
      <c r="W23">
        <v>0</v>
      </c>
      <c r="X23">
        <f t="shared" si="0"/>
        <v>0</v>
      </c>
      <c r="Y23">
        <f>SUM(AF30_ByRubLot3[[#This Row],[0-10]:[131-140]])</f>
        <v>1.0000000000000002</v>
      </c>
    </row>
    <row r="24" spans="1:25" x14ac:dyDescent="0.25">
      <c r="A24" t="s">
        <v>5</v>
      </c>
      <c r="B24" s="146" t="s">
        <v>151</v>
      </c>
      <c r="C24">
        <f>(AF30_ByRubLot[[#This Row],[0-10]]/AF30_ByRubLot3[[Total Charge]:[Total Charge]])</f>
        <v>0</v>
      </c>
      <c r="D24">
        <f>(AF30_ByRubLot[[#This Row],[11-20]]/AF30_ByRubLot3[[Total Charge]:[Total Charge]])</f>
        <v>0</v>
      </c>
      <c r="E24">
        <f>(AF30_ByRubLot[[#This Row],[21-30]]/AF30_ByRubLot3[[Total Charge]:[Total Charge]])</f>
        <v>0</v>
      </c>
      <c r="F24">
        <f>(AF30_ByRubLot[[#This Row],[31-40]]/AF30_ByRubLot3[[Total Charge]:[Total Charge]])</f>
        <v>7.6923076923076927E-2</v>
      </c>
      <c r="G24">
        <f>(AF30_ByRubLot[[#This Row],[41-50]]/AF30_ByRubLot3[[Total Charge]:[Total Charge]])</f>
        <v>0.15384615384615385</v>
      </c>
      <c r="H24">
        <f>(AF30_ByRubLot[[#This Row],[51-60]]/AF30_ByRubLot3[[Total Charge]:[Total Charge]])</f>
        <v>0.15384615384615385</v>
      </c>
      <c r="I24">
        <f>(AF30_ByRubLot[[#This Row],[61-70]]/AF30_ByRubLot3[[Total Charge]:[Total Charge]])</f>
        <v>7.6923076923076927E-2</v>
      </c>
      <c r="J24">
        <f>(AF30_ByRubLot[[#This Row],[71-80]]/AF30_ByRubLot3[[Total Charge]:[Total Charge]])</f>
        <v>7.6923076923076927E-2</v>
      </c>
      <c r="K24">
        <f>(AF30_ByRubLot[[#This Row],[81-90]]/AF30_ByRubLot3[[Total Charge]:[Total Charge]])</f>
        <v>0</v>
      </c>
      <c r="L24">
        <f>(AF30_ByRubLot[[#This Row],[91-100]]/AF30_ByRubLot3[[Total Charge]:[Total Charge]])</f>
        <v>0.15384615384615385</v>
      </c>
      <c r="M24">
        <f>(AF30_ByRubLot[[#This Row],[101-110]]/AF30_ByRubLot3[[Total Charge]:[Total Charge]])</f>
        <v>7.6923076923076927E-2</v>
      </c>
      <c r="N24">
        <f>(AF30_ByRubLot[[#This Row],[111-120]]/AF30_ByRubLot3[[Total Charge]:[Total Charge]])</f>
        <v>0.23076923076923078</v>
      </c>
      <c r="O24">
        <f>(AF30_ByRubLot[[#This Row],[121-130]]/AF30_ByRubLot3[[Total Charge]:[Total Charge]])</f>
        <v>0</v>
      </c>
      <c r="P24">
        <f>(AF30_ByRubLot[[#This Row],[131-140]]/AF30_ByRubLot3[[Total Charge]:[Total Charge]])</f>
        <v>0</v>
      </c>
      <c r="Q24">
        <v>0</v>
      </c>
      <c r="R24">
        <v>0</v>
      </c>
      <c r="S24" t="s">
        <v>6</v>
      </c>
      <c r="T24">
        <v>13</v>
      </c>
      <c r="U24" s="112"/>
      <c r="V24">
        <v>1044.4444444444446</v>
      </c>
      <c r="W24">
        <v>480</v>
      </c>
      <c r="X24">
        <f t="shared" si="0"/>
        <v>45.957446808510632</v>
      </c>
      <c r="Y24">
        <f>SUM(AF30_ByRubLot3[[#This Row],[0-10]:[131-140]])</f>
        <v>1.0000000000000002</v>
      </c>
    </row>
    <row r="25" spans="1:25" x14ac:dyDescent="0.25">
      <c r="A25" t="s">
        <v>5</v>
      </c>
      <c r="B25" s="146" t="s">
        <v>152</v>
      </c>
      <c r="C25">
        <f>(AF30_ByRubLot[[#This Row],[0-10]]/AF30_ByRubLot3[[Total Charge]:[Total Charge]])</f>
        <v>0</v>
      </c>
      <c r="D25">
        <f>(AF30_ByRubLot[[#This Row],[11-20]]/AF30_ByRubLot3[[Total Charge]:[Total Charge]])</f>
        <v>0</v>
      </c>
      <c r="E25">
        <f>(AF30_ByRubLot[[#This Row],[21-30]]/AF30_ByRubLot3[[Total Charge]:[Total Charge]])</f>
        <v>0</v>
      </c>
      <c r="F25">
        <f>(AF30_ByRubLot[[#This Row],[31-40]]/AF30_ByRubLot3[[Total Charge]:[Total Charge]])</f>
        <v>7.6923076923076927E-2</v>
      </c>
      <c r="G25">
        <f>(AF30_ByRubLot[[#This Row],[41-50]]/AF30_ByRubLot3[[Total Charge]:[Total Charge]])</f>
        <v>0.15384615384615385</v>
      </c>
      <c r="H25">
        <f>(AF30_ByRubLot[[#This Row],[51-60]]/AF30_ByRubLot3[[Total Charge]:[Total Charge]])</f>
        <v>0.15384615384615385</v>
      </c>
      <c r="I25">
        <f>(AF30_ByRubLot[[#This Row],[61-70]]/AF30_ByRubLot3[[Total Charge]:[Total Charge]])</f>
        <v>7.6923076923076927E-2</v>
      </c>
      <c r="J25">
        <f>(AF30_ByRubLot[[#This Row],[71-80]]/AF30_ByRubLot3[[Total Charge]:[Total Charge]])</f>
        <v>7.6923076923076927E-2</v>
      </c>
      <c r="K25">
        <f>(AF30_ByRubLot[[#This Row],[81-90]]/AF30_ByRubLot3[[Total Charge]:[Total Charge]])</f>
        <v>0</v>
      </c>
      <c r="L25">
        <f>(AF30_ByRubLot[[#This Row],[91-100]]/AF30_ByRubLot3[[Total Charge]:[Total Charge]])</f>
        <v>0.15384615384615385</v>
      </c>
      <c r="M25">
        <f>(AF30_ByRubLot[[#This Row],[101-110]]/AF30_ByRubLot3[[Total Charge]:[Total Charge]])</f>
        <v>7.6923076923076927E-2</v>
      </c>
      <c r="N25">
        <f>(AF30_ByRubLot[[#This Row],[111-120]]/AF30_ByRubLot3[[Total Charge]:[Total Charge]])</f>
        <v>0.23076923076923078</v>
      </c>
      <c r="O25">
        <f>(AF30_ByRubLot[[#This Row],[121-130]]/AF30_ByRubLot3[[Total Charge]:[Total Charge]])</f>
        <v>0</v>
      </c>
      <c r="P25">
        <f>(AF30_ByRubLot[[#This Row],[131-140]]/AF30_ByRubLot3[[Total Charge]:[Total Charge]])</f>
        <v>0</v>
      </c>
      <c r="Q25">
        <v>0</v>
      </c>
      <c r="R25">
        <v>0</v>
      </c>
      <c r="S25" t="s">
        <v>6</v>
      </c>
      <c r="T25">
        <v>13</v>
      </c>
      <c r="U25" s="112"/>
      <c r="V25">
        <v>1008.3333333333334</v>
      </c>
      <c r="W25">
        <v>0</v>
      </c>
      <c r="X25">
        <f t="shared" si="0"/>
        <v>0</v>
      </c>
      <c r="Y25">
        <f>SUM(AF30_ByRubLot3[[#This Row],[0-10]:[131-140]])</f>
        <v>1.0000000000000002</v>
      </c>
    </row>
    <row r="26" spans="1:25" x14ac:dyDescent="0.25">
      <c r="A26" t="s">
        <v>5</v>
      </c>
      <c r="B26" s="146" t="s">
        <v>153</v>
      </c>
      <c r="C26">
        <f>(AF30_ByRubLot[[#This Row],[0-10]]/AF30_ByRubLot3[[Total Charge]:[Total Charge]])</f>
        <v>0</v>
      </c>
      <c r="D26">
        <f>(AF30_ByRubLot[[#This Row],[11-20]]/AF30_ByRubLot3[[Total Charge]:[Total Charge]])</f>
        <v>0</v>
      </c>
      <c r="E26">
        <f>(AF30_ByRubLot[[#This Row],[21-30]]/AF30_ByRubLot3[[Total Charge]:[Total Charge]])</f>
        <v>0</v>
      </c>
      <c r="F26">
        <f>(AF30_ByRubLot[[#This Row],[31-40]]/AF30_ByRubLot3[[Total Charge]:[Total Charge]])</f>
        <v>7.6923076923076927E-2</v>
      </c>
      <c r="G26">
        <f>(AF30_ByRubLot[[#This Row],[41-50]]/AF30_ByRubLot3[[Total Charge]:[Total Charge]])</f>
        <v>0.15384615384615385</v>
      </c>
      <c r="H26">
        <f>(AF30_ByRubLot[[#This Row],[51-60]]/AF30_ByRubLot3[[Total Charge]:[Total Charge]])</f>
        <v>0.15384615384615385</v>
      </c>
      <c r="I26">
        <f>(AF30_ByRubLot[[#This Row],[61-70]]/AF30_ByRubLot3[[Total Charge]:[Total Charge]])</f>
        <v>7.6923076923076927E-2</v>
      </c>
      <c r="J26">
        <f>(AF30_ByRubLot[[#This Row],[71-80]]/AF30_ByRubLot3[[Total Charge]:[Total Charge]])</f>
        <v>7.6923076923076927E-2</v>
      </c>
      <c r="K26">
        <f>(AF30_ByRubLot[[#This Row],[81-90]]/AF30_ByRubLot3[[Total Charge]:[Total Charge]])</f>
        <v>0</v>
      </c>
      <c r="L26">
        <f>(AF30_ByRubLot[[#This Row],[91-100]]/AF30_ByRubLot3[[Total Charge]:[Total Charge]])</f>
        <v>0.15384615384615385</v>
      </c>
      <c r="M26">
        <f>(AF30_ByRubLot[[#This Row],[101-110]]/AF30_ByRubLot3[[Total Charge]:[Total Charge]])</f>
        <v>7.6923076923076927E-2</v>
      </c>
      <c r="N26">
        <f>(AF30_ByRubLot[[#This Row],[111-120]]/AF30_ByRubLot3[[Total Charge]:[Total Charge]])</f>
        <v>0.23076923076923078</v>
      </c>
      <c r="O26">
        <f>(AF30_ByRubLot[[#This Row],[121-130]]/AF30_ByRubLot3[[Total Charge]:[Total Charge]])</f>
        <v>0</v>
      </c>
      <c r="P26">
        <f>(AF30_ByRubLot[[#This Row],[131-140]]/AF30_ByRubLot3[[Total Charge]:[Total Charge]])</f>
        <v>0</v>
      </c>
      <c r="Q26">
        <v>0</v>
      </c>
      <c r="R26">
        <v>0</v>
      </c>
      <c r="S26" t="s">
        <v>6</v>
      </c>
      <c r="T26">
        <v>13</v>
      </c>
      <c r="U26" s="112"/>
      <c r="V26">
        <v>1976.6666666666667</v>
      </c>
      <c r="W26">
        <v>480</v>
      </c>
      <c r="X26">
        <f t="shared" si="0"/>
        <v>24.283305227655987</v>
      </c>
      <c r="Y26">
        <f>SUM(AF30_ByRubLot3[[#This Row],[0-10]:[131-140]])</f>
        <v>1.0000000000000002</v>
      </c>
    </row>
    <row r="27" spans="1:25" x14ac:dyDescent="0.25">
      <c r="A27" t="s">
        <v>5</v>
      </c>
      <c r="B27" s="146" t="s">
        <v>154</v>
      </c>
      <c r="C27">
        <f>(AF30_ByRubLot[[#This Row],[0-10]]/AF30_ByRubLot3[[Total Charge]:[Total Charge]])</f>
        <v>0</v>
      </c>
      <c r="D27">
        <f>(AF30_ByRubLot[[#This Row],[11-20]]/AF30_ByRubLot3[[Total Charge]:[Total Charge]])</f>
        <v>0</v>
      </c>
      <c r="E27">
        <f>(AF30_ByRubLot[[#This Row],[21-30]]/AF30_ByRubLot3[[Total Charge]:[Total Charge]])</f>
        <v>0</v>
      </c>
      <c r="F27">
        <f>(AF30_ByRubLot[[#This Row],[31-40]]/AF30_ByRubLot3[[Total Charge]:[Total Charge]])</f>
        <v>7.6923076923076927E-2</v>
      </c>
      <c r="G27">
        <f>(AF30_ByRubLot[[#This Row],[41-50]]/AF30_ByRubLot3[[Total Charge]:[Total Charge]])</f>
        <v>0.15384615384615385</v>
      </c>
      <c r="H27">
        <f>(AF30_ByRubLot[[#This Row],[51-60]]/AF30_ByRubLot3[[Total Charge]:[Total Charge]])</f>
        <v>0.15384615384615385</v>
      </c>
      <c r="I27">
        <f>(AF30_ByRubLot[[#This Row],[61-70]]/AF30_ByRubLot3[[Total Charge]:[Total Charge]])</f>
        <v>7.6923076923076927E-2</v>
      </c>
      <c r="J27">
        <f>(AF30_ByRubLot[[#This Row],[71-80]]/AF30_ByRubLot3[[Total Charge]:[Total Charge]])</f>
        <v>7.6923076923076927E-2</v>
      </c>
      <c r="K27">
        <f>(AF30_ByRubLot[[#This Row],[81-90]]/AF30_ByRubLot3[[Total Charge]:[Total Charge]])</f>
        <v>0</v>
      </c>
      <c r="L27">
        <f>(AF30_ByRubLot[[#This Row],[91-100]]/AF30_ByRubLot3[[Total Charge]:[Total Charge]])</f>
        <v>0.15384615384615385</v>
      </c>
      <c r="M27">
        <f>(AF30_ByRubLot[[#This Row],[101-110]]/AF30_ByRubLot3[[Total Charge]:[Total Charge]])</f>
        <v>7.6923076923076927E-2</v>
      </c>
      <c r="N27">
        <f>(AF30_ByRubLot[[#This Row],[111-120]]/AF30_ByRubLot3[[Total Charge]:[Total Charge]])</f>
        <v>0.23076923076923078</v>
      </c>
      <c r="O27">
        <f>(AF30_ByRubLot[[#This Row],[121-130]]/AF30_ByRubLot3[[Total Charge]:[Total Charge]])</f>
        <v>0</v>
      </c>
      <c r="P27">
        <f>(AF30_ByRubLot[[#This Row],[131-140]]/AF30_ByRubLot3[[Total Charge]:[Total Charge]])</f>
        <v>0</v>
      </c>
      <c r="Q27">
        <v>0</v>
      </c>
      <c r="R27">
        <v>0</v>
      </c>
      <c r="S27" t="s">
        <v>6</v>
      </c>
      <c r="T27">
        <v>13</v>
      </c>
      <c r="U27" s="112"/>
      <c r="V27">
        <v>964.44444444444434</v>
      </c>
      <c r="W27">
        <v>0</v>
      </c>
      <c r="X27">
        <f t="shared" si="0"/>
        <v>0</v>
      </c>
      <c r="Y27">
        <f>SUM(AF30_ByRubLot3[[#This Row],[0-10]:[131-140]])</f>
        <v>1.0000000000000002</v>
      </c>
    </row>
    <row r="28" spans="1:25" x14ac:dyDescent="0.25">
      <c r="A28" t="s">
        <v>157</v>
      </c>
      <c r="B28" s="146" t="s">
        <v>158</v>
      </c>
      <c r="C28">
        <f>(AF30_ByRubLot[[#This Row],[0-10]]/AF30_ByRubLot3[[Total Charge]:[Total Charge]])</f>
        <v>0</v>
      </c>
      <c r="D28">
        <f>(AF30_ByRubLot[[#This Row],[11-20]]/AF30_ByRubLot3[[Total Charge]:[Total Charge]])</f>
        <v>0</v>
      </c>
      <c r="E28">
        <f>(AF30_ByRubLot[[#This Row],[21-30]]/AF30_ByRubLot3[[Total Charge]:[Total Charge]])</f>
        <v>0</v>
      </c>
      <c r="F28">
        <f>(AF30_ByRubLot[[#This Row],[31-40]]/AF30_ByRubLot3[[Total Charge]:[Total Charge]])</f>
        <v>0</v>
      </c>
      <c r="G28">
        <f>(AF30_ByRubLot[[#This Row],[41-50]]/AF30_ByRubLot3[[Total Charge]:[Total Charge]])</f>
        <v>0.16666666666666666</v>
      </c>
      <c r="H28">
        <f>(AF30_ByRubLot[[#This Row],[51-60]]/AF30_ByRubLot3[[Total Charge]:[Total Charge]])</f>
        <v>0.16666666666666666</v>
      </c>
      <c r="I28">
        <f>(AF30_ByRubLot[[#This Row],[61-70]]/AF30_ByRubLot3[[Total Charge]:[Total Charge]])</f>
        <v>0.16666666666666666</v>
      </c>
      <c r="J28">
        <f>(AF30_ByRubLot[[#This Row],[71-80]]/AF30_ByRubLot3[[Total Charge]:[Total Charge]])</f>
        <v>0</v>
      </c>
      <c r="K28">
        <f>(AF30_ByRubLot[[#This Row],[81-90]]/AF30_ByRubLot3[[Total Charge]:[Total Charge]])</f>
        <v>0</v>
      </c>
      <c r="L28">
        <f>(AF30_ByRubLot[[#This Row],[91-100]]/AF30_ByRubLot3[[Total Charge]:[Total Charge]])</f>
        <v>0.33333333333333331</v>
      </c>
      <c r="M28">
        <f>(AF30_ByRubLot[[#This Row],[101-110]]/AF30_ByRubLot3[[Total Charge]:[Total Charge]])</f>
        <v>0.16666666666666666</v>
      </c>
      <c r="N28">
        <f>(AF30_ByRubLot[[#This Row],[111-120]]/AF30_ByRubLot3[[Total Charge]:[Total Charge]])</f>
        <v>0</v>
      </c>
      <c r="O28">
        <f>(AF30_ByRubLot[[#This Row],[121-130]]/AF30_ByRubLot3[[Total Charge]:[Total Charge]])</f>
        <v>0</v>
      </c>
      <c r="P28">
        <f>(AF30_ByRubLot[[#This Row],[131-140]]/AF30_ByRubLot3[[Total Charge]:[Total Charge]])</f>
        <v>0</v>
      </c>
      <c r="Q28">
        <v>0</v>
      </c>
      <c r="R28">
        <v>0</v>
      </c>
      <c r="S28" t="s">
        <v>6</v>
      </c>
      <c r="T28">
        <v>6</v>
      </c>
      <c r="U28" s="112"/>
      <c r="V28">
        <v>1075</v>
      </c>
      <c r="W28">
        <v>1161.6666599999999</v>
      </c>
      <c r="X28">
        <f>(W28/V28)*100</f>
        <v>108.06201488372092</v>
      </c>
      <c r="Y28">
        <f>SUM(AF30_ByRubLot3[[#This Row],[0-10]:[131-140]])</f>
        <v>0.99999999999999989</v>
      </c>
    </row>
    <row r="29" spans="1:25" x14ac:dyDescent="0.25">
      <c r="A29" t="s">
        <v>157</v>
      </c>
      <c r="B29" s="146" t="s">
        <v>159</v>
      </c>
      <c r="C29">
        <f>(AF30_ByRubLot[[#This Row],[0-10]]/AF30_ByRubLot3[[Total Charge]:[Total Charge]])</f>
        <v>0</v>
      </c>
      <c r="D29">
        <f>(AF30_ByRubLot[[#This Row],[11-20]]/AF30_ByRubLot3[[Total Charge]:[Total Charge]])</f>
        <v>0</v>
      </c>
      <c r="E29">
        <f>(AF30_ByRubLot[[#This Row],[21-30]]/AF30_ByRubLot3[[Total Charge]:[Total Charge]])</f>
        <v>0</v>
      </c>
      <c r="F29">
        <f>(AF30_ByRubLot[[#This Row],[31-40]]/AF30_ByRubLot3[[Total Charge]:[Total Charge]])</f>
        <v>0</v>
      </c>
      <c r="G29">
        <f>(AF30_ByRubLot[[#This Row],[41-50]]/AF30_ByRubLot3[[Total Charge]:[Total Charge]])</f>
        <v>0.16666666666666666</v>
      </c>
      <c r="H29">
        <f>(AF30_ByRubLot[[#This Row],[51-60]]/AF30_ByRubLot3[[Total Charge]:[Total Charge]])</f>
        <v>0.16666666666666666</v>
      </c>
      <c r="I29">
        <f>(AF30_ByRubLot[[#This Row],[61-70]]/AF30_ByRubLot3[[Total Charge]:[Total Charge]])</f>
        <v>0.16666666666666666</v>
      </c>
      <c r="J29">
        <f>(AF30_ByRubLot[[#This Row],[71-80]]/AF30_ByRubLot3[[Total Charge]:[Total Charge]])</f>
        <v>0</v>
      </c>
      <c r="K29">
        <f>(AF30_ByRubLot[[#This Row],[81-90]]/AF30_ByRubLot3[[Total Charge]:[Total Charge]])</f>
        <v>0</v>
      </c>
      <c r="L29">
        <f>(AF30_ByRubLot[[#This Row],[91-100]]/AF30_ByRubLot3[[Total Charge]:[Total Charge]])</f>
        <v>0.33333333333333331</v>
      </c>
      <c r="M29">
        <f>(AF30_ByRubLot[[#This Row],[101-110]]/AF30_ByRubLot3[[Total Charge]:[Total Charge]])</f>
        <v>0.16666666666666666</v>
      </c>
      <c r="N29">
        <f>(AF30_ByRubLot[[#This Row],[111-120]]/AF30_ByRubLot3[[Total Charge]:[Total Charge]])</f>
        <v>0</v>
      </c>
      <c r="O29">
        <f>(AF30_ByRubLot[[#This Row],[121-130]]/AF30_ByRubLot3[[Total Charge]:[Total Charge]])</f>
        <v>0</v>
      </c>
      <c r="P29">
        <f>(AF30_ByRubLot[[#This Row],[131-140]]/AF30_ByRubLot3[[Total Charge]:[Total Charge]])</f>
        <v>0</v>
      </c>
      <c r="Q29">
        <v>0</v>
      </c>
      <c r="R29">
        <v>0</v>
      </c>
      <c r="S29" t="s">
        <v>6</v>
      </c>
      <c r="T29">
        <v>6</v>
      </c>
      <c r="U29" s="112"/>
      <c r="V29">
        <v>673.88888888888891</v>
      </c>
      <c r="W29">
        <v>0</v>
      </c>
      <c r="X29">
        <f t="shared" ref="X29:X33" si="1">(W29/V29)*100</f>
        <v>0</v>
      </c>
      <c r="Y29">
        <f>SUM(AF30_ByRubLot3[[#This Row],[0-10]:[131-140]])</f>
        <v>0.99999999999999989</v>
      </c>
    </row>
    <row r="30" spans="1:25" x14ac:dyDescent="0.25">
      <c r="A30" t="s">
        <v>157</v>
      </c>
      <c r="B30" s="146" t="s">
        <v>160</v>
      </c>
      <c r="C30">
        <f>(AF30_ByRubLot[[#This Row],[0-10]]/AF30_ByRubLot3[[Total Charge]:[Total Charge]])</f>
        <v>0</v>
      </c>
      <c r="D30">
        <f>(AF30_ByRubLot[[#This Row],[11-20]]/AF30_ByRubLot3[[Total Charge]:[Total Charge]])</f>
        <v>0</v>
      </c>
      <c r="E30">
        <f>(AF30_ByRubLot[[#This Row],[21-30]]/AF30_ByRubLot3[[Total Charge]:[Total Charge]])</f>
        <v>0</v>
      </c>
      <c r="F30">
        <f>(AF30_ByRubLot[[#This Row],[31-40]]/AF30_ByRubLot3[[Total Charge]:[Total Charge]])</f>
        <v>0</v>
      </c>
      <c r="G30">
        <f>(AF30_ByRubLot[[#This Row],[41-50]]/AF30_ByRubLot3[[Total Charge]:[Total Charge]])</f>
        <v>0.16666666666666666</v>
      </c>
      <c r="H30">
        <f>(AF30_ByRubLot[[#This Row],[51-60]]/AF30_ByRubLot3[[Total Charge]:[Total Charge]])</f>
        <v>0.16666666666666666</v>
      </c>
      <c r="I30">
        <f>(AF30_ByRubLot[[#This Row],[61-70]]/AF30_ByRubLot3[[Total Charge]:[Total Charge]])</f>
        <v>0.16666666666666666</v>
      </c>
      <c r="J30">
        <f>(AF30_ByRubLot[[#This Row],[71-80]]/AF30_ByRubLot3[[Total Charge]:[Total Charge]])</f>
        <v>0</v>
      </c>
      <c r="K30">
        <f>(AF30_ByRubLot[[#This Row],[81-90]]/AF30_ByRubLot3[[Total Charge]:[Total Charge]])</f>
        <v>0</v>
      </c>
      <c r="L30">
        <f>(AF30_ByRubLot[[#This Row],[91-100]]/AF30_ByRubLot3[[Total Charge]:[Total Charge]])</f>
        <v>0.33333333333333331</v>
      </c>
      <c r="M30">
        <f>(AF30_ByRubLot[[#This Row],[101-110]]/AF30_ByRubLot3[[Total Charge]:[Total Charge]])</f>
        <v>0.16666666666666666</v>
      </c>
      <c r="N30">
        <f>(AF30_ByRubLot[[#This Row],[111-120]]/AF30_ByRubLot3[[Total Charge]:[Total Charge]])</f>
        <v>0</v>
      </c>
      <c r="O30">
        <f>(AF30_ByRubLot[[#This Row],[121-130]]/AF30_ByRubLot3[[Total Charge]:[Total Charge]])</f>
        <v>0</v>
      </c>
      <c r="P30">
        <f>(AF30_ByRubLot[[#This Row],[131-140]]/AF30_ByRubLot3[[Total Charge]:[Total Charge]])</f>
        <v>0</v>
      </c>
      <c r="Q30">
        <v>0</v>
      </c>
      <c r="R30">
        <v>0</v>
      </c>
      <c r="S30" t="s">
        <v>6</v>
      </c>
      <c r="T30">
        <v>6</v>
      </c>
      <c r="U30" s="112"/>
      <c r="V30">
        <v>1047.2222222222222</v>
      </c>
      <c r="W30">
        <v>520</v>
      </c>
      <c r="X30">
        <f t="shared" si="1"/>
        <v>49.65517241379311</v>
      </c>
      <c r="Y30">
        <f>SUM(AF30_ByRubLot3[[#This Row],[0-10]:[131-140]])</f>
        <v>0.99999999999999989</v>
      </c>
    </row>
    <row r="31" spans="1:25" x14ac:dyDescent="0.25">
      <c r="A31" t="s">
        <v>157</v>
      </c>
      <c r="B31" s="146" t="s">
        <v>161</v>
      </c>
      <c r="C31">
        <f>(AF30_ByRubLot[[#This Row],[0-10]]/AF30_ByRubLot3[[Total Charge]:[Total Charge]])</f>
        <v>0</v>
      </c>
      <c r="D31">
        <f>(AF30_ByRubLot[[#This Row],[11-20]]/AF30_ByRubLot3[[Total Charge]:[Total Charge]])</f>
        <v>0</v>
      </c>
      <c r="E31">
        <f>(AF30_ByRubLot[[#This Row],[21-30]]/AF30_ByRubLot3[[Total Charge]:[Total Charge]])</f>
        <v>0</v>
      </c>
      <c r="F31">
        <f>(AF30_ByRubLot[[#This Row],[31-40]]/AF30_ByRubLot3[[Total Charge]:[Total Charge]])</f>
        <v>0</v>
      </c>
      <c r="G31">
        <f>(AF30_ByRubLot[[#This Row],[41-50]]/AF30_ByRubLot3[[Total Charge]:[Total Charge]])</f>
        <v>0.16666666666666666</v>
      </c>
      <c r="H31">
        <f>(AF30_ByRubLot[[#This Row],[51-60]]/AF30_ByRubLot3[[Total Charge]:[Total Charge]])</f>
        <v>0.16666666666666666</v>
      </c>
      <c r="I31">
        <f>(AF30_ByRubLot[[#This Row],[61-70]]/AF30_ByRubLot3[[Total Charge]:[Total Charge]])</f>
        <v>0.16666666666666666</v>
      </c>
      <c r="J31">
        <f>(AF30_ByRubLot[[#This Row],[71-80]]/AF30_ByRubLot3[[Total Charge]:[Total Charge]])</f>
        <v>0</v>
      </c>
      <c r="K31">
        <f>(AF30_ByRubLot[[#This Row],[81-90]]/AF30_ByRubLot3[[Total Charge]:[Total Charge]])</f>
        <v>0</v>
      </c>
      <c r="L31">
        <f>(AF30_ByRubLot[[#This Row],[91-100]]/AF30_ByRubLot3[[Total Charge]:[Total Charge]])</f>
        <v>0.33333333333333331</v>
      </c>
      <c r="M31">
        <f>(AF30_ByRubLot[[#This Row],[101-110]]/AF30_ByRubLot3[[Total Charge]:[Total Charge]])</f>
        <v>0.16666666666666666</v>
      </c>
      <c r="N31">
        <f>(AF30_ByRubLot[[#This Row],[111-120]]/AF30_ByRubLot3[[Total Charge]:[Total Charge]])</f>
        <v>0</v>
      </c>
      <c r="O31">
        <f>(AF30_ByRubLot[[#This Row],[121-130]]/AF30_ByRubLot3[[Total Charge]:[Total Charge]])</f>
        <v>0</v>
      </c>
      <c r="P31">
        <f>(AF30_ByRubLot[[#This Row],[131-140]]/AF30_ByRubLot3[[Total Charge]:[Total Charge]])</f>
        <v>0</v>
      </c>
      <c r="Q31">
        <v>0</v>
      </c>
      <c r="R31">
        <v>0</v>
      </c>
      <c r="S31" t="s">
        <v>6</v>
      </c>
      <c r="T31">
        <v>6</v>
      </c>
      <c r="U31" s="112"/>
      <c r="V31">
        <v>645</v>
      </c>
      <c r="W31">
        <v>440</v>
      </c>
      <c r="X31">
        <f t="shared" si="1"/>
        <v>68.217054263565885</v>
      </c>
      <c r="Y31">
        <f>SUM(AF30_ByRubLot3[[#This Row],[0-10]:[131-140]])</f>
        <v>0.99999999999999989</v>
      </c>
    </row>
    <row r="32" spans="1:25" x14ac:dyDescent="0.25">
      <c r="A32" t="s">
        <v>157</v>
      </c>
      <c r="B32" s="146" t="s">
        <v>162</v>
      </c>
      <c r="C32">
        <f>(AF30_ByRubLot[[#This Row],[0-10]]/AF30_ByRubLot3[[Total Charge]:[Total Charge]])</f>
        <v>0</v>
      </c>
      <c r="D32">
        <f>(AF30_ByRubLot[[#This Row],[11-20]]/AF30_ByRubLot3[[Total Charge]:[Total Charge]])</f>
        <v>0</v>
      </c>
      <c r="E32">
        <f>(AF30_ByRubLot[[#This Row],[21-30]]/AF30_ByRubLot3[[Total Charge]:[Total Charge]])</f>
        <v>0</v>
      </c>
      <c r="F32">
        <f>(AF30_ByRubLot[[#This Row],[31-40]]/AF30_ByRubLot3[[Total Charge]:[Total Charge]])</f>
        <v>0</v>
      </c>
      <c r="G32">
        <f>(AF30_ByRubLot[[#This Row],[41-50]]/AF30_ByRubLot3[[Total Charge]:[Total Charge]])</f>
        <v>0.16666666666666666</v>
      </c>
      <c r="H32">
        <f>(AF30_ByRubLot[[#This Row],[51-60]]/AF30_ByRubLot3[[Total Charge]:[Total Charge]])</f>
        <v>0.16666666666666666</v>
      </c>
      <c r="I32">
        <f>(AF30_ByRubLot[[#This Row],[61-70]]/AF30_ByRubLot3[[Total Charge]:[Total Charge]])</f>
        <v>0.16666666666666666</v>
      </c>
      <c r="J32">
        <f>(AF30_ByRubLot[[#This Row],[71-80]]/AF30_ByRubLot3[[Total Charge]:[Total Charge]])</f>
        <v>0</v>
      </c>
      <c r="K32">
        <f>(AF30_ByRubLot[[#This Row],[81-90]]/AF30_ByRubLot3[[Total Charge]:[Total Charge]])</f>
        <v>0</v>
      </c>
      <c r="L32">
        <f>(AF30_ByRubLot[[#This Row],[91-100]]/AF30_ByRubLot3[[Total Charge]:[Total Charge]])</f>
        <v>0.33333333333333331</v>
      </c>
      <c r="M32">
        <f>(AF30_ByRubLot[[#This Row],[101-110]]/AF30_ByRubLot3[[Total Charge]:[Total Charge]])</f>
        <v>0.16666666666666666</v>
      </c>
      <c r="N32">
        <f>(AF30_ByRubLot[[#This Row],[111-120]]/AF30_ByRubLot3[[Total Charge]:[Total Charge]])</f>
        <v>0</v>
      </c>
      <c r="O32">
        <f>(AF30_ByRubLot[[#This Row],[121-130]]/AF30_ByRubLot3[[Total Charge]:[Total Charge]])</f>
        <v>0</v>
      </c>
      <c r="P32">
        <f>(AF30_ByRubLot[[#This Row],[131-140]]/AF30_ByRubLot3[[Total Charge]:[Total Charge]])</f>
        <v>0</v>
      </c>
      <c r="Q32">
        <v>0</v>
      </c>
      <c r="R32">
        <v>0</v>
      </c>
      <c r="S32" t="s">
        <v>6</v>
      </c>
      <c r="T32">
        <v>6</v>
      </c>
      <c r="U32" s="112"/>
      <c r="V32">
        <v>1953.3333333333335</v>
      </c>
      <c r="W32">
        <v>1121.6666599999999</v>
      </c>
      <c r="X32">
        <f t="shared" si="1"/>
        <v>57.423207849829339</v>
      </c>
      <c r="Y32">
        <f>SUM(AF30_ByRubLot3[[#This Row],[0-10]:[131-140]])</f>
        <v>0.99999999999999989</v>
      </c>
    </row>
    <row r="33" spans="1:25" x14ac:dyDescent="0.25">
      <c r="A33" t="s">
        <v>157</v>
      </c>
      <c r="B33" s="146" t="s">
        <v>163</v>
      </c>
      <c r="C33">
        <f>(AF30_ByRubLot[[#This Row],[0-10]]/AF30_ByRubLot3[[Total Charge]:[Total Charge]])</f>
        <v>0</v>
      </c>
      <c r="D33">
        <f>(AF30_ByRubLot[[#This Row],[11-20]]/AF30_ByRubLot3[[Total Charge]:[Total Charge]])</f>
        <v>0</v>
      </c>
      <c r="E33">
        <f>(AF30_ByRubLot[[#This Row],[21-30]]/AF30_ByRubLot3[[Total Charge]:[Total Charge]])</f>
        <v>0</v>
      </c>
      <c r="F33">
        <f>(AF30_ByRubLot[[#This Row],[31-40]]/AF30_ByRubLot3[[Total Charge]:[Total Charge]])</f>
        <v>0</v>
      </c>
      <c r="G33">
        <f>(AF30_ByRubLot[[#This Row],[41-50]]/AF30_ByRubLot3[[Total Charge]:[Total Charge]])</f>
        <v>0.16666666666666666</v>
      </c>
      <c r="H33">
        <f>(AF30_ByRubLot[[#This Row],[51-60]]/AF30_ByRubLot3[[Total Charge]:[Total Charge]])</f>
        <v>0.16666666666666666</v>
      </c>
      <c r="I33">
        <f>(AF30_ByRubLot[[#This Row],[61-70]]/AF30_ByRubLot3[[Total Charge]:[Total Charge]])</f>
        <v>0.16666666666666666</v>
      </c>
      <c r="J33">
        <f>(AF30_ByRubLot[[#This Row],[71-80]]/AF30_ByRubLot3[[Total Charge]:[Total Charge]])</f>
        <v>0</v>
      </c>
      <c r="K33">
        <f>(AF30_ByRubLot[[#This Row],[81-90]]/AF30_ByRubLot3[[Total Charge]:[Total Charge]])</f>
        <v>0</v>
      </c>
      <c r="L33">
        <f>(AF30_ByRubLot[[#This Row],[91-100]]/AF30_ByRubLot3[[Total Charge]:[Total Charge]])</f>
        <v>0.33333333333333331</v>
      </c>
      <c r="M33">
        <f>(AF30_ByRubLot[[#This Row],[101-110]]/AF30_ByRubLot3[[Total Charge]:[Total Charge]])</f>
        <v>0.16666666666666666</v>
      </c>
      <c r="N33">
        <f>(AF30_ByRubLot[[#This Row],[111-120]]/AF30_ByRubLot3[[Total Charge]:[Total Charge]])</f>
        <v>0</v>
      </c>
      <c r="O33">
        <f>(AF30_ByRubLot[[#This Row],[121-130]]/AF30_ByRubLot3[[Total Charge]:[Total Charge]])</f>
        <v>0</v>
      </c>
      <c r="P33">
        <f>(AF30_ByRubLot[[#This Row],[131-140]]/AF30_ByRubLot3[[Total Charge]:[Total Charge]])</f>
        <v>0</v>
      </c>
      <c r="Q33">
        <v>0</v>
      </c>
      <c r="R33">
        <v>0</v>
      </c>
      <c r="S33" t="s">
        <v>6</v>
      </c>
      <c r="T33">
        <v>6</v>
      </c>
      <c r="U33" s="112"/>
      <c r="V33">
        <v>2113.8888888888887</v>
      </c>
      <c r="W33">
        <v>560</v>
      </c>
      <c r="X33">
        <f t="shared" si="1"/>
        <v>26.491458607095929</v>
      </c>
      <c r="Y33">
        <f>SUM(AF30_ByRubLot3[[#This Row],[0-10]:[131-140]])</f>
        <v>0.99999999999999989</v>
      </c>
    </row>
    <row r="34" spans="1:25" x14ac:dyDescent="0.25">
      <c r="A34" t="s">
        <v>17</v>
      </c>
      <c r="B34" s="146" t="s">
        <v>164</v>
      </c>
      <c r="C34">
        <f>(AF30_ByRubLot[[#This Row],[0-10]]/AF30_ByRubLot3[[Total Charge]:[Total Charge]])</f>
        <v>0</v>
      </c>
      <c r="D34">
        <f>(AF30_ByRubLot[[#This Row],[11-20]]/AF30_ByRubLot3[[Total Charge]:[Total Charge]])</f>
        <v>0</v>
      </c>
      <c r="E34">
        <f>(AF30_ByRubLot[[#This Row],[21-30]]/AF30_ByRubLot3[[Total Charge]:[Total Charge]])</f>
        <v>0.1</v>
      </c>
      <c r="F34">
        <f>(AF30_ByRubLot[[#This Row],[31-40]]/AF30_ByRubLot3[[Total Charge]:[Total Charge]])</f>
        <v>0</v>
      </c>
      <c r="G34">
        <f>(AF30_ByRubLot[[#This Row],[41-50]]/AF30_ByRubLot3[[Total Charge]:[Total Charge]])</f>
        <v>0</v>
      </c>
      <c r="H34">
        <f>(AF30_ByRubLot[[#This Row],[51-60]]/AF30_ByRubLot3[[Total Charge]:[Total Charge]])</f>
        <v>0.2</v>
      </c>
      <c r="I34">
        <f>(AF30_ByRubLot[[#This Row],[61-70]]/AF30_ByRubLot3[[Total Charge]:[Total Charge]])</f>
        <v>0</v>
      </c>
      <c r="J34">
        <f>(AF30_ByRubLot[[#This Row],[71-80]]/AF30_ByRubLot3[[Total Charge]:[Total Charge]])</f>
        <v>0</v>
      </c>
      <c r="K34">
        <f>(AF30_ByRubLot[[#This Row],[81-90]]/AF30_ByRubLot3[[Total Charge]:[Total Charge]])</f>
        <v>0.1</v>
      </c>
      <c r="L34">
        <f>(AF30_ByRubLot[[#This Row],[91-100]]/AF30_ByRubLot3[[Total Charge]:[Total Charge]])</f>
        <v>0</v>
      </c>
      <c r="M34">
        <f>(AF30_ByRubLot[[#This Row],[101-110]]/AF30_ByRubLot3[[Total Charge]:[Total Charge]])</f>
        <v>0.3</v>
      </c>
      <c r="N34">
        <f>(AF30_ByRubLot[[#This Row],[111-120]]/AF30_ByRubLot3[[Total Charge]:[Total Charge]])</f>
        <v>0</v>
      </c>
      <c r="O34">
        <f>(AF30_ByRubLot[[#This Row],[121-130]]/AF30_ByRubLot3[[Total Charge]:[Total Charge]])</f>
        <v>0.3</v>
      </c>
      <c r="P34">
        <f>(AF30_ByRubLot[[#This Row],[131-140]]/AF30_ByRubLot3[[Total Charge]:[Total Charge]])</f>
        <v>0</v>
      </c>
      <c r="Q34">
        <v>0</v>
      </c>
      <c r="R34">
        <v>0</v>
      </c>
      <c r="S34" t="s">
        <v>6</v>
      </c>
      <c r="T34">
        <v>10</v>
      </c>
      <c r="U34" s="112"/>
      <c r="V34" s="146">
        <v>930.55555555555554</v>
      </c>
      <c r="W34">
        <v>560</v>
      </c>
      <c r="X34">
        <f>(W34/V34)*100</f>
        <v>60.179104477611943</v>
      </c>
      <c r="Y34">
        <f>SUM(AF30_ByRubLot3[[#This Row],[0-10]:[131-140]])</f>
        <v>1</v>
      </c>
    </row>
    <row r="35" spans="1:25" x14ac:dyDescent="0.25">
      <c r="A35" t="s">
        <v>17</v>
      </c>
      <c r="B35" s="146" t="s">
        <v>165</v>
      </c>
      <c r="C35">
        <f>(AF30_ByRubLot[[#This Row],[0-10]]/AF30_ByRubLot3[[Total Charge]:[Total Charge]])</f>
        <v>0</v>
      </c>
      <c r="D35">
        <f>(AF30_ByRubLot[[#This Row],[11-20]]/AF30_ByRubLot3[[Total Charge]:[Total Charge]])</f>
        <v>0</v>
      </c>
      <c r="E35">
        <f>(AF30_ByRubLot[[#This Row],[21-30]]/AF30_ByRubLot3[[Total Charge]:[Total Charge]])</f>
        <v>0.1</v>
      </c>
      <c r="F35">
        <f>(AF30_ByRubLot[[#This Row],[31-40]]/AF30_ByRubLot3[[Total Charge]:[Total Charge]])</f>
        <v>0</v>
      </c>
      <c r="G35">
        <f>(AF30_ByRubLot[[#This Row],[41-50]]/AF30_ByRubLot3[[Total Charge]:[Total Charge]])</f>
        <v>0</v>
      </c>
      <c r="H35">
        <f>(AF30_ByRubLot[[#This Row],[51-60]]/AF30_ByRubLot3[[Total Charge]:[Total Charge]])</f>
        <v>0.2</v>
      </c>
      <c r="I35">
        <f>(AF30_ByRubLot[[#This Row],[61-70]]/AF30_ByRubLot3[[Total Charge]:[Total Charge]])</f>
        <v>0</v>
      </c>
      <c r="J35">
        <f>(AF30_ByRubLot[[#This Row],[71-80]]/AF30_ByRubLot3[[Total Charge]:[Total Charge]])</f>
        <v>0</v>
      </c>
      <c r="K35">
        <f>(AF30_ByRubLot[[#This Row],[81-90]]/AF30_ByRubLot3[[Total Charge]:[Total Charge]])</f>
        <v>0.1</v>
      </c>
      <c r="L35">
        <f>(AF30_ByRubLot[[#This Row],[91-100]]/AF30_ByRubLot3[[Total Charge]:[Total Charge]])</f>
        <v>0</v>
      </c>
      <c r="M35">
        <f>(AF30_ByRubLot[[#This Row],[101-110]]/AF30_ByRubLot3[[Total Charge]:[Total Charge]])</f>
        <v>0.3</v>
      </c>
      <c r="N35">
        <f>(AF30_ByRubLot[[#This Row],[111-120]]/AF30_ByRubLot3[[Total Charge]:[Total Charge]])</f>
        <v>0</v>
      </c>
      <c r="O35">
        <f>(AF30_ByRubLot[[#This Row],[121-130]]/AF30_ByRubLot3[[Total Charge]:[Total Charge]])</f>
        <v>0.3</v>
      </c>
      <c r="P35">
        <f>(AF30_ByRubLot[[#This Row],[131-140]]/AF30_ByRubLot3[[Total Charge]:[Total Charge]])</f>
        <v>0</v>
      </c>
      <c r="Q35">
        <v>0</v>
      </c>
      <c r="R35">
        <v>0</v>
      </c>
      <c r="S35" t="s">
        <v>6</v>
      </c>
      <c r="T35">
        <v>10</v>
      </c>
      <c r="U35" s="112"/>
      <c r="V35" s="146">
        <v>955.55555555555554</v>
      </c>
      <c r="W35">
        <v>885.33327999999995</v>
      </c>
      <c r="X35">
        <f>(W35/V35)*100</f>
        <v>92.651157209302326</v>
      </c>
      <c r="Y35">
        <f>SUM(AF30_ByRubLot3[[#This Row],[0-10]:[131-140]])</f>
        <v>1</v>
      </c>
    </row>
    <row r="36" spans="1:25" x14ac:dyDescent="0.25">
      <c r="A36" t="s">
        <v>17</v>
      </c>
      <c r="B36" s="146" t="s">
        <v>166</v>
      </c>
      <c r="C36">
        <f>(AF30_ByRubLot[[#This Row],[0-10]]/AF30_ByRubLot3[[Total Charge]:[Total Charge]])</f>
        <v>0</v>
      </c>
      <c r="D36">
        <f>(AF30_ByRubLot[[#This Row],[11-20]]/AF30_ByRubLot3[[Total Charge]:[Total Charge]])</f>
        <v>0</v>
      </c>
      <c r="E36">
        <f>(AF30_ByRubLot[[#This Row],[21-30]]/AF30_ByRubLot3[[Total Charge]:[Total Charge]])</f>
        <v>0.1</v>
      </c>
      <c r="F36">
        <f>(AF30_ByRubLot[[#This Row],[31-40]]/AF30_ByRubLot3[[Total Charge]:[Total Charge]])</f>
        <v>0</v>
      </c>
      <c r="G36">
        <f>(AF30_ByRubLot[[#This Row],[41-50]]/AF30_ByRubLot3[[Total Charge]:[Total Charge]])</f>
        <v>0</v>
      </c>
      <c r="H36">
        <f>(AF30_ByRubLot[[#This Row],[51-60]]/AF30_ByRubLot3[[Total Charge]:[Total Charge]])</f>
        <v>0.2</v>
      </c>
      <c r="I36">
        <f>(AF30_ByRubLot[[#This Row],[61-70]]/AF30_ByRubLot3[[Total Charge]:[Total Charge]])</f>
        <v>0</v>
      </c>
      <c r="J36">
        <f>(AF30_ByRubLot[[#This Row],[71-80]]/AF30_ByRubLot3[[Total Charge]:[Total Charge]])</f>
        <v>0</v>
      </c>
      <c r="K36">
        <f>(AF30_ByRubLot[[#This Row],[81-90]]/AF30_ByRubLot3[[Total Charge]:[Total Charge]])</f>
        <v>0.1</v>
      </c>
      <c r="L36">
        <f>(AF30_ByRubLot[[#This Row],[91-100]]/AF30_ByRubLot3[[Total Charge]:[Total Charge]])</f>
        <v>0</v>
      </c>
      <c r="M36">
        <f>(AF30_ByRubLot[[#This Row],[101-110]]/AF30_ByRubLot3[[Total Charge]:[Total Charge]])</f>
        <v>0.3</v>
      </c>
      <c r="N36">
        <f>(AF30_ByRubLot[[#This Row],[111-120]]/AF30_ByRubLot3[[Total Charge]:[Total Charge]])</f>
        <v>0</v>
      </c>
      <c r="O36">
        <f>(AF30_ByRubLot[[#This Row],[121-130]]/AF30_ByRubLot3[[Total Charge]:[Total Charge]])</f>
        <v>0.3</v>
      </c>
      <c r="P36">
        <f>(AF30_ByRubLot[[#This Row],[131-140]]/AF30_ByRubLot3[[Total Charge]:[Total Charge]])</f>
        <v>0</v>
      </c>
      <c r="Q36">
        <v>0</v>
      </c>
      <c r="R36">
        <v>0</v>
      </c>
      <c r="S36" t="s">
        <v>6</v>
      </c>
      <c r="T36">
        <v>10</v>
      </c>
      <c r="U36" s="112"/>
      <c r="V36" s="146">
        <v>1605.5555555555557</v>
      </c>
      <c r="W36">
        <v>1080</v>
      </c>
      <c r="X36">
        <f t="shared" ref="X36:X42" si="2">(W36/V36)*100</f>
        <v>67.266435986159166</v>
      </c>
      <c r="Y36">
        <f>SUM(AF30_ByRubLot3[[#This Row],[0-10]:[131-140]])</f>
        <v>1</v>
      </c>
    </row>
    <row r="37" spans="1:25" x14ac:dyDescent="0.25">
      <c r="A37" t="s">
        <v>17</v>
      </c>
      <c r="B37" s="146" t="s">
        <v>167</v>
      </c>
      <c r="C37">
        <f>(AF30_ByRubLot[[#This Row],[0-10]]/AF30_ByRubLot3[[Total Charge]:[Total Charge]])</f>
        <v>0</v>
      </c>
      <c r="D37">
        <f>(AF30_ByRubLot[[#This Row],[11-20]]/AF30_ByRubLot3[[Total Charge]:[Total Charge]])</f>
        <v>0</v>
      </c>
      <c r="E37">
        <f>(AF30_ByRubLot[[#This Row],[21-30]]/AF30_ByRubLot3[[Total Charge]:[Total Charge]])</f>
        <v>0.1</v>
      </c>
      <c r="F37">
        <f>(AF30_ByRubLot[[#This Row],[31-40]]/AF30_ByRubLot3[[Total Charge]:[Total Charge]])</f>
        <v>0</v>
      </c>
      <c r="G37">
        <f>(AF30_ByRubLot[[#This Row],[41-50]]/AF30_ByRubLot3[[Total Charge]:[Total Charge]])</f>
        <v>0</v>
      </c>
      <c r="H37">
        <f>(AF30_ByRubLot[[#This Row],[51-60]]/AF30_ByRubLot3[[Total Charge]:[Total Charge]])</f>
        <v>0.2</v>
      </c>
      <c r="I37">
        <f>(AF30_ByRubLot[[#This Row],[61-70]]/AF30_ByRubLot3[[Total Charge]:[Total Charge]])</f>
        <v>0</v>
      </c>
      <c r="J37">
        <f>(AF30_ByRubLot[[#This Row],[71-80]]/AF30_ByRubLot3[[Total Charge]:[Total Charge]])</f>
        <v>0</v>
      </c>
      <c r="K37">
        <f>(AF30_ByRubLot[[#This Row],[81-90]]/AF30_ByRubLot3[[Total Charge]:[Total Charge]])</f>
        <v>0.1</v>
      </c>
      <c r="L37">
        <f>(AF30_ByRubLot[[#This Row],[91-100]]/AF30_ByRubLot3[[Total Charge]:[Total Charge]])</f>
        <v>0</v>
      </c>
      <c r="M37">
        <f>(AF30_ByRubLot[[#This Row],[101-110]]/AF30_ByRubLot3[[Total Charge]:[Total Charge]])</f>
        <v>0.3</v>
      </c>
      <c r="N37">
        <f>(AF30_ByRubLot[[#This Row],[111-120]]/AF30_ByRubLot3[[Total Charge]:[Total Charge]])</f>
        <v>0</v>
      </c>
      <c r="O37">
        <f>(AF30_ByRubLot[[#This Row],[121-130]]/AF30_ByRubLot3[[Total Charge]:[Total Charge]])</f>
        <v>0.3</v>
      </c>
      <c r="P37">
        <f>(AF30_ByRubLot[[#This Row],[131-140]]/AF30_ByRubLot3[[Total Charge]:[Total Charge]])</f>
        <v>0</v>
      </c>
      <c r="Q37">
        <v>0</v>
      </c>
      <c r="R37">
        <v>0</v>
      </c>
      <c r="S37" t="s">
        <v>6</v>
      </c>
      <c r="T37">
        <v>10</v>
      </c>
      <c r="U37" s="112"/>
      <c r="V37" s="146">
        <v>1143.3333333333333</v>
      </c>
      <c r="W37">
        <v>320</v>
      </c>
      <c r="X37">
        <f t="shared" si="2"/>
        <v>27.988338192419825</v>
      </c>
      <c r="Y37">
        <f>SUM(AF30_ByRubLot3[[#This Row],[0-10]:[131-140]])</f>
        <v>1</v>
      </c>
    </row>
    <row r="38" spans="1:25" x14ac:dyDescent="0.25">
      <c r="A38" t="s">
        <v>17</v>
      </c>
      <c r="B38" s="146" t="s">
        <v>168</v>
      </c>
      <c r="C38">
        <f>(AF30_ByRubLot[[#This Row],[0-10]]/AF30_ByRubLot3[[Total Charge]:[Total Charge]])</f>
        <v>0</v>
      </c>
      <c r="D38">
        <f>(AF30_ByRubLot[[#This Row],[11-20]]/AF30_ByRubLot3[[Total Charge]:[Total Charge]])</f>
        <v>0</v>
      </c>
      <c r="E38">
        <f>(AF30_ByRubLot[[#This Row],[21-30]]/AF30_ByRubLot3[[Total Charge]:[Total Charge]])</f>
        <v>0.1</v>
      </c>
      <c r="F38">
        <f>(AF30_ByRubLot[[#This Row],[31-40]]/AF30_ByRubLot3[[Total Charge]:[Total Charge]])</f>
        <v>0</v>
      </c>
      <c r="G38">
        <f>(AF30_ByRubLot[[#This Row],[41-50]]/AF30_ByRubLot3[[Total Charge]:[Total Charge]])</f>
        <v>0</v>
      </c>
      <c r="H38">
        <f>(AF30_ByRubLot[[#This Row],[51-60]]/AF30_ByRubLot3[[Total Charge]:[Total Charge]])</f>
        <v>0.2</v>
      </c>
      <c r="I38">
        <f>(AF30_ByRubLot[[#This Row],[61-70]]/AF30_ByRubLot3[[Total Charge]:[Total Charge]])</f>
        <v>0</v>
      </c>
      <c r="J38">
        <f>(AF30_ByRubLot[[#This Row],[71-80]]/AF30_ByRubLot3[[Total Charge]:[Total Charge]])</f>
        <v>0</v>
      </c>
      <c r="K38">
        <f>(AF30_ByRubLot[[#This Row],[81-90]]/AF30_ByRubLot3[[Total Charge]:[Total Charge]])</f>
        <v>0.1</v>
      </c>
      <c r="L38">
        <f>(AF30_ByRubLot[[#This Row],[91-100]]/AF30_ByRubLot3[[Total Charge]:[Total Charge]])</f>
        <v>0</v>
      </c>
      <c r="M38">
        <f>(AF30_ByRubLot[[#This Row],[101-110]]/AF30_ByRubLot3[[Total Charge]:[Total Charge]])</f>
        <v>0.3</v>
      </c>
      <c r="N38">
        <f>(AF30_ByRubLot[[#This Row],[111-120]]/AF30_ByRubLot3[[Total Charge]:[Total Charge]])</f>
        <v>0</v>
      </c>
      <c r="O38">
        <f>(AF30_ByRubLot[[#This Row],[121-130]]/AF30_ByRubLot3[[Total Charge]:[Total Charge]])</f>
        <v>0.3</v>
      </c>
      <c r="P38">
        <f>(AF30_ByRubLot[[#This Row],[131-140]]/AF30_ByRubLot3[[Total Charge]:[Total Charge]])</f>
        <v>0</v>
      </c>
      <c r="Q38">
        <v>0</v>
      </c>
      <c r="R38">
        <v>0</v>
      </c>
      <c r="S38" t="s">
        <v>6</v>
      </c>
      <c r="T38">
        <v>10</v>
      </c>
      <c r="U38" s="112"/>
      <c r="V38" s="146">
        <v>1077.7777777777778</v>
      </c>
      <c r="W38">
        <v>992</v>
      </c>
      <c r="X38">
        <f t="shared" si="2"/>
        <v>92.041237113402047</v>
      </c>
      <c r="Y38">
        <f>SUM(AF30_ByRubLot3[[#This Row],[0-10]:[131-140]])</f>
        <v>1</v>
      </c>
    </row>
    <row r="39" spans="1:25" x14ac:dyDescent="0.25">
      <c r="A39" t="s">
        <v>17</v>
      </c>
      <c r="B39" s="146" t="s">
        <v>169</v>
      </c>
      <c r="C39">
        <f>(AF30_ByRubLot[[#This Row],[0-10]]/AF30_ByRubLot3[[Total Charge]:[Total Charge]])</f>
        <v>0</v>
      </c>
      <c r="D39">
        <f>(AF30_ByRubLot[[#This Row],[11-20]]/AF30_ByRubLot3[[Total Charge]:[Total Charge]])</f>
        <v>0</v>
      </c>
      <c r="E39">
        <f>(AF30_ByRubLot[[#This Row],[21-30]]/AF30_ByRubLot3[[Total Charge]:[Total Charge]])</f>
        <v>0.1</v>
      </c>
      <c r="F39">
        <f>(AF30_ByRubLot[[#This Row],[31-40]]/AF30_ByRubLot3[[Total Charge]:[Total Charge]])</f>
        <v>0</v>
      </c>
      <c r="G39">
        <f>(AF30_ByRubLot[[#This Row],[41-50]]/AF30_ByRubLot3[[Total Charge]:[Total Charge]])</f>
        <v>0</v>
      </c>
      <c r="H39">
        <f>(AF30_ByRubLot[[#This Row],[51-60]]/AF30_ByRubLot3[[Total Charge]:[Total Charge]])</f>
        <v>0.2</v>
      </c>
      <c r="I39">
        <f>(AF30_ByRubLot[[#This Row],[61-70]]/AF30_ByRubLot3[[Total Charge]:[Total Charge]])</f>
        <v>0</v>
      </c>
      <c r="J39">
        <f>(AF30_ByRubLot[[#This Row],[71-80]]/AF30_ByRubLot3[[Total Charge]:[Total Charge]])</f>
        <v>0</v>
      </c>
      <c r="K39">
        <f>(AF30_ByRubLot[[#This Row],[81-90]]/AF30_ByRubLot3[[Total Charge]:[Total Charge]])</f>
        <v>0.1</v>
      </c>
      <c r="L39">
        <f>(AF30_ByRubLot[[#This Row],[91-100]]/AF30_ByRubLot3[[Total Charge]:[Total Charge]])</f>
        <v>0</v>
      </c>
      <c r="M39">
        <f>(AF30_ByRubLot[[#This Row],[101-110]]/AF30_ByRubLot3[[Total Charge]:[Total Charge]])</f>
        <v>0.3</v>
      </c>
      <c r="N39">
        <f>(AF30_ByRubLot[[#This Row],[111-120]]/AF30_ByRubLot3[[Total Charge]:[Total Charge]])</f>
        <v>0</v>
      </c>
      <c r="O39">
        <f>(AF30_ByRubLot[[#This Row],[121-130]]/AF30_ByRubLot3[[Total Charge]:[Total Charge]])</f>
        <v>0.3</v>
      </c>
      <c r="P39">
        <f>(AF30_ByRubLot[[#This Row],[131-140]]/AF30_ByRubLot3[[Total Charge]:[Total Charge]])</f>
        <v>0</v>
      </c>
      <c r="Q39">
        <v>0</v>
      </c>
      <c r="R39">
        <v>0</v>
      </c>
      <c r="S39" t="s">
        <v>6</v>
      </c>
      <c r="T39">
        <v>10</v>
      </c>
      <c r="U39" s="112"/>
      <c r="V39" s="146">
        <v>899.99999999999989</v>
      </c>
      <c r="W39">
        <v>320</v>
      </c>
      <c r="X39">
        <f t="shared" si="2"/>
        <v>35.555555555555564</v>
      </c>
      <c r="Y39">
        <f>SUM(AF30_ByRubLot3[[#This Row],[0-10]:[131-140]])</f>
        <v>1</v>
      </c>
    </row>
    <row r="40" spans="1:25" x14ac:dyDescent="0.25">
      <c r="A40" t="s">
        <v>17</v>
      </c>
      <c r="B40" s="146" t="s">
        <v>170</v>
      </c>
      <c r="C40">
        <f>(AF30_ByRubLot[[#This Row],[0-10]]/AF30_ByRubLot3[[Total Charge]:[Total Charge]])</f>
        <v>0</v>
      </c>
      <c r="D40">
        <f>(AF30_ByRubLot[[#This Row],[11-20]]/AF30_ByRubLot3[[Total Charge]:[Total Charge]])</f>
        <v>0</v>
      </c>
      <c r="E40">
        <f>(AF30_ByRubLot[[#This Row],[21-30]]/AF30_ByRubLot3[[Total Charge]:[Total Charge]])</f>
        <v>0.1</v>
      </c>
      <c r="F40">
        <f>(AF30_ByRubLot[[#This Row],[31-40]]/AF30_ByRubLot3[[Total Charge]:[Total Charge]])</f>
        <v>0</v>
      </c>
      <c r="G40">
        <f>(AF30_ByRubLot[[#This Row],[41-50]]/AF30_ByRubLot3[[Total Charge]:[Total Charge]])</f>
        <v>0</v>
      </c>
      <c r="H40">
        <f>(AF30_ByRubLot[[#This Row],[51-60]]/AF30_ByRubLot3[[Total Charge]:[Total Charge]])</f>
        <v>0.2</v>
      </c>
      <c r="I40">
        <f>(AF30_ByRubLot[[#This Row],[61-70]]/AF30_ByRubLot3[[Total Charge]:[Total Charge]])</f>
        <v>0</v>
      </c>
      <c r="J40">
        <f>(AF30_ByRubLot[[#This Row],[71-80]]/AF30_ByRubLot3[[Total Charge]:[Total Charge]])</f>
        <v>0</v>
      </c>
      <c r="K40">
        <f>(AF30_ByRubLot[[#This Row],[81-90]]/AF30_ByRubLot3[[Total Charge]:[Total Charge]])</f>
        <v>0.1</v>
      </c>
      <c r="L40">
        <f>(AF30_ByRubLot[[#This Row],[91-100]]/AF30_ByRubLot3[[Total Charge]:[Total Charge]])</f>
        <v>0</v>
      </c>
      <c r="M40">
        <f>(AF30_ByRubLot[[#This Row],[101-110]]/AF30_ByRubLot3[[Total Charge]:[Total Charge]])</f>
        <v>0.3</v>
      </c>
      <c r="N40">
        <f>(AF30_ByRubLot[[#This Row],[111-120]]/AF30_ByRubLot3[[Total Charge]:[Total Charge]])</f>
        <v>0</v>
      </c>
      <c r="O40">
        <f>(AF30_ByRubLot[[#This Row],[121-130]]/AF30_ByRubLot3[[Total Charge]:[Total Charge]])</f>
        <v>0.3</v>
      </c>
      <c r="P40">
        <f>(AF30_ByRubLot[[#This Row],[131-140]]/AF30_ByRubLot3[[Total Charge]:[Total Charge]])</f>
        <v>0</v>
      </c>
      <c r="Q40">
        <v>0</v>
      </c>
      <c r="R40">
        <v>0</v>
      </c>
      <c r="S40" t="s">
        <v>6</v>
      </c>
      <c r="T40">
        <v>10</v>
      </c>
      <c r="U40" s="112"/>
      <c r="V40" s="146">
        <v>500</v>
      </c>
      <c r="W40">
        <v>480</v>
      </c>
      <c r="X40">
        <f t="shared" si="2"/>
        <v>96</v>
      </c>
      <c r="Y40">
        <f>SUM(AF30_ByRubLot3[[#This Row],[0-10]:[131-140]])</f>
        <v>1</v>
      </c>
    </row>
    <row r="41" spans="1:25" x14ac:dyDescent="0.25">
      <c r="A41" t="s">
        <v>17</v>
      </c>
      <c r="B41" s="146" t="s">
        <v>171</v>
      </c>
      <c r="C41">
        <f>(AF30_ByRubLot[[#This Row],[0-10]]/AF30_ByRubLot3[[Total Charge]:[Total Charge]])</f>
        <v>0</v>
      </c>
      <c r="D41">
        <f>(AF30_ByRubLot[[#This Row],[11-20]]/AF30_ByRubLot3[[Total Charge]:[Total Charge]])</f>
        <v>0</v>
      </c>
      <c r="E41">
        <f>(AF30_ByRubLot[[#This Row],[21-30]]/AF30_ByRubLot3[[Total Charge]:[Total Charge]])</f>
        <v>0.1</v>
      </c>
      <c r="F41">
        <f>(AF30_ByRubLot[[#This Row],[31-40]]/AF30_ByRubLot3[[Total Charge]:[Total Charge]])</f>
        <v>0</v>
      </c>
      <c r="G41">
        <f>(AF30_ByRubLot[[#This Row],[41-50]]/AF30_ByRubLot3[[Total Charge]:[Total Charge]])</f>
        <v>0</v>
      </c>
      <c r="H41">
        <f>(AF30_ByRubLot[[#This Row],[51-60]]/AF30_ByRubLot3[[Total Charge]:[Total Charge]])</f>
        <v>0.2</v>
      </c>
      <c r="I41">
        <f>(AF30_ByRubLot[[#This Row],[61-70]]/AF30_ByRubLot3[[Total Charge]:[Total Charge]])</f>
        <v>0</v>
      </c>
      <c r="J41">
        <f>(AF30_ByRubLot[[#This Row],[71-80]]/AF30_ByRubLot3[[Total Charge]:[Total Charge]])</f>
        <v>0</v>
      </c>
      <c r="K41">
        <f>(AF30_ByRubLot[[#This Row],[81-90]]/AF30_ByRubLot3[[Total Charge]:[Total Charge]])</f>
        <v>0.1</v>
      </c>
      <c r="L41">
        <f>(AF30_ByRubLot[[#This Row],[91-100]]/AF30_ByRubLot3[[Total Charge]:[Total Charge]])</f>
        <v>0</v>
      </c>
      <c r="M41">
        <f>(AF30_ByRubLot[[#This Row],[101-110]]/AF30_ByRubLot3[[Total Charge]:[Total Charge]])</f>
        <v>0.3</v>
      </c>
      <c r="N41">
        <f>(AF30_ByRubLot[[#This Row],[111-120]]/AF30_ByRubLot3[[Total Charge]:[Total Charge]])</f>
        <v>0</v>
      </c>
      <c r="O41">
        <f>(AF30_ByRubLot[[#This Row],[121-130]]/AF30_ByRubLot3[[Total Charge]:[Total Charge]])</f>
        <v>0.3</v>
      </c>
      <c r="P41">
        <f>(AF30_ByRubLot[[#This Row],[131-140]]/AF30_ByRubLot3[[Total Charge]:[Total Charge]])</f>
        <v>0</v>
      </c>
      <c r="Q41">
        <v>0</v>
      </c>
      <c r="R41">
        <v>0</v>
      </c>
      <c r="S41" t="s">
        <v>6</v>
      </c>
      <c r="T41">
        <v>10</v>
      </c>
      <c r="U41" s="112"/>
      <c r="V41" s="146">
        <v>766.66666666666674</v>
      </c>
      <c r="W41">
        <v>0</v>
      </c>
      <c r="X41">
        <f t="shared" si="2"/>
        <v>0</v>
      </c>
      <c r="Y41">
        <f>SUM(AF30_ByRubLot3[[#This Row],[0-10]:[131-140]])</f>
        <v>1</v>
      </c>
    </row>
    <row r="42" spans="1:25" x14ac:dyDescent="0.25">
      <c r="A42" t="s">
        <v>17</v>
      </c>
      <c r="B42" s="146" t="s">
        <v>172</v>
      </c>
      <c r="C42">
        <f>(AF30_ByRubLot[[#This Row],[0-10]]/AF30_ByRubLot3[[Total Charge]:[Total Charge]])</f>
        <v>0</v>
      </c>
      <c r="D42">
        <f>(AF30_ByRubLot[[#This Row],[11-20]]/AF30_ByRubLot3[[Total Charge]:[Total Charge]])</f>
        <v>0</v>
      </c>
      <c r="E42">
        <f>(AF30_ByRubLot[[#This Row],[21-30]]/AF30_ByRubLot3[[Total Charge]:[Total Charge]])</f>
        <v>0.1</v>
      </c>
      <c r="F42">
        <f>(AF30_ByRubLot[[#This Row],[31-40]]/AF30_ByRubLot3[[Total Charge]:[Total Charge]])</f>
        <v>0</v>
      </c>
      <c r="G42">
        <f>(AF30_ByRubLot[[#This Row],[41-50]]/AF30_ByRubLot3[[Total Charge]:[Total Charge]])</f>
        <v>0</v>
      </c>
      <c r="H42">
        <f>(AF30_ByRubLot[[#This Row],[51-60]]/AF30_ByRubLot3[[Total Charge]:[Total Charge]])</f>
        <v>0.2</v>
      </c>
      <c r="I42">
        <f>(AF30_ByRubLot[[#This Row],[61-70]]/AF30_ByRubLot3[[Total Charge]:[Total Charge]])</f>
        <v>0</v>
      </c>
      <c r="J42">
        <f>(AF30_ByRubLot[[#This Row],[71-80]]/AF30_ByRubLot3[[Total Charge]:[Total Charge]])</f>
        <v>0</v>
      </c>
      <c r="K42">
        <f>(AF30_ByRubLot[[#This Row],[81-90]]/AF30_ByRubLot3[[Total Charge]:[Total Charge]])</f>
        <v>0.1</v>
      </c>
      <c r="L42">
        <f>(AF30_ByRubLot[[#This Row],[91-100]]/AF30_ByRubLot3[[Total Charge]:[Total Charge]])</f>
        <v>0</v>
      </c>
      <c r="M42">
        <f>(AF30_ByRubLot[[#This Row],[101-110]]/AF30_ByRubLot3[[Total Charge]:[Total Charge]])</f>
        <v>0.3</v>
      </c>
      <c r="N42">
        <f>(AF30_ByRubLot[[#This Row],[111-120]]/AF30_ByRubLot3[[Total Charge]:[Total Charge]])</f>
        <v>0</v>
      </c>
      <c r="O42">
        <f>(AF30_ByRubLot[[#This Row],[121-130]]/AF30_ByRubLot3[[Total Charge]:[Total Charge]])</f>
        <v>0.3</v>
      </c>
      <c r="P42">
        <f>(AF30_ByRubLot[[#This Row],[131-140]]/AF30_ByRubLot3[[Total Charge]:[Total Charge]])</f>
        <v>0</v>
      </c>
      <c r="Q42">
        <v>0</v>
      </c>
      <c r="R42">
        <v>0</v>
      </c>
      <c r="S42" t="s">
        <v>6</v>
      </c>
      <c r="T42">
        <v>10</v>
      </c>
      <c r="U42" s="112"/>
      <c r="V42" s="146">
        <v>291.66666666666669</v>
      </c>
      <c r="W42">
        <v>80</v>
      </c>
      <c r="X42">
        <f t="shared" si="2"/>
        <v>27.428571428571423</v>
      </c>
      <c r="Y42">
        <f>SUM(AF30_ByRubLot3[[#This Row],[0-10]:[131-140]])</f>
        <v>1</v>
      </c>
    </row>
    <row r="43" spans="1:25" x14ac:dyDescent="0.25">
      <c r="A43" t="s">
        <v>17</v>
      </c>
      <c r="B43" s="146" t="s">
        <v>173</v>
      </c>
      <c r="C43">
        <f>(AF30_ByRubLot[[#This Row],[0-10]]/AF30_ByRubLot3[[Total Charge]:[Total Charge]])</f>
        <v>0</v>
      </c>
      <c r="D43">
        <f>(AF30_ByRubLot[[#This Row],[11-20]]/AF30_ByRubLot3[[Total Charge]:[Total Charge]])</f>
        <v>0</v>
      </c>
      <c r="E43">
        <f>(AF30_ByRubLot[[#This Row],[21-30]]/AF30_ByRubLot3[[Total Charge]:[Total Charge]])</f>
        <v>0.1</v>
      </c>
      <c r="F43">
        <f>(AF30_ByRubLot[[#This Row],[31-40]]/AF30_ByRubLot3[[Total Charge]:[Total Charge]])</f>
        <v>0</v>
      </c>
      <c r="G43">
        <f>(AF30_ByRubLot[[#This Row],[41-50]]/AF30_ByRubLot3[[Total Charge]:[Total Charge]])</f>
        <v>0</v>
      </c>
      <c r="H43">
        <f>(AF30_ByRubLot[[#This Row],[51-60]]/AF30_ByRubLot3[[Total Charge]:[Total Charge]])</f>
        <v>0.2</v>
      </c>
      <c r="I43">
        <f>(AF30_ByRubLot[[#This Row],[61-70]]/AF30_ByRubLot3[[Total Charge]:[Total Charge]])</f>
        <v>0</v>
      </c>
      <c r="J43">
        <f>(AF30_ByRubLot[[#This Row],[71-80]]/AF30_ByRubLot3[[Total Charge]:[Total Charge]])</f>
        <v>0</v>
      </c>
      <c r="K43">
        <f>(AF30_ByRubLot[[#This Row],[81-90]]/AF30_ByRubLot3[[Total Charge]:[Total Charge]])</f>
        <v>0.1</v>
      </c>
      <c r="L43">
        <f>(AF30_ByRubLot[[#This Row],[91-100]]/AF30_ByRubLot3[[Total Charge]:[Total Charge]])</f>
        <v>0</v>
      </c>
      <c r="M43">
        <f>(AF30_ByRubLot[[#This Row],[101-110]]/AF30_ByRubLot3[[Total Charge]:[Total Charge]])</f>
        <v>0.3</v>
      </c>
      <c r="N43">
        <f>(AF30_ByRubLot[[#This Row],[111-120]]/AF30_ByRubLot3[[Total Charge]:[Total Charge]])</f>
        <v>0</v>
      </c>
      <c r="O43">
        <f>(AF30_ByRubLot[[#This Row],[121-130]]/AF30_ByRubLot3[[Total Charge]:[Total Charge]])</f>
        <v>0.3</v>
      </c>
      <c r="P43">
        <f>(AF30_ByRubLot[[#This Row],[131-140]]/AF30_ByRubLot3[[Total Charge]:[Total Charge]])</f>
        <v>0</v>
      </c>
      <c r="Q43">
        <v>0</v>
      </c>
      <c r="R43">
        <v>0</v>
      </c>
      <c r="S43" t="s">
        <v>6</v>
      </c>
      <c r="T43">
        <v>10</v>
      </c>
      <c r="U43" s="112"/>
      <c r="V43" s="146">
        <v>1461.1111111111111</v>
      </c>
      <c r="W43">
        <v>877.5</v>
      </c>
      <c r="X43">
        <f>(W43/V43)*100</f>
        <v>60.057034220532323</v>
      </c>
      <c r="Y43">
        <f>SUM(AF30_ByRubLot3[[#This Row],[0-10]:[131-140]])</f>
        <v>1</v>
      </c>
    </row>
    <row r="44" spans="1:25" x14ac:dyDescent="0.25">
      <c r="A44" t="s">
        <v>17</v>
      </c>
      <c r="B44" s="146" t="s">
        <v>174</v>
      </c>
      <c r="C44">
        <f>(AF30_ByRubLot[[#This Row],[0-10]]/AF30_ByRubLot3[[Total Charge]:[Total Charge]])</f>
        <v>0</v>
      </c>
      <c r="D44">
        <f>(AF30_ByRubLot[[#This Row],[11-20]]/AF30_ByRubLot3[[Total Charge]:[Total Charge]])</f>
        <v>0</v>
      </c>
      <c r="E44">
        <f>(AF30_ByRubLot[[#This Row],[21-30]]/AF30_ByRubLot3[[Total Charge]:[Total Charge]])</f>
        <v>0.1</v>
      </c>
      <c r="F44">
        <f>(AF30_ByRubLot[[#This Row],[31-40]]/AF30_ByRubLot3[[Total Charge]:[Total Charge]])</f>
        <v>0</v>
      </c>
      <c r="G44">
        <f>(AF30_ByRubLot[[#This Row],[41-50]]/AF30_ByRubLot3[[Total Charge]:[Total Charge]])</f>
        <v>0</v>
      </c>
      <c r="H44">
        <f>(AF30_ByRubLot[[#This Row],[51-60]]/AF30_ByRubLot3[[Total Charge]:[Total Charge]])</f>
        <v>0.2</v>
      </c>
      <c r="I44">
        <f>(AF30_ByRubLot[[#This Row],[61-70]]/AF30_ByRubLot3[[Total Charge]:[Total Charge]])</f>
        <v>0</v>
      </c>
      <c r="J44">
        <f>(AF30_ByRubLot[[#This Row],[71-80]]/AF30_ByRubLot3[[Total Charge]:[Total Charge]])</f>
        <v>0</v>
      </c>
      <c r="K44">
        <f>(AF30_ByRubLot[[#This Row],[81-90]]/AF30_ByRubLot3[[Total Charge]:[Total Charge]])</f>
        <v>0.1</v>
      </c>
      <c r="L44">
        <f>(AF30_ByRubLot[[#This Row],[91-100]]/AF30_ByRubLot3[[Total Charge]:[Total Charge]])</f>
        <v>0</v>
      </c>
      <c r="M44">
        <f>(AF30_ByRubLot[[#This Row],[101-110]]/AF30_ByRubLot3[[Total Charge]:[Total Charge]])</f>
        <v>0.3</v>
      </c>
      <c r="N44">
        <f>(AF30_ByRubLot[[#This Row],[111-120]]/AF30_ByRubLot3[[Total Charge]:[Total Charge]])</f>
        <v>0</v>
      </c>
      <c r="O44">
        <f>(AF30_ByRubLot[[#This Row],[121-130]]/AF30_ByRubLot3[[Total Charge]:[Total Charge]])</f>
        <v>0.3</v>
      </c>
      <c r="P44">
        <f>(AF30_ByRubLot[[#This Row],[131-140]]/AF30_ByRubLot3[[Total Charge]:[Total Charge]])</f>
        <v>0</v>
      </c>
      <c r="Q44">
        <v>0</v>
      </c>
      <c r="R44">
        <v>0</v>
      </c>
      <c r="S44" t="s">
        <v>6</v>
      </c>
      <c r="T44">
        <v>10</v>
      </c>
      <c r="U44" s="112"/>
      <c r="V44" s="146">
        <v>819.44444444444457</v>
      </c>
      <c r="W44">
        <v>632</v>
      </c>
      <c r="X44">
        <f>(W44/V44)*100</f>
        <v>77.125423728813544</v>
      </c>
      <c r="Y44">
        <f>SUM(AF30_ByRubLot3[[#This Row],[0-10]:[131-140]])</f>
        <v>1</v>
      </c>
    </row>
    <row r="45" spans="1:25" x14ac:dyDescent="0.25">
      <c r="A45" t="s">
        <v>17</v>
      </c>
      <c r="B45" s="146" t="s">
        <v>175</v>
      </c>
      <c r="C45">
        <f>(AF30_ByRubLot[[#This Row],[0-10]]/AF30_ByRubLot3[[Total Charge]:[Total Charge]])</f>
        <v>0</v>
      </c>
      <c r="D45">
        <f>(AF30_ByRubLot[[#This Row],[11-20]]/AF30_ByRubLot3[[Total Charge]:[Total Charge]])</f>
        <v>0</v>
      </c>
      <c r="E45">
        <f>(AF30_ByRubLot[[#This Row],[21-30]]/AF30_ByRubLot3[[Total Charge]:[Total Charge]])</f>
        <v>0.1</v>
      </c>
      <c r="F45">
        <f>(AF30_ByRubLot[[#This Row],[31-40]]/AF30_ByRubLot3[[Total Charge]:[Total Charge]])</f>
        <v>0</v>
      </c>
      <c r="G45">
        <f>(AF30_ByRubLot[[#This Row],[41-50]]/AF30_ByRubLot3[[Total Charge]:[Total Charge]])</f>
        <v>0</v>
      </c>
      <c r="H45">
        <f>(AF30_ByRubLot[[#This Row],[51-60]]/AF30_ByRubLot3[[Total Charge]:[Total Charge]])</f>
        <v>0.2</v>
      </c>
      <c r="I45">
        <f>(AF30_ByRubLot[[#This Row],[61-70]]/AF30_ByRubLot3[[Total Charge]:[Total Charge]])</f>
        <v>0</v>
      </c>
      <c r="J45">
        <f>(AF30_ByRubLot[[#This Row],[71-80]]/AF30_ByRubLot3[[Total Charge]:[Total Charge]])</f>
        <v>0</v>
      </c>
      <c r="K45">
        <f>(AF30_ByRubLot[[#This Row],[81-90]]/AF30_ByRubLot3[[Total Charge]:[Total Charge]])</f>
        <v>0.1</v>
      </c>
      <c r="L45">
        <f>(AF30_ByRubLot[[#This Row],[91-100]]/AF30_ByRubLot3[[Total Charge]:[Total Charge]])</f>
        <v>0</v>
      </c>
      <c r="M45">
        <f>(AF30_ByRubLot[[#This Row],[101-110]]/AF30_ByRubLot3[[Total Charge]:[Total Charge]])</f>
        <v>0.3</v>
      </c>
      <c r="N45">
        <f>(AF30_ByRubLot[[#This Row],[111-120]]/AF30_ByRubLot3[[Total Charge]:[Total Charge]])</f>
        <v>0</v>
      </c>
      <c r="O45">
        <f>(AF30_ByRubLot[[#This Row],[121-130]]/AF30_ByRubLot3[[Total Charge]:[Total Charge]])</f>
        <v>0.3</v>
      </c>
      <c r="P45">
        <f>(AF30_ByRubLot[[#This Row],[131-140]]/AF30_ByRubLot3[[Total Charge]:[Total Charge]])</f>
        <v>0</v>
      </c>
      <c r="Q45">
        <v>0</v>
      </c>
      <c r="R45">
        <v>0</v>
      </c>
      <c r="S45" t="s">
        <v>6</v>
      </c>
      <c r="T45">
        <v>10</v>
      </c>
      <c r="U45" s="112"/>
      <c r="V45" s="146">
        <v>1088.3333333333335</v>
      </c>
      <c r="W45">
        <v>800</v>
      </c>
      <c r="X45">
        <f>(W45/V45)*100</f>
        <v>73.506891271056645</v>
      </c>
      <c r="Y45">
        <f>SUM(AF30_ByRubLot3[[#This Row],[0-10]:[131-140]])</f>
        <v>1</v>
      </c>
    </row>
    <row r="46" spans="1:25" x14ac:dyDescent="0.25">
      <c r="A46" t="s">
        <v>17</v>
      </c>
      <c r="B46" s="146" t="s">
        <v>176</v>
      </c>
      <c r="C46">
        <f>(AF30_ByRubLot[[#This Row],[0-10]]/AF30_ByRubLot3[[Total Charge]:[Total Charge]])</f>
        <v>0</v>
      </c>
      <c r="D46">
        <f>(AF30_ByRubLot[[#This Row],[11-20]]/AF30_ByRubLot3[[Total Charge]:[Total Charge]])</f>
        <v>0</v>
      </c>
      <c r="E46">
        <f>(AF30_ByRubLot[[#This Row],[21-30]]/AF30_ByRubLot3[[Total Charge]:[Total Charge]])</f>
        <v>0.1</v>
      </c>
      <c r="F46">
        <f>(AF30_ByRubLot[[#This Row],[31-40]]/AF30_ByRubLot3[[Total Charge]:[Total Charge]])</f>
        <v>0</v>
      </c>
      <c r="G46">
        <f>(AF30_ByRubLot[[#This Row],[41-50]]/AF30_ByRubLot3[[Total Charge]:[Total Charge]])</f>
        <v>0</v>
      </c>
      <c r="H46">
        <f>(AF30_ByRubLot[[#This Row],[51-60]]/AF30_ByRubLot3[[Total Charge]:[Total Charge]])</f>
        <v>0.2</v>
      </c>
      <c r="I46">
        <f>(AF30_ByRubLot[[#This Row],[61-70]]/AF30_ByRubLot3[[Total Charge]:[Total Charge]])</f>
        <v>0</v>
      </c>
      <c r="J46">
        <f>(AF30_ByRubLot[[#This Row],[71-80]]/AF30_ByRubLot3[[Total Charge]:[Total Charge]])</f>
        <v>0</v>
      </c>
      <c r="K46">
        <f>(AF30_ByRubLot[[#This Row],[81-90]]/AF30_ByRubLot3[[Total Charge]:[Total Charge]])</f>
        <v>0.1</v>
      </c>
      <c r="L46">
        <f>(AF30_ByRubLot[[#This Row],[91-100]]/AF30_ByRubLot3[[Total Charge]:[Total Charge]])</f>
        <v>0</v>
      </c>
      <c r="M46">
        <f>(AF30_ByRubLot[[#This Row],[101-110]]/AF30_ByRubLot3[[Total Charge]:[Total Charge]])</f>
        <v>0.3</v>
      </c>
      <c r="N46">
        <f>(AF30_ByRubLot[[#This Row],[111-120]]/AF30_ByRubLot3[[Total Charge]:[Total Charge]])</f>
        <v>0</v>
      </c>
      <c r="O46">
        <f>(AF30_ByRubLot[[#This Row],[121-130]]/AF30_ByRubLot3[[Total Charge]:[Total Charge]])</f>
        <v>0.3</v>
      </c>
      <c r="P46">
        <f>(AF30_ByRubLot[[#This Row],[131-140]]/AF30_ByRubLot3[[Total Charge]:[Total Charge]])</f>
        <v>0</v>
      </c>
      <c r="Q46">
        <v>0</v>
      </c>
      <c r="R46">
        <v>0</v>
      </c>
      <c r="S46" t="s">
        <v>6</v>
      </c>
      <c r="T46">
        <v>10</v>
      </c>
      <c r="U46" s="112"/>
      <c r="V46" s="146">
        <v>811.1111111111112</v>
      </c>
      <c r="W46">
        <v>395</v>
      </c>
      <c r="X46">
        <f t="shared" ref="X46:X67" si="3">(W46/V46)*100</f>
        <v>48.698630136986296</v>
      </c>
      <c r="Y46">
        <f>SUM(AF30_ByRubLot3[[#This Row],[0-10]:[131-140]])</f>
        <v>1</v>
      </c>
    </row>
    <row r="47" spans="1:25" x14ac:dyDescent="0.25">
      <c r="A47" t="s">
        <v>17</v>
      </c>
      <c r="B47" s="146" t="s">
        <v>177</v>
      </c>
      <c r="C47">
        <f>(AF30_ByRubLot[[#This Row],[0-10]]/AF30_ByRubLot3[[Total Charge]:[Total Charge]])</f>
        <v>0</v>
      </c>
      <c r="D47">
        <f>(AF30_ByRubLot[[#This Row],[11-20]]/AF30_ByRubLot3[[Total Charge]:[Total Charge]])</f>
        <v>0</v>
      </c>
      <c r="E47">
        <f>(AF30_ByRubLot[[#This Row],[21-30]]/AF30_ByRubLot3[[Total Charge]:[Total Charge]])</f>
        <v>0.1</v>
      </c>
      <c r="F47">
        <f>(AF30_ByRubLot[[#This Row],[31-40]]/AF30_ByRubLot3[[Total Charge]:[Total Charge]])</f>
        <v>0</v>
      </c>
      <c r="G47">
        <f>(AF30_ByRubLot[[#This Row],[41-50]]/AF30_ByRubLot3[[Total Charge]:[Total Charge]])</f>
        <v>0</v>
      </c>
      <c r="H47">
        <f>(AF30_ByRubLot[[#This Row],[51-60]]/AF30_ByRubLot3[[Total Charge]:[Total Charge]])</f>
        <v>0.2</v>
      </c>
      <c r="I47">
        <f>(AF30_ByRubLot[[#This Row],[61-70]]/AF30_ByRubLot3[[Total Charge]:[Total Charge]])</f>
        <v>0</v>
      </c>
      <c r="J47">
        <f>(AF30_ByRubLot[[#This Row],[71-80]]/AF30_ByRubLot3[[Total Charge]:[Total Charge]])</f>
        <v>0</v>
      </c>
      <c r="K47">
        <f>(AF30_ByRubLot[[#This Row],[81-90]]/AF30_ByRubLot3[[Total Charge]:[Total Charge]])</f>
        <v>0.1</v>
      </c>
      <c r="L47">
        <f>(AF30_ByRubLot[[#This Row],[91-100]]/AF30_ByRubLot3[[Total Charge]:[Total Charge]])</f>
        <v>0</v>
      </c>
      <c r="M47">
        <f>(AF30_ByRubLot[[#This Row],[101-110]]/AF30_ByRubLot3[[Total Charge]:[Total Charge]])</f>
        <v>0.3</v>
      </c>
      <c r="N47">
        <f>(AF30_ByRubLot[[#This Row],[111-120]]/AF30_ByRubLot3[[Total Charge]:[Total Charge]])</f>
        <v>0</v>
      </c>
      <c r="O47">
        <f>(AF30_ByRubLot[[#This Row],[121-130]]/AF30_ByRubLot3[[Total Charge]:[Total Charge]])</f>
        <v>0.3</v>
      </c>
      <c r="P47">
        <f>(AF30_ByRubLot[[#This Row],[131-140]]/AF30_ByRubLot3[[Total Charge]:[Total Charge]])</f>
        <v>0</v>
      </c>
      <c r="Q47">
        <v>0</v>
      </c>
      <c r="R47">
        <v>0</v>
      </c>
      <c r="S47" t="s">
        <v>6</v>
      </c>
      <c r="T47">
        <v>10</v>
      </c>
      <c r="U47" s="112"/>
      <c r="V47" s="146">
        <v>812.77777777777783</v>
      </c>
      <c r="W47">
        <v>800</v>
      </c>
      <c r="X47">
        <f t="shared" si="3"/>
        <v>98.427887901572106</v>
      </c>
      <c r="Y47">
        <f>SUM(AF30_ByRubLot3[[#This Row],[0-10]:[131-140]])</f>
        <v>1</v>
      </c>
    </row>
    <row r="48" spans="1:25" x14ac:dyDescent="0.25">
      <c r="A48" t="s">
        <v>17</v>
      </c>
      <c r="B48" s="146" t="s">
        <v>178</v>
      </c>
      <c r="C48">
        <f>(AF30_ByRubLot[[#This Row],[0-10]]/AF30_ByRubLot3[[Total Charge]:[Total Charge]])</f>
        <v>0</v>
      </c>
      <c r="D48">
        <f>(AF30_ByRubLot[[#This Row],[11-20]]/AF30_ByRubLot3[[Total Charge]:[Total Charge]])</f>
        <v>0</v>
      </c>
      <c r="E48">
        <f>(AF30_ByRubLot[[#This Row],[21-30]]/AF30_ByRubLot3[[Total Charge]:[Total Charge]])</f>
        <v>0.1</v>
      </c>
      <c r="F48">
        <f>(AF30_ByRubLot[[#This Row],[31-40]]/AF30_ByRubLot3[[Total Charge]:[Total Charge]])</f>
        <v>0</v>
      </c>
      <c r="G48">
        <f>(AF30_ByRubLot[[#This Row],[41-50]]/AF30_ByRubLot3[[Total Charge]:[Total Charge]])</f>
        <v>0</v>
      </c>
      <c r="H48">
        <f>(AF30_ByRubLot[[#This Row],[51-60]]/AF30_ByRubLot3[[Total Charge]:[Total Charge]])</f>
        <v>0.2</v>
      </c>
      <c r="I48">
        <f>(AF30_ByRubLot[[#This Row],[61-70]]/AF30_ByRubLot3[[Total Charge]:[Total Charge]])</f>
        <v>0</v>
      </c>
      <c r="J48">
        <f>(AF30_ByRubLot[[#This Row],[71-80]]/AF30_ByRubLot3[[Total Charge]:[Total Charge]])</f>
        <v>0</v>
      </c>
      <c r="K48">
        <f>(AF30_ByRubLot[[#This Row],[81-90]]/AF30_ByRubLot3[[Total Charge]:[Total Charge]])</f>
        <v>0.1</v>
      </c>
      <c r="L48">
        <f>(AF30_ByRubLot[[#This Row],[91-100]]/AF30_ByRubLot3[[Total Charge]:[Total Charge]])</f>
        <v>0</v>
      </c>
      <c r="M48">
        <f>(AF30_ByRubLot[[#This Row],[101-110]]/AF30_ByRubLot3[[Total Charge]:[Total Charge]])</f>
        <v>0.3</v>
      </c>
      <c r="N48">
        <f>(AF30_ByRubLot[[#This Row],[111-120]]/AF30_ByRubLot3[[Total Charge]:[Total Charge]])</f>
        <v>0</v>
      </c>
      <c r="O48">
        <f>(AF30_ByRubLot[[#This Row],[121-130]]/AF30_ByRubLot3[[Total Charge]:[Total Charge]])</f>
        <v>0.3</v>
      </c>
      <c r="P48">
        <f>(AF30_ByRubLot[[#This Row],[131-140]]/AF30_ByRubLot3[[Total Charge]:[Total Charge]])</f>
        <v>0</v>
      </c>
      <c r="Q48">
        <v>0</v>
      </c>
      <c r="R48">
        <v>0</v>
      </c>
      <c r="S48" t="s">
        <v>6</v>
      </c>
      <c r="T48">
        <v>10</v>
      </c>
      <c r="U48" s="112"/>
      <c r="V48" s="146">
        <v>1286.1111111111111</v>
      </c>
      <c r="W48">
        <v>718.66663999999992</v>
      </c>
      <c r="X48">
        <f t="shared" si="3"/>
        <v>55.87904760259179</v>
      </c>
      <c r="Y48">
        <f>SUM(AF30_ByRubLot3[[#This Row],[0-10]:[131-140]])</f>
        <v>1</v>
      </c>
    </row>
    <row r="49" spans="1:25" x14ac:dyDescent="0.25">
      <c r="A49" t="s">
        <v>17</v>
      </c>
      <c r="B49" s="146" t="s">
        <v>179</v>
      </c>
      <c r="C49">
        <f>(AF30_ByRubLot[[#This Row],[0-10]]/AF30_ByRubLot3[[Total Charge]:[Total Charge]])</f>
        <v>0</v>
      </c>
      <c r="D49">
        <f>(AF30_ByRubLot[[#This Row],[11-20]]/AF30_ByRubLot3[[Total Charge]:[Total Charge]])</f>
        <v>0</v>
      </c>
      <c r="E49">
        <f>(AF30_ByRubLot[[#This Row],[21-30]]/AF30_ByRubLot3[[Total Charge]:[Total Charge]])</f>
        <v>0.1</v>
      </c>
      <c r="F49">
        <f>(AF30_ByRubLot[[#This Row],[31-40]]/AF30_ByRubLot3[[Total Charge]:[Total Charge]])</f>
        <v>0</v>
      </c>
      <c r="G49">
        <f>(AF30_ByRubLot[[#This Row],[41-50]]/AF30_ByRubLot3[[Total Charge]:[Total Charge]])</f>
        <v>0</v>
      </c>
      <c r="H49">
        <f>(AF30_ByRubLot[[#This Row],[51-60]]/AF30_ByRubLot3[[Total Charge]:[Total Charge]])</f>
        <v>0.2</v>
      </c>
      <c r="I49">
        <f>(AF30_ByRubLot[[#This Row],[61-70]]/AF30_ByRubLot3[[Total Charge]:[Total Charge]])</f>
        <v>0</v>
      </c>
      <c r="J49">
        <f>(AF30_ByRubLot[[#This Row],[71-80]]/AF30_ByRubLot3[[Total Charge]:[Total Charge]])</f>
        <v>0</v>
      </c>
      <c r="K49">
        <f>(AF30_ByRubLot[[#This Row],[81-90]]/AF30_ByRubLot3[[Total Charge]:[Total Charge]])</f>
        <v>0.1</v>
      </c>
      <c r="L49">
        <f>(AF30_ByRubLot[[#This Row],[91-100]]/AF30_ByRubLot3[[Total Charge]:[Total Charge]])</f>
        <v>0</v>
      </c>
      <c r="M49">
        <f>(AF30_ByRubLot[[#This Row],[101-110]]/AF30_ByRubLot3[[Total Charge]:[Total Charge]])</f>
        <v>0.3</v>
      </c>
      <c r="N49">
        <f>(AF30_ByRubLot[[#This Row],[111-120]]/AF30_ByRubLot3[[Total Charge]:[Total Charge]])</f>
        <v>0</v>
      </c>
      <c r="O49">
        <f>(AF30_ByRubLot[[#This Row],[121-130]]/AF30_ByRubLot3[[Total Charge]:[Total Charge]])</f>
        <v>0.3</v>
      </c>
      <c r="P49">
        <f>(AF30_ByRubLot[[#This Row],[131-140]]/AF30_ByRubLot3[[Total Charge]:[Total Charge]])</f>
        <v>0</v>
      </c>
      <c r="Q49">
        <v>0</v>
      </c>
      <c r="R49">
        <v>0</v>
      </c>
      <c r="S49" t="s">
        <v>6</v>
      </c>
      <c r="T49">
        <v>10</v>
      </c>
      <c r="U49" s="112"/>
      <c r="V49" s="146">
        <v>222.22222222222223</v>
      </c>
      <c r="W49">
        <v>0</v>
      </c>
      <c r="X49">
        <f t="shared" si="3"/>
        <v>0</v>
      </c>
      <c r="Y49">
        <f>SUM(AF30_ByRubLot3[[#This Row],[0-10]:[131-140]])</f>
        <v>1</v>
      </c>
    </row>
    <row r="50" spans="1:25" x14ac:dyDescent="0.25">
      <c r="A50" t="s">
        <v>17</v>
      </c>
      <c r="B50" s="146" t="s">
        <v>180</v>
      </c>
      <c r="C50">
        <f>(AF30_ByRubLot[[#This Row],[0-10]]/AF30_ByRubLot3[[Total Charge]:[Total Charge]])</f>
        <v>0</v>
      </c>
      <c r="D50">
        <f>(AF30_ByRubLot[[#This Row],[11-20]]/AF30_ByRubLot3[[Total Charge]:[Total Charge]])</f>
        <v>0</v>
      </c>
      <c r="E50">
        <f>(AF30_ByRubLot[[#This Row],[21-30]]/AF30_ByRubLot3[[Total Charge]:[Total Charge]])</f>
        <v>0.1</v>
      </c>
      <c r="F50">
        <f>(AF30_ByRubLot[[#This Row],[31-40]]/AF30_ByRubLot3[[Total Charge]:[Total Charge]])</f>
        <v>0</v>
      </c>
      <c r="G50">
        <f>(AF30_ByRubLot[[#This Row],[41-50]]/AF30_ByRubLot3[[Total Charge]:[Total Charge]])</f>
        <v>0</v>
      </c>
      <c r="H50">
        <f>(AF30_ByRubLot[[#This Row],[51-60]]/AF30_ByRubLot3[[Total Charge]:[Total Charge]])</f>
        <v>0.2</v>
      </c>
      <c r="I50">
        <f>(AF30_ByRubLot[[#This Row],[61-70]]/AF30_ByRubLot3[[Total Charge]:[Total Charge]])</f>
        <v>0</v>
      </c>
      <c r="J50">
        <f>(AF30_ByRubLot[[#This Row],[71-80]]/AF30_ByRubLot3[[Total Charge]:[Total Charge]])</f>
        <v>0</v>
      </c>
      <c r="K50">
        <f>(AF30_ByRubLot[[#This Row],[81-90]]/AF30_ByRubLot3[[Total Charge]:[Total Charge]])</f>
        <v>0.1</v>
      </c>
      <c r="L50">
        <f>(AF30_ByRubLot[[#This Row],[91-100]]/AF30_ByRubLot3[[Total Charge]:[Total Charge]])</f>
        <v>0</v>
      </c>
      <c r="M50">
        <f>(AF30_ByRubLot[[#This Row],[101-110]]/AF30_ByRubLot3[[Total Charge]:[Total Charge]])</f>
        <v>0.3</v>
      </c>
      <c r="N50">
        <f>(AF30_ByRubLot[[#This Row],[111-120]]/AF30_ByRubLot3[[Total Charge]:[Total Charge]])</f>
        <v>0</v>
      </c>
      <c r="O50">
        <f>(AF30_ByRubLot[[#This Row],[121-130]]/AF30_ByRubLot3[[Total Charge]:[Total Charge]])</f>
        <v>0.3</v>
      </c>
      <c r="P50">
        <f>(AF30_ByRubLot[[#This Row],[131-140]]/AF30_ByRubLot3[[Total Charge]:[Total Charge]])</f>
        <v>0</v>
      </c>
      <c r="Q50">
        <v>0</v>
      </c>
      <c r="R50">
        <v>0</v>
      </c>
      <c r="S50" t="s">
        <v>6</v>
      </c>
      <c r="T50">
        <v>10</v>
      </c>
      <c r="U50" s="112"/>
      <c r="V50" s="146">
        <v>1038.8888888888889</v>
      </c>
      <c r="W50">
        <v>0</v>
      </c>
      <c r="X50">
        <f t="shared" si="3"/>
        <v>0</v>
      </c>
      <c r="Y50">
        <f>SUM(AF30_ByRubLot3[[#This Row],[0-10]:[131-140]])</f>
        <v>1</v>
      </c>
    </row>
    <row r="51" spans="1:25" x14ac:dyDescent="0.25">
      <c r="A51" t="s">
        <v>17</v>
      </c>
      <c r="B51" s="146" t="s">
        <v>181</v>
      </c>
      <c r="C51">
        <f>(AF30_ByRubLot[[#This Row],[0-10]]/AF30_ByRubLot3[[Total Charge]:[Total Charge]])</f>
        <v>0</v>
      </c>
      <c r="D51">
        <f>(AF30_ByRubLot[[#This Row],[11-20]]/AF30_ByRubLot3[[Total Charge]:[Total Charge]])</f>
        <v>0</v>
      </c>
      <c r="E51">
        <f>(AF30_ByRubLot[[#This Row],[21-30]]/AF30_ByRubLot3[[Total Charge]:[Total Charge]])</f>
        <v>0.1</v>
      </c>
      <c r="F51">
        <f>(AF30_ByRubLot[[#This Row],[31-40]]/AF30_ByRubLot3[[Total Charge]:[Total Charge]])</f>
        <v>0</v>
      </c>
      <c r="G51">
        <f>(AF30_ByRubLot[[#This Row],[41-50]]/AF30_ByRubLot3[[Total Charge]:[Total Charge]])</f>
        <v>0</v>
      </c>
      <c r="H51">
        <f>(AF30_ByRubLot[[#This Row],[51-60]]/AF30_ByRubLot3[[Total Charge]:[Total Charge]])</f>
        <v>0.2</v>
      </c>
      <c r="I51">
        <f>(AF30_ByRubLot[[#This Row],[61-70]]/AF30_ByRubLot3[[Total Charge]:[Total Charge]])</f>
        <v>0</v>
      </c>
      <c r="J51">
        <f>(AF30_ByRubLot[[#This Row],[71-80]]/AF30_ByRubLot3[[Total Charge]:[Total Charge]])</f>
        <v>0</v>
      </c>
      <c r="K51">
        <f>(AF30_ByRubLot[[#This Row],[81-90]]/AF30_ByRubLot3[[Total Charge]:[Total Charge]])</f>
        <v>0.1</v>
      </c>
      <c r="L51">
        <f>(AF30_ByRubLot[[#This Row],[91-100]]/AF30_ByRubLot3[[Total Charge]:[Total Charge]])</f>
        <v>0</v>
      </c>
      <c r="M51">
        <f>(AF30_ByRubLot[[#This Row],[101-110]]/AF30_ByRubLot3[[Total Charge]:[Total Charge]])</f>
        <v>0.3</v>
      </c>
      <c r="N51">
        <f>(AF30_ByRubLot[[#This Row],[111-120]]/AF30_ByRubLot3[[Total Charge]:[Total Charge]])</f>
        <v>0</v>
      </c>
      <c r="O51">
        <f>(AF30_ByRubLot[[#This Row],[121-130]]/AF30_ByRubLot3[[Total Charge]:[Total Charge]])</f>
        <v>0.3</v>
      </c>
      <c r="P51">
        <f>(AF30_ByRubLot[[#This Row],[131-140]]/AF30_ByRubLot3[[Total Charge]:[Total Charge]])</f>
        <v>0</v>
      </c>
      <c r="Q51">
        <v>0</v>
      </c>
      <c r="R51">
        <v>0</v>
      </c>
      <c r="S51" t="s">
        <v>6</v>
      </c>
      <c r="T51">
        <v>10</v>
      </c>
      <c r="U51" s="112"/>
      <c r="V51" s="146">
        <v>725</v>
      </c>
      <c r="W51">
        <v>400</v>
      </c>
      <c r="X51">
        <f t="shared" si="3"/>
        <v>55.172413793103445</v>
      </c>
      <c r="Y51">
        <f>SUM(AF30_ByRubLot3[[#This Row],[0-10]:[131-140]])</f>
        <v>1</v>
      </c>
    </row>
    <row r="52" spans="1:25" x14ac:dyDescent="0.25">
      <c r="A52" t="s">
        <v>17</v>
      </c>
      <c r="B52" s="146" t="s">
        <v>182</v>
      </c>
      <c r="C52">
        <f>(AF30_ByRubLot[[#This Row],[0-10]]/AF30_ByRubLot3[[Total Charge]:[Total Charge]])</f>
        <v>0</v>
      </c>
      <c r="D52">
        <f>(AF30_ByRubLot[[#This Row],[11-20]]/AF30_ByRubLot3[[Total Charge]:[Total Charge]])</f>
        <v>0</v>
      </c>
      <c r="E52">
        <f>(AF30_ByRubLot[[#This Row],[21-30]]/AF30_ByRubLot3[[Total Charge]:[Total Charge]])</f>
        <v>0.1</v>
      </c>
      <c r="F52">
        <f>(AF30_ByRubLot[[#This Row],[31-40]]/AF30_ByRubLot3[[Total Charge]:[Total Charge]])</f>
        <v>0</v>
      </c>
      <c r="G52">
        <f>(AF30_ByRubLot[[#This Row],[41-50]]/AF30_ByRubLot3[[Total Charge]:[Total Charge]])</f>
        <v>0</v>
      </c>
      <c r="H52">
        <f>(AF30_ByRubLot[[#This Row],[51-60]]/AF30_ByRubLot3[[Total Charge]:[Total Charge]])</f>
        <v>0.2</v>
      </c>
      <c r="I52">
        <f>(AF30_ByRubLot[[#This Row],[61-70]]/AF30_ByRubLot3[[Total Charge]:[Total Charge]])</f>
        <v>0</v>
      </c>
      <c r="J52">
        <f>(AF30_ByRubLot[[#This Row],[71-80]]/AF30_ByRubLot3[[Total Charge]:[Total Charge]])</f>
        <v>0</v>
      </c>
      <c r="K52">
        <f>(AF30_ByRubLot[[#This Row],[81-90]]/AF30_ByRubLot3[[Total Charge]:[Total Charge]])</f>
        <v>0.1</v>
      </c>
      <c r="L52">
        <f>(AF30_ByRubLot[[#This Row],[91-100]]/AF30_ByRubLot3[[Total Charge]:[Total Charge]])</f>
        <v>0</v>
      </c>
      <c r="M52">
        <f>(AF30_ByRubLot[[#This Row],[101-110]]/AF30_ByRubLot3[[Total Charge]:[Total Charge]])</f>
        <v>0.3</v>
      </c>
      <c r="N52">
        <f>(AF30_ByRubLot[[#This Row],[111-120]]/AF30_ByRubLot3[[Total Charge]:[Total Charge]])</f>
        <v>0</v>
      </c>
      <c r="O52">
        <f>(AF30_ByRubLot[[#This Row],[121-130]]/AF30_ByRubLot3[[Total Charge]:[Total Charge]])</f>
        <v>0.3</v>
      </c>
      <c r="P52">
        <f>(AF30_ByRubLot[[#This Row],[131-140]]/AF30_ByRubLot3[[Total Charge]:[Total Charge]])</f>
        <v>0</v>
      </c>
      <c r="Q52">
        <v>0</v>
      </c>
      <c r="R52">
        <v>0</v>
      </c>
      <c r="S52" t="s">
        <v>6</v>
      </c>
      <c r="T52">
        <v>10</v>
      </c>
      <c r="U52" s="112"/>
      <c r="V52" s="146">
        <v>925</v>
      </c>
      <c r="W52">
        <v>600</v>
      </c>
      <c r="X52">
        <f t="shared" si="3"/>
        <v>64.86486486486487</v>
      </c>
      <c r="Y52">
        <f>SUM(AF30_ByRubLot3[[#This Row],[0-10]:[131-140]])</f>
        <v>1</v>
      </c>
    </row>
    <row r="53" spans="1:25" x14ac:dyDescent="0.25">
      <c r="A53" t="s">
        <v>17</v>
      </c>
      <c r="B53" s="146" t="s">
        <v>183</v>
      </c>
      <c r="C53">
        <f>(AF30_ByRubLot[[#This Row],[0-10]]/AF30_ByRubLot3[[Total Charge]:[Total Charge]])</f>
        <v>0</v>
      </c>
      <c r="D53">
        <f>(AF30_ByRubLot[[#This Row],[11-20]]/AF30_ByRubLot3[[Total Charge]:[Total Charge]])</f>
        <v>0</v>
      </c>
      <c r="E53">
        <f>(AF30_ByRubLot[[#This Row],[21-30]]/AF30_ByRubLot3[[Total Charge]:[Total Charge]])</f>
        <v>0.1</v>
      </c>
      <c r="F53">
        <f>(AF30_ByRubLot[[#This Row],[31-40]]/AF30_ByRubLot3[[Total Charge]:[Total Charge]])</f>
        <v>0</v>
      </c>
      <c r="G53">
        <f>(AF30_ByRubLot[[#This Row],[41-50]]/AF30_ByRubLot3[[Total Charge]:[Total Charge]])</f>
        <v>0</v>
      </c>
      <c r="H53">
        <f>(AF30_ByRubLot[[#This Row],[51-60]]/AF30_ByRubLot3[[Total Charge]:[Total Charge]])</f>
        <v>0.2</v>
      </c>
      <c r="I53">
        <f>(AF30_ByRubLot[[#This Row],[61-70]]/AF30_ByRubLot3[[Total Charge]:[Total Charge]])</f>
        <v>0</v>
      </c>
      <c r="J53">
        <f>(AF30_ByRubLot[[#This Row],[71-80]]/AF30_ByRubLot3[[Total Charge]:[Total Charge]])</f>
        <v>0</v>
      </c>
      <c r="K53">
        <f>(AF30_ByRubLot[[#This Row],[81-90]]/AF30_ByRubLot3[[Total Charge]:[Total Charge]])</f>
        <v>0.1</v>
      </c>
      <c r="L53">
        <f>(AF30_ByRubLot[[#This Row],[91-100]]/AF30_ByRubLot3[[Total Charge]:[Total Charge]])</f>
        <v>0</v>
      </c>
      <c r="M53">
        <f>(AF30_ByRubLot[[#This Row],[101-110]]/AF30_ByRubLot3[[Total Charge]:[Total Charge]])</f>
        <v>0.3</v>
      </c>
      <c r="N53">
        <f>(AF30_ByRubLot[[#This Row],[111-120]]/AF30_ByRubLot3[[Total Charge]:[Total Charge]])</f>
        <v>0</v>
      </c>
      <c r="O53">
        <f>(AF30_ByRubLot[[#This Row],[121-130]]/AF30_ByRubLot3[[Total Charge]:[Total Charge]])</f>
        <v>0.3</v>
      </c>
      <c r="P53">
        <f>(AF30_ByRubLot[[#This Row],[131-140]]/AF30_ByRubLot3[[Total Charge]:[Total Charge]])</f>
        <v>0</v>
      </c>
      <c r="Q53">
        <v>0</v>
      </c>
      <c r="R53">
        <v>0</v>
      </c>
      <c r="S53" t="s">
        <v>6</v>
      </c>
      <c r="T53">
        <v>10</v>
      </c>
      <c r="U53" s="112"/>
      <c r="V53" s="146">
        <v>197.22222222222223</v>
      </c>
      <c r="W53">
        <v>0</v>
      </c>
      <c r="X53">
        <f t="shared" si="3"/>
        <v>0</v>
      </c>
      <c r="Y53">
        <f>SUM(AF30_ByRubLot3[[#This Row],[0-10]:[131-140]])</f>
        <v>1</v>
      </c>
    </row>
    <row r="54" spans="1:25" x14ac:dyDescent="0.25">
      <c r="A54" t="s">
        <v>17</v>
      </c>
      <c r="B54" s="146" t="s">
        <v>184</v>
      </c>
      <c r="C54">
        <f>(AF30_ByRubLot[[#This Row],[0-10]]/AF30_ByRubLot3[[Total Charge]:[Total Charge]])</f>
        <v>0</v>
      </c>
      <c r="D54">
        <f>(AF30_ByRubLot[[#This Row],[11-20]]/AF30_ByRubLot3[[Total Charge]:[Total Charge]])</f>
        <v>0</v>
      </c>
      <c r="E54">
        <f>(AF30_ByRubLot[[#This Row],[21-30]]/AF30_ByRubLot3[[Total Charge]:[Total Charge]])</f>
        <v>0.1</v>
      </c>
      <c r="F54">
        <f>(AF30_ByRubLot[[#This Row],[31-40]]/AF30_ByRubLot3[[Total Charge]:[Total Charge]])</f>
        <v>0</v>
      </c>
      <c r="G54">
        <f>(AF30_ByRubLot[[#This Row],[41-50]]/AF30_ByRubLot3[[Total Charge]:[Total Charge]])</f>
        <v>0</v>
      </c>
      <c r="H54">
        <f>(AF30_ByRubLot[[#This Row],[51-60]]/AF30_ByRubLot3[[Total Charge]:[Total Charge]])</f>
        <v>0.2</v>
      </c>
      <c r="I54">
        <f>(AF30_ByRubLot[[#This Row],[61-70]]/AF30_ByRubLot3[[Total Charge]:[Total Charge]])</f>
        <v>0</v>
      </c>
      <c r="J54">
        <f>(AF30_ByRubLot[[#This Row],[71-80]]/AF30_ByRubLot3[[Total Charge]:[Total Charge]])</f>
        <v>0</v>
      </c>
      <c r="K54">
        <f>(AF30_ByRubLot[[#This Row],[81-90]]/AF30_ByRubLot3[[Total Charge]:[Total Charge]])</f>
        <v>0.1</v>
      </c>
      <c r="L54">
        <f>(AF30_ByRubLot[[#This Row],[91-100]]/AF30_ByRubLot3[[Total Charge]:[Total Charge]])</f>
        <v>0</v>
      </c>
      <c r="M54">
        <f>(AF30_ByRubLot[[#This Row],[101-110]]/AF30_ByRubLot3[[Total Charge]:[Total Charge]])</f>
        <v>0.3</v>
      </c>
      <c r="N54">
        <f>(AF30_ByRubLot[[#This Row],[111-120]]/AF30_ByRubLot3[[Total Charge]:[Total Charge]])</f>
        <v>0</v>
      </c>
      <c r="O54">
        <f>(AF30_ByRubLot[[#This Row],[121-130]]/AF30_ByRubLot3[[Total Charge]:[Total Charge]])</f>
        <v>0.3</v>
      </c>
      <c r="P54">
        <f>(AF30_ByRubLot[[#This Row],[131-140]]/AF30_ByRubLot3[[Total Charge]:[Total Charge]])</f>
        <v>0</v>
      </c>
      <c r="Q54">
        <v>0</v>
      </c>
      <c r="R54">
        <v>0</v>
      </c>
      <c r="S54" t="s">
        <v>6</v>
      </c>
      <c r="T54">
        <v>10</v>
      </c>
      <c r="U54" s="112"/>
      <c r="V54" s="146">
        <v>619.44444444444446</v>
      </c>
      <c r="W54">
        <v>470.75</v>
      </c>
      <c r="X54">
        <f t="shared" si="3"/>
        <v>75.995515695067269</v>
      </c>
      <c r="Y54">
        <f>SUM(AF30_ByRubLot3[[#This Row],[0-10]:[131-140]])</f>
        <v>1</v>
      </c>
    </row>
    <row r="55" spans="1:25" x14ac:dyDescent="0.25">
      <c r="A55" t="s">
        <v>17</v>
      </c>
      <c r="B55" s="146" t="s">
        <v>185</v>
      </c>
      <c r="C55">
        <f>(AF30_ByRubLot[[#This Row],[0-10]]/AF30_ByRubLot3[[Total Charge]:[Total Charge]])</f>
        <v>0</v>
      </c>
      <c r="D55">
        <f>(AF30_ByRubLot[[#This Row],[11-20]]/AF30_ByRubLot3[[Total Charge]:[Total Charge]])</f>
        <v>0</v>
      </c>
      <c r="E55">
        <f>(AF30_ByRubLot[[#This Row],[21-30]]/AF30_ByRubLot3[[Total Charge]:[Total Charge]])</f>
        <v>0.1</v>
      </c>
      <c r="F55">
        <f>(AF30_ByRubLot[[#This Row],[31-40]]/AF30_ByRubLot3[[Total Charge]:[Total Charge]])</f>
        <v>0</v>
      </c>
      <c r="G55">
        <f>(AF30_ByRubLot[[#This Row],[41-50]]/AF30_ByRubLot3[[Total Charge]:[Total Charge]])</f>
        <v>0</v>
      </c>
      <c r="H55">
        <f>(AF30_ByRubLot[[#This Row],[51-60]]/AF30_ByRubLot3[[Total Charge]:[Total Charge]])</f>
        <v>0.2</v>
      </c>
      <c r="I55">
        <f>(AF30_ByRubLot[[#This Row],[61-70]]/AF30_ByRubLot3[[Total Charge]:[Total Charge]])</f>
        <v>0</v>
      </c>
      <c r="J55">
        <f>(AF30_ByRubLot[[#This Row],[71-80]]/AF30_ByRubLot3[[Total Charge]:[Total Charge]])</f>
        <v>0</v>
      </c>
      <c r="K55">
        <f>(AF30_ByRubLot[[#This Row],[81-90]]/AF30_ByRubLot3[[Total Charge]:[Total Charge]])</f>
        <v>0.1</v>
      </c>
      <c r="L55">
        <f>(AF30_ByRubLot[[#This Row],[91-100]]/AF30_ByRubLot3[[Total Charge]:[Total Charge]])</f>
        <v>0</v>
      </c>
      <c r="M55">
        <f>(AF30_ByRubLot[[#This Row],[101-110]]/AF30_ByRubLot3[[Total Charge]:[Total Charge]])</f>
        <v>0.3</v>
      </c>
      <c r="N55">
        <f>(AF30_ByRubLot[[#This Row],[111-120]]/AF30_ByRubLot3[[Total Charge]:[Total Charge]])</f>
        <v>0</v>
      </c>
      <c r="O55">
        <f>(AF30_ByRubLot[[#This Row],[121-130]]/AF30_ByRubLot3[[Total Charge]:[Total Charge]])</f>
        <v>0.3</v>
      </c>
      <c r="P55">
        <f>(AF30_ByRubLot[[#This Row],[131-140]]/AF30_ByRubLot3[[Total Charge]:[Total Charge]])</f>
        <v>0</v>
      </c>
      <c r="Q55">
        <v>0</v>
      </c>
      <c r="R55">
        <v>0</v>
      </c>
      <c r="S55" t="s">
        <v>6</v>
      </c>
      <c r="T55">
        <v>10</v>
      </c>
      <c r="U55" s="112"/>
      <c r="V55" s="146">
        <v>955.55555555555554</v>
      </c>
      <c r="W55">
        <v>640</v>
      </c>
      <c r="X55">
        <f t="shared" si="3"/>
        <v>66.976744186046517</v>
      </c>
      <c r="Y55">
        <f>SUM(AF30_ByRubLot3[[#This Row],[0-10]:[131-140]])</f>
        <v>1</v>
      </c>
    </row>
    <row r="56" spans="1:25" x14ac:dyDescent="0.25">
      <c r="A56" t="s">
        <v>17</v>
      </c>
      <c r="B56" s="146" t="s">
        <v>186</v>
      </c>
      <c r="C56">
        <f>(AF30_ByRubLot[[#This Row],[0-10]]/AF30_ByRubLot3[[Total Charge]:[Total Charge]])</f>
        <v>0</v>
      </c>
      <c r="D56">
        <f>(AF30_ByRubLot[[#This Row],[11-20]]/AF30_ByRubLot3[[Total Charge]:[Total Charge]])</f>
        <v>0</v>
      </c>
      <c r="E56">
        <f>(AF30_ByRubLot[[#This Row],[21-30]]/AF30_ByRubLot3[[Total Charge]:[Total Charge]])</f>
        <v>0.1</v>
      </c>
      <c r="F56">
        <f>(AF30_ByRubLot[[#This Row],[31-40]]/AF30_ByRubLot3[[Total Charge]:[Total Charge]])</f>
        <v>0</v>
      </c>
      <c r="G56">
        <f>(AF30_ByRubLot[[#This Row],[41-50]]/AF30_ByRubLot3[[Total Charge]:[Total Charge]])</f>
        <v>0</v>
      </c>
      <c r="H56">
        <f>(AF30_ByRubLot[[#This Row],[51-60]]/AF30_ByRubLot3[[Total Charge]:[Total Charge]])</f>
        <v>0.2</v>
      </c>
      <c r="I56">
        <f>(AF30_ByRubLot[[#This Row],[61-70]]/AF30_ByRubLot3[[Total Charge]:[Total Charge]])</f>
        <v>0</v>
      </c>
      <c r="J56">
        <f>(AF30_ByRubLot[[#This Row],[71-80]]/AF30_ByRubLot3[[Total Charge]:[Total Charge]])</f>
        <v>0</v>
      </c>
      <c r="K56">
        <f>(AF30_ByRubLot[[#This Row],[81-90]]/AF30_ByRubLot3[[Total Charge]:[Total Charge]])</f>
        <v>0.1</v>
      </c>
      <c r="L56">
        <f>(AF30_ByRubLot[[#This Row],[91-100]]/AF30_ByRubLot3[[Total Charge]:[Total Charge]])</f>
        <v>0</v>
      </c>
      <c r="M56">
        <f>(AF30_ByRubLot[[#This Row],[101-110]]/AF30_ByRubLot3[[Total Charge]:[Total Charge]])</f>
        <v>0.3</v>
      </c>
      <c r="N56">
        <f>(AF30_ByRubLot[[#This Row],[111-120]]/AF30_ByRubLot3[[Total Charge]:[Total Charge]])</f>
        <v>0</v>
      </c>
      <c r="O56">
        <f>(AF30_ByRubLot[[#This Row],[121-130]]/AF30_ByRubLot3[[Total Charge]:[Total Charge]])</f>
        <v>0.3</v>
      </c>
      <c r="P56">
        <f>(AF30_ByRubLot[[#This Row],[131-140]]/AF30_ByRubLot3[[Total Charge]:[Total Charge]])</f>
        <v>0</v>
      </c>
      <c r="Q56">
        <v>0</v>
      </c>
      <c r="R56">
        <v>0</v>
      </c>
      <c r="S56" t="s">
        <v>6</v>
      </c>
      <c r="T56">
        <v>10</v>
      </c>
      <c r="U56" s="112"/>
      <c r="V56" s="146">
        <v>1824.4444444444443</v>
      </c>
      <c r="W56">
        <v>1392</v>
      </c>
      <c r="X56">
        <f t="shared" si="3"/>
        <v>76.297198538367851</v>
      </c>
      <c r="Y56">
        <f>SUM(AF30_ByRubLot3[[#This Row],[0-10]:[131-140]])</f>
        <v>1</v>
      </c>
    </row>
    <row r="57" spans="1:25" x14ac:dyDescent="0.25">
      <c r="A57" t="s">
        <v>17</v>
      </c>
      <c r="B57" s="146" t="s">
        <v>187</v>
      </c>
      <c r="C57">
        <f>(AF30_ByRubLot[[#This Row],[0-10]]/AF30_ByRubLot3[[Total Charge]:[Total Charge]])</f>
        <v>0</v>
      </c>
      <c r="D57">
        <f>(AF30_ByRubLot[[#This Row],[11-20]]/AF30_ByRubLot3[[Total Charge]:[Total Charge]])</f>
        <v>0</v>
      </c>
      <c r="E57">
        <f>(AF30_ByRubLot[[#This Row],[21-30]]/AF30_ByRubLot3[[Total Charge]:[Total Charge]])</f>
        <v>0.1</v>
      </c>
      <c r="F57">
        <f>(AF30_ByRubLot[[#This Row],[31-40]]/AF30_ByRubLot3[[Total Charge]:[Total Charge]])</f>
        <v>0</v>
      </c>
      <c r="G57">
        <f>(AF30_ByRubLot[[#This Row],[41-50]]/AF30_ByRubLot3[[Total Charge]:[Total Charge]])</f>
        <v>0</v>
      </c>
      <c r="H57">
        <f>(AF30_ByRubLot[[#This Row],[51-60]]/AF30_ByRubLot3[[Total Charge]:[Total Charge]])</f>
        <v>0.2</v>
      </c>
      <c r="I57">
        <f>(AF30_ByRubLot[[#This Row],[61-70]]/AF30_ByRubLot3[[Total Charge]:[Total Charge]])</f>
        <v>0</v>
      </c>
      <c r="J57">
        <f>(AF30_ByRubLot[[#This Row],[71-80]]/AF30_ByRubLot3[[Total Charge]:[Total Charge]])</f>
        <v>0</v>
      </c>
      <c r="K57">
        <f>(AF30_ByRubLot[[#This Row],[81-90]]/AF30_ByRubLot3[[Total Charge]:[Total Charge]])</f>
        <v>0.1</v>
      </c>
      <c r="L57">
        <f>(AF30_ByRubLot[[#This Row],[91-100]]/AF30_ByRubLot3[[Total Charge]:[Total Charge]])</f>
        <v>0</v>
      </c>
      <c r="M57">
        <f>(AF30_ByRubLot[[#This Row],[101-110]]/AF30_ByRubLot3[[Total Charge]:[Total Charge]])</f>
        <v>0.3</v>
      </c>
      <c r="N57">
        <f>(AF30_ByRubLot[[#This Row],[111-120]]/AF30_ByRubLot3[[Total Charge]:[Total Charge]])</f>
        <v>0</v>
      </c>
      <c r="O57">
        <f>(AF30_ByRubLot[[#This Row],[121-130]]/AF30_ByRubLot3[[Total Charge]:[Total Charge]])</f>
        <v>0.3</v>
      </c>
      <c r="P57">
        <f>(AF30_ByRubLot[[#This Row],[131-140]]/AF30_ByRubLot3[[Total Charge]:[Total Charge]])</f>
        <v>0</v>
      </c>
      <c r="Q57">
        <v>0</v>
      </c>
      <c r="R57">
        <v>0</v>
      </c>
      <c r="S57" t="s">
        <v>6</v>
      </c>
      <c r="T57">
        <v>10</v>
      </c>
      <c r="U57" s="112"/>
      <c r="V57" s="146">
        <v>894.44444444444434</v>
      </c>
      <c r="W57">
        <v>480</v>
      </c>
      <c r="X57">
        <f t="shared" si="3"/>
        <v>53.664596273291934</v>
      </c>
      <c r="Y57">
        <f>SUM(AF30_ByRubLot3[[#This Row],[0-10]:[131-140]])</f>
        <v>1</v>
      </c>
    </row>
    <row r="58" spans="1:25" x14ac:dyDescent="0.25">
      <c r="A58" t="s">
        <v>17</v>
      </c>
      <c r="B58" s="146" t="s">
        <v>188</v>
      </c>
      <c r="C58">
        <f>(AF30_ByRubLot[[#This Row],[0-10]]/AF30_ByRubLot3[[Total Charge]:[Total Charge]])</f>
        <v>0</v>
      </c>
      <c r="D58">
        <f>(AF30_ByRubLot[[#This Row],[11-20]]/AF30_ByRubLot3[[Total Charge]:[Total Charge]])</f>
        <v>0</v>
      </c>
      <c r="E58">
        <f>(AF30_ByRubLot[[#This Row],[21-30]]/AF30_ByRubLot3[[Total Charge]:[Total Charge]])</f>
        <v>0.1</v>
      </c>
      <c r="F58">
        <f>(AF30_ByRubLot[[#This Row],[31-40]]/AF30_ByRubLot3[[Total Charge]:[Total Charge]])</f>
        <v>0</v>
      </c>
      <c r="G58">
        <f>(AF30_ByRubLot[[#This Row],[41-50]]/AF30_ByRubLot3[[Total Charge]:[Total Charge]])</f>
        <v>0</v>
      </c>
      <c r="H58">
        <f>(AF30_ByRubLot[[#This Row],[51-60]]/AF30_ByRubLot3[[Total Charge]:[Total Charge]])</f>
        <v>0.2</v>
      </c>
      <c r="I58">
        <f>(AF30_ByRubLot[[#This Row],[61-70]]/AF30_ByRubLot3[[Total Charge]:[Total Charge]])</f>
        <v>0</v>
      </c>
      <c r="J58">
        <f>(AF30_ByRubLot[[#This Row],[71-80]]/AF30_ByRubLot3[[Total Charge]:[Total Charge]])</f>
        <v>0</v>
      </c>
      <c r="K58">
        <f>(AF30_ByRubLot[[#This Row],[81-90]]/AF30_ByRubLot3[[Total Charge]:[Total Charge]])</f>
        <v>0.1</v>
      </c>
      <c r="L58">
        <f>(AF30_ByRubLot[[#This Row],[91-100]]/AF30_ByRubLot3[[Total Charge]:[Total Charge]])</f>
        <v>0</v>
      </c>
      <c r="M58">
        <f>(AF30_ByRubLot[[#This Row],[101-110]]/AF30_ByRubLot3[[Total Charge]:[Total Charge]])</f>
        <v>0.3</v>
      </c>
      <c r="N58">
        <f>(AF30_ByRubLot[[#This Row],[111-120]]/AF30_ByRubLot3[[Total Charge]:[Total Charge]])</f>
        <v>0</v>
      </c>
      <c r="O58">
        <f>(AF30_ByRubLot[[#This Row],[121-130]]/AF30_ByRubLot3[[Total Charge]:[Total Charge]])</f>
        <v>0.3</v>
      </c>
      <c r="P58">
        <f>(AF30_ByRubLot[[#This Row],[131-140]]/AF30_ByRubLot3[[Total Charge]:[Total Charge]])</f>
        <v>0</v>
      </c>
      <c r="Q58">
        <v>0</v>
      </c>
      <c r="R58">
        <v>0</v>
      </c>
      <c r="S58" t="s">
        <v>6</v>
      </c>
      <c r="T58">
        <v>10</v>
      </c>
      <c r="U58" s="112"/>
      <c r="V58" s="146">
        <v>1016.6666666666667</v>
      </c>
      <c r="W58">
        <v>675.33331999999996</v>
      </c>
      <c r="X58">
        <f t="shared" si="3"/>
        <v>66.426228196721297</v>
      </c>
      <c r="Y58">
        <f>SUM(AF30_ByRubLot3[[#This Row],[0-10]:[131-140]])</f>
        <v>1</v>
      </c>
    </row>
    <row r="59" spans="1:25" x14ac:dyDescent="0.25">
      <c r="A59" t="s">
        <v>17</v>
      </c>
      <c r="B59" s="146" t="s">
        <v>189</v>
      </c>
      <c r="C59">
        <f>(AF30_ByRubLot[[#This Row],[0-10]]/AF30_ByRubLot3[[Total Charge]:[Total Charge]])</f>
        <v>0</v>
      </c>
      <c r="D59">
        <f>(AF30_ByRubLot[[#This Row],[11-20]]/AF30_ByRubLot3[[Total Charge]:[Total Charge]])</f>
        <v>0</v>
      </c>
      <c r="E59">
        <f>(AF30_ByRubLot[[#This Row],[21-30]]/AF30_ByRubLot3[[Total Charge]:[Total Charge]])</f>
        <v>0.1</v>
      </c>
      <c r="F59">
        <f>(AF30_ByRubLot[[#This Row],[31-40]]/AF30_ByRubLot3[[Total Charge]:[Total Charge]])</f>
        <v>0</v>
      </c>
      <c r="G59">
        <f>(AF30_ByRubLot[[#This Row],[41-50]]/AF30_ByRubLot3[[Total Charge]:[Total Charge]])</f>
        <v>0</v>
      </c>
      <c r="H59">
        <f>(AF30_ByRubLot[[#This Row],[51-60]]/AF30_ByRubLot3[[Total Charge]:[Total Charge]])</f>
        <v>0.2</v>
      </c>
      <c r="I59">
        <f>(AF30_ByRubLot[[#This Row],[61-70]]/AF30_ByRubLot3[[Total Charge]:[Total Charge]])</f>
        <v>0</v>
      </c>
      <c r="J59">
        <f>(AF30_ByRubLot[[#This Row],[71-80]]/AF30_ByRubLot3[[Total Charge]:[Total Charge]])</f>
        <v>0</v>
      </c>
      <c r="K59">
        <f>(AF30_ByRubLot[[#This Row],[81-90]]/AF30_ByRubLot3[[Total Charge]:[Total Charge]])</f>
        <v>0.1</v>
      </c>
      <c r="L59">
        <f>(AF30_ByRubLot[[#This Row],[91-100]]/AF30_ByRubLot3[[Total Charge]:[Total Charge]])</f>
        <v>0</v>
      </c>
      <c r="M59">
        <f>(AF30_ByRubLot[[#This Row],[101-110]]/AF30_ByRubLot3[[Total Charge]:[Total Charge]])</f>
        <v>0.3</v>
      </c>
      <c r="N59">
        <f>(AF30_ByRubLot[[#This Row],[111-120]]/AF30_ByRubLot3[[Total Charge]:[Total Charge]])</f>
        <v>0</v>
      </c>
      <c r="O59">
        <f>(AF30_ByRubLot[[#This Row],[121-130]]/AF30_ByRubLot3[[Total Charge]:[Total Charge]])</f>
        <v>0.3</v>
      </c>
      <c r="P59">
        <f>(AF30_ByRubLot[[#This Row],[131-140]]/AF30_ByRubLot3[[Total Charge]:[Total Charge]])</f>
        <v>0</v>
      </c>
      <c r="Q59">
        <v>0</v>
      </c>
      <c r="R59">
        <v>0</v>
      </c>
      <c r="S59" t="s">
        <v>6</v>
      </c>
      <c r="T59">
        <v>10</v>
      </c>
      <c r="U59" s="112"/>
      <c r="V59" s="146">
        <v>983.33333333333326</v>
      </c>
      <c r="W59">
        <v>643.33331999999996</v>
      </c>
      <c r="X59">
        <f t="shared" si="3"/>
        <v>65.423727457627123</v>
      </c>
      <c r="Y59">
        <f>SUM(AF30_ByRubLot3[[#This Row],[0-10]:[131-140]])</f>
        <v>1</v>
      </c>
    </row>
    <row r="60" spans="1:25" x14ac:dyDescent="0.25">
      <c r="A60" t="s">
        <v>17</v>
      </c>
      <c r="B60" s="146" t="s">
        <v>190</v>
      </c>
      <c r="C60">
        <f>(AF30_ByRubLot[[#This Row],[0-10]]/AF30_ByRubLot3[[Total Charge]:[Total Charge]])</f>
        <v>0</v>
      </c>
      <c r="D60">
        <f>(AF30_ByRubLot[[#This Row],[11-20]]/AF30_ByRubLot3[[Total Charge]:[Total Charge]])</f>
        <v>0</v>
      </c>
      <c r="E60">
        <f>(AF30_ByRubLot[[#This Row],[21-30]]/AF30_ByRubLot3[[Total Charge]:[Total Charge]])</f>
        <v>0.1</v>
      </c>
      <c r="F60">
        <f>(AF30_ByRubLot[[#This Row],[31-40]]/AF30_ByRubLot3[[Total Charge]:[Total Charge]])</f>
        <v>0</v>
      </c>
      <c r="G60">
        <f>(AF30_ByRubLot[[#This Row],[41-50]]/AF30_ByRubLot3[[Total Charge]:[Total Charge]])</f>
        <v>0</v>
      </c>
      <c r="H60">
        <f>(AF30_ByRubLot[[#This Row],[51-60]]/AF30_ByRubLot3[[Total Charge]:[Total Charge]])</f>
        <v>0.2</v>
      </c>
      <c r="I60">
        <f>(AF30_ByRubLot[[#This Row],[61-70]]/AF30_ByRubLot3[[Total Charge]:[Total Charge]])</f>
        <v>0</v>
      </c>
      <c r="J60">
        <f>(AF30_ByRubLot[[#This Row],[71-80]]/AF30_ByRubLot3[[Total Charge]:[Total Charge]])</f>
        <v>0</v>
      </c>
      <c r="K60">
        <f>(AF30_ByRubLot[[#This Row],[81-90]]/AF30_ByRubLot3[[Total Charge]:[Total Charge]])</f>
        <v>0.1</v>
      </c>
      <c r="L60">
        <f>(AF30_ByRubLot[[#This Row],[91-100]]/AF30_ByRubLot3[[Total Charge]:[Total Charge]])</f>
        <v>0</v>
      </c>
      <c r="M60">
        <f>(AF30_ByRubLot[[#This Row],[101-110]]/AF30_ByRubLot3[[Total Charge]:[Total Charge]])</f>
        <v>0.3</v>
      </c>
      <c r="N60">
        <f>(AF30_ByRubLot[[#This Row],[111-120]]/AF30_ByRubLot3[[Total Charge]:[Total Charge]])</f>
        <v>0</v>
      </c>
      <c r="O60">
        <f>(AF30_ByRubLot[[#This Row],[121-130]]/AF30_ByRubLot3[[Total Charge]:[Total Charge]])</f>
        <v>0.3</v>
      </c>
      <c r="P60">
        <f>(AF30_ByRubLot[[#This Row],[131-140]]/AF30_ByRubLot3[[Total Charge]:[Total Charge]])</f>
        <v>0</v>
      </c>
      <c r="Q60">
        <v>0</v>
      </c>
      <c r="R60">
        <v>0</v>
      </c>
      <c r="S60" t="s">
        <v>6</v>
      </c>
      <c r="T60">
        <v>10</v>
      </c>
      <c r="U60" s="112"/>
      <c r="V60" s="146">
        <v>1731.6666666666665</v>
      </c>
      <c r="W60">
        <v>1272</v>
      </c>
      <c r="X60">
        <f t="shared" si="3"/>
        <v>73.45524542829645</v>
      </c>
      <c r="Y60">
        <f>SUM(AF30_ByRubLot3[[#This Row],[0-10]:[131-140]])</f>
        <v>1</v>
      </c>
    </row>
    <row r="61" spans="1:25" x14ac:dyDescent="0.25">
      <c r="A61" t="s">
        <v>17</v>
      </c>
      <c r="B61" s="146" t="s">
        <v>191</v>
      </c>
      <c r="C61">
        <f>(AF30_ByRubLot[[#This Row],[0-10]]/AF30_ByRubLot3[[Total Charge]:[Total Charge]])</f>
        <v>0</v>
      </c>
      <c r="D61">
        <f>(AF30_ByRubLot[[#This Row],[11-20]]/AF30_ByRubLot3[[Total Charge]:[Total Charge]])</f>
        <v>0</v>
      </c>
      <c r="E61">
        <f>(AF30_ByRubLot[[#This Row],[21-30]]/AF30_ByRubLot3[[Total Charge]:[Total Charge]])</f>
        <v>0.1</v>
      </c>
      <c r="F61">
        <f>(AF30_ByRubLot[[#This Row],[31-40]]/AF30_ByRubLot3[[Total Charge]:[Total Charge]])</f>
        <v>0</v>
      </c>
      <c r="G61">
        <f>(AF30_ByRubLot[[#This Row],[41-50]]/AF30_ByRubLot3[[Total Charge]:[Total Charge]])</f>
        <v>0</v>
      </c>
      <c r="H61">
        <f>(AF30_ByRubLot[[#This Row],[51-60]]/AF30_ByRubLot3[[Total Charge]:[Total Charge]])</f>
        <v>0.2</v>
      </c>
      <c r="I61">
        <f>(AF30_ByRubLot[[#This Row],[61-70]]/AF30_ByRubLot3[[Total Charge]:[Total Charge]])</f>
        <v>0</v>
      </c>
      <c r="J61">
        <f>(AF30_ByRubLot[[#This Row],[71-80]]/AF30_ByRubLot3[[Total Charge]:[Total Charge]])</f>
        <v>0</v>
      </c>
      <c r="K61">
        <f>(AF30_ByRubLot[[#This Row],[81-90]]/AF30_ByRubLot3[[Total Charge]:[Total Charge]])</f>
        <v>0.1</v>
      </c>
      <c r="L61">
        <f>(AF30_ByRubLot[[#This Row],[91-100]]/AF30_ByRubLot3[[Total Charge]:[Total Charge]])</f>
        <v>0</v>
      </c>
      <c r="M61">
        <f>(AF30_ByRubLot[[#This Row],[101-110]]/AF30_ByRubLot3[[Total Charge]:[Total Charge]])</f>
        <v>0.3</v>
      </c>
      <c r="N61">
        <f>(AF30_ByRubLot[[#This Row],[111-120]]/AF30_ByRubLot3[[Total Charge]:[Total Charge]])</f>
        <v>0</v>
      </c>
      <c r="O61">
        <f>(AF30_ByRubLot[[#This Row],[121-130]]/AF30_ByRubLot3[[Total Charge]:[Total Charge]])</f>
        <v>0.3</v>
      </c>
      <c r="P61">
        <f>(AF30_ByRubLot[[#This Row],[131-140]]/AF30_ByRubLot3[[Total Charge]:[Total Charge]])</f>
        <v>0</v>
      </c>
      <c r="Q61">
        <v>0</v>
      </c>
      <c r="R61">
        <v>0</v>
      </c>
      <c r="S61" t="s">
        <v>6</v>
      </c>
      <c r="T61">
        <v>10</v>
      </c>
      <c r="U61" s="112"/>
      <c r="V61" s="146">
        <v>1172.2222222222224</v>
      </c>
      <c r="W61">
        <v>680</v>
      </c>
      <c r="X61">
        <f t="shared" si="3"/>
        <v>58.009478672985772</v>
      </c>
      <c r="Y61">
        <f>SUM(AF30_ByRubLot3[[#This Row],[0-10]:[131-140]])</f>
        <v>1</v>
      </c>
    </row>
    <row r="62" spans="1:25" x14ac:dyDescent="0.25">
      <c r="A62" t="s">
        <v>17</v>
      </c>
      <c r="B62" s="146" t="s">
        <v>192</v>
      </c>
      <c r="C62">
        <f>(AF30_ByRubLot[[#This Row],[0-10]]/AF30_ByRubLot3[[Total Charge]:[Total Charge]])</f>
        <v>0</v>
      </c>
      <c r="D62">
        <f>(AF30_ByRubLot[[#This Row],[11-20]]/AF30_ByRubLot3[[Total Charge]:[Total Charge]])</f>
        <v>0</v>
      </c>
      <c r="E62">
        <f>(AF30_ByRubLot[[#This Row],[21-30]]/AF30_ByRubLot3[[Total Charge]:[Total Charge]])</f>
        <v>0.1</v>
      </c>
      <c r="F62">
        <f>(AF30_ByRubLot[[#This Row],[31-40]]/AF30_ByRubLot3[[Total Charge]:[Total Charge]])</f>
        <v>0</v>
      </c>
      <c r="G62">
        <f>(AF30_ByRubLot[[#This Row],[41-50]]/AF30_ByRubLot3[[Total Charge]:[Total Charge]])</f>
        <v>0</v>
      </c>
      <c r="H62">
        <f>(AF30_ByRubLot[[#This Row],[51-60]]/AF30_ByRubLot3[[Total Charge]:[Total Charge]])</f>
        <v>0.2</v>
      </c>
      <c r="I62">
        <f>(AF30_ByRubLot[[#This Row],[61-70]]/AF30_ByRubLot3[[Total Charge]:[Total Charge]])</f>
        <v>0</v>
      </c>
      <c r="J62">
        <f>(AF30_ByRubLot[[#This Row],[71-80]]/AF30_ByRubLot3[[Total Charge]:[Total Charge]])</f>
        <v>0</v>
      </c>
      <c r="K62">
        <f>(AF30_ByRubLot[[#This Row],[81-90]]/AF30_ByRubLot3[[Total Charge]:[Total Charge]])</f>
        <v>0.1</v>
      </c>
      <c r="L62">
        <f>(AF30_ByRubLot[[#This Row],[91-100]]/AF30_ByRubLot3[[Total Charge]:[Total Charge]])</f>
        <v>0</v>
      </c>
      <c r="M62">
        <f>(AF30_ByRubLot[[#This Row],[101-110]]/AF30_ByRubLot3[[Total Charge]:[Total Charge]])</f>
        <v>0.3</v>
      </c>
      <c r="N62">
        <f>(AF30_ByRubLot[[#This Row],[111-120]]/AF30_ByRubLot3[[Total Charge]:[Total Charge]])</f>
        <v>0</v>
      </c>
      <c r="O62">
        <f>(AF30_ByRubLot[[#This Row],[121-130]]/AF30_ByRubLot3[[Total Charge]:[Total Charge]])</f>
        <v>0.3</v>
      </c>
      <c r="P62">
        <f>(AF30_ByRubLot[[#This Row],[131-140]]/AF30_ByRubLot3[[Total Charge]:[Total Charge]])</f>
        <v>0</v>
      </c>
      <c r="Q62">
        <v>0</v>
      </c>
      <c r="R62">
        <v>0</v>
      </c>
      <c r="S62" t="s">
        <v>6</v>
      </c>
      <c r="T62">
        <v>10</v>
      </c>
      <c r="U62" s="112"/>
      <c r="V62" s="146">
        <v>1105.5555555555557</v>
      </c>
      <c r="W62">
        <v>712</v>
      </c>
      <c r="X62">
        <f t="shared" si="3"/>
        <v>64.402010050251249</v>
      </c>
      <c r="Y62">
        <f>SUM(AF30_ByRubLot3[[#This Row],[0-10]:[131-140]])</f>
        <v>1</v>
      </c>
    </row>
    <row r="63" spans="1:25" x14ac:dyDescent="0.25">
      <c r="A63" t="s">
        <v>17</v>
      </c>
      <c r="B63" s="146" t="s">
        <v>193</v>
      </c>
      <c r="C63">
        <f>(AF30_ByRubLot[[#This Row],[0-10]]/AF30_ByRubLot3[[Total Charge]:[Total Charge]])</f>
        <v>0</v>
      </c>
      <c r="D63">
        <f>(AF30_ByRubLot[[#This Row],[11-20]]/AF30_ByRubLot3[[Total Charge]:[Total Charge]])</f>
        <v>0</v>
      </c>
      <c r="E63">
        <f>(AF30_ByRubLot[[#This Row],[21-30]]/AF30_ByRubLot3[[Total Charge]:[Total Charge]])</f>
        <v>0.1</v>
      </c>
      <c r="F63">
        <f>(AF30_ByRubLot[[#This Row],[31-40]]/AF30_ByRubLot3[[Total Charge]:[Total Charge]])</f>
        <v>0</v>
      </c>
      <c r="G63">
        <f>(AF30_ByRubLot[[#This Row],[41-50]]/AF30_ByRubLot3[[Total Charge]:[Total Charge]])</f>
        <v>0</v>
      </c>
      <c r="H63">
        <f>(AF30_ByRubLot[[#This Row],[51-60]]/AF30_ByRubLot3[[Total Charge]:[Total Charge]])</f>
        <v>0.2</v>
      </c>
      <c r="I63">
        <f>(AF30_ByRubLot[[#This Row],[61-70]]/AF30_ByRubLot3[[Total Charge]:[Total Charge]])</f>
        <v>0</v>
      </c>
      <c r="J63">
        <f>(AF30_ByRubLot[[#This Row],[71-80]]/AF30_ByRubLot3[[Total Charge]:[Total Charge]])</f>
        <v>0</v>
      </c>
      <c r="K63">
        <f>(AF30_ByRubLot[[#This Row],[81-90]]/AF30_ByRubLot3[[Total Charge]:[Total Charge]])</f>
        <v>0.1</v>
      </c>
      <c r="L63">
        <f>(AF30_ByRubLot[[#This Row],[91-100]]/AF30_ByRubLot3[[Total Charge]:[Total Charge]])</f>
        <v>0</v>
      </c>
      <c r="M63">
        <f>(AF30_ByRubLot[[#This Row],[101-110]]/AF30_ByRubLot3[[Total Charge]:[Total Charge]])</f>
        <v>0.3</v>
      </c>
      <c r="N63">
        <f>(AF30_ByRubLot[[#This Row],[111-120]]/AF30_ByRubLot3[[Total Charge]:[Total Charge]])</f>
        <v>0</v>
      </c>
      <c r="O63">
        <f>(AF30_ByRubLot[[#This Row],[121-130]]/AF30_ByRubLot3[[Total Charge]:[Total Charge]])</f>
        <v>0.3</v>
      </c>
      <c r="P63">
        <f>(AF30_ByRubLot[[#This Row],[131-140]]/AF30_ByRubLot3[[Total Charge]:[Total Charge]])</f>
        <v>0</v>
      </c>
      <c r="Q63">
        <v>0</v>
      </c>
      <c r="R63">
        <v>0</v>
      </c>
      <c r="S63" t="s">
        <v>6</v>
      </c>
      <c r="T63">
        <v>10</v>
      </c>
      <c r="U63" s="112"/>
      <c r="V63" s="146">
        <v>1730.5555555555557</v>
      </c>
      <c r="W63">
        <v>1320</v>
      </c>
      <c r="X63">
        <f t="shared" si="3"/>
        <v>76.276083467094708</v>
      </c>
      <c r="Y63">
        <f>SUM(AF30_ByRubLot3[[#This Row],[0-10]:[131-140]])</f>
        <v>1</v>
      </c>
    </row>
    <row r="64" spans="1:25" x14ac:dyDescent="0.25">
      <c r="A64" t="s">
        <v>17</v>
      </c>
      <c r="B64" s="146" t="s">
        <v>194</v>
      </c>
      <c r="C64">
        <f>(AF30_ByRubLot[[#This Row],[0-10]]/AF30_ByRubLot3[[Total Charge]:[Total Charge]])</f>
        <v>0</v>
      </c>
      <c r="D64">
        <f>(AF30_ByRubLot[[#This Row],[11-20]]/AF30_ByRubLot3[[Total Charge]:[Total Charge]])</f>
        <v>0</v>
      </c>
      <c r="E64">
        <f>(AF30_ByRubLot[[#This Row],[21-30]]/AF30_ByRubLot3[[Total Charge]:[Total Charge]])</f>
        <v>0.1</v>
      </c>
      <c r="F64">
        <f>(AF30_ByRubLot[[#This Row],[31-40]]/AF30_ByRubLot3[[Total Charge]:[Total Charge]])</f>
        <v>0</v>
      </c>
      <c r="G64">
        <f>(AF30_ByRubLot[[#This Row],[41-50]]/AF30_ByRubLot3[[Total Charge]:[Total Charge]])</f>
        <v>0</v>
      </c>
      <c r="H64">
        <f>(AF30_ByRubLot[[#This Row],[51-60]]/AF30_ByRubLot3[[Total Charge]:[Total Charge]])</f>
        <v>0.2</v>
      </c>
      <c r="I64">
        <f>(AF30_ByRubLot[[#This Row],[61-70]]/AF30_ByRubLot3[[Total Charge]:[Total Charge]])</f>
        <v>0</v>
      </c>
      <c r="J64">
        <f>(AF30_ByRubLot[[#This Row],[71-80]]/AF30_ByRubLot3[[Total Charge]:[Total Charge]])</f>
        <v>0</v>
      </c>
      <c r="K64">
        <f>(AF30_ByRubLot[[#This Row],[81-90]]/AF30_ByRubLot3[[Total Charge]:[Total Charge]])</f>
        <v>0.1</v>
      </c>
      <c r="L64">
        <f>(AF30_ByRubLot[[#This Row],[91-100]]/AF30_ByRubLot3[[Total Charge]:[Total Charge]])</f>
        <v>0</v>
      </c>
      <c r="M64">
        <f>(AF30_ByRubLot[[#This Row],[101-110]]/AF30_ByRubLot3[[Total Charge]:[Total Charge]])</f>
        <v>0.3</v>
      </c>
      <c r="N64">
        <f>(AF30_ByRubLot[[#This Row],[111-120]]/AF30_ByRubLot3[[Total Charge]:[Total Charge]])</f>
        <v>0</v>
      </c>
      <c r="O64">
        <f>(AF30_ByRubLot[[#This Row],[121-130]]/AF30_ByRubLot3[[Total Charge]:[Total Charge]])</f>
        <v>0.3</v>
      </c>
      <c r="P64">
        <f>(AF30_ByRubLot[[#This Row],[131-140]]/AF30_ByRubLot3[[Total Charge]:[Total Charge]])</f>
        <v>0</v>
      </c>
      <c r="Q64">
        <v>0</v>
      </c>
      <c r="R64">
        <v>0</v>
      </c>
      <c r="S64" t="s">
        <v>6</v>
      </c>
      <c r="T64">
        <v>10</v>
      </c>
      <c r="U64" s="112"/>
      <c r="V64" s="146">
        <v>730.55555555555554</v>
      </c>
      <c r="W64">
        <v>0</v>
      </c>
      <c r="X64">
        <f t="shared" si="3"/>
        <v>0</v>
      </c>
      <c r="Y64">
        <f>SUM(AF30_ByRubLot3[[#This Row],[0-10]:[131-140]])</f>
        <v>1</v>
      </c>
    </row>
    <row r="65" spans="1:25" x14ac:dyDescent="0.25">
      <c r="A65" t="s">
        <v>17</v>
      </c>
      <c r="B65" s="146" t="s">
        <v>195</v>
      </c>
      <c r="C65">
        <f>(AF30_ByRubLot[[#This Row],[0-10]]/AF30_ByRubLot3[[Total Charge]:[Total Charge]])</f>
        <v>0</v>
      </c>
      <c r="D65">
        <f>(AF30_ByRubLot[[#This Row],[11-20]]/AF30_ByRubLot3[[Total Charge]:[Total Charge]])</f>
        <v>0</v>
      </c>
      <c r="E65">
        <f>(AF30_ByRubLot[[#This Row],[21-30]]/AF30_ByRubLot3[[Total Charge]:[Total Charge]])</f>
        <v>0.1</v>
      </c>
      <c r="F65">
        <f>(AF30_ByRubLot[[#This Row],[31-40]]/AF30_ByRubLot3[[Total Charge]:[Total Charge]])</f>
        <v>0</v>
      </c>
      <c r="G65">
        <f>(AF30_ByRubLot[[#This Row],[41-50]]/AF30_ByRubLot3[[Total Charge]:[Total Charge]])</f>
        <v>0</v>
      </c>
      <c r="H65">
        <f>(AF30_ByRubLot[[#This Row],[51-60]]/AF30_ByRubLot3[[Total Charge]:[Total Charge]])</f>
        <v>0.2</v>
      </c>
      <c r="I65">
        <f>(AF30_ByRubLot[[#This Row],[61-70]]/AF30_ByRubLot3[[Total Charge]:[Total Charge]])</f>
        <v>0</v>
      </c>
      <c r="J65">
        <f>(AF30_ByRubLot[[#This Row],[71-80]]/AF30_ByRubLot3[[Total Charge]:[Total Charge]])</f>
        <v>0</v>
      </c>
      <c r="K65">
        <f>(AF30_ByRubLot[[#This Row],[81-90]]/AF30_ByRubLot3[[Total Charge]:[Total Charge]])</f>
        <v>0.1</v>
      </c>
      <c r="L65">
        <f>(AF30_ByRubLot[[#This Row],[91-100]]/AF30_ByRubLot3[[Total Charge]:[Total Charge]])</f>
        <v>0</v>
      </c>
      <c r="M65">
        <f>(AF30_ByRubLot[[#This Row],[101-110]]/AF30_ByRubLot3[[Total Charge]:[Total Charge]])</f>
        <v>0.3</v>
      </c>
      <c r="N65">
        <f>(AF30_ByRubLot[[#This Row],[111-120]]/AF30_ByRubLot3[[Total Charge]:[Total Charge]])</f>
        <v>0</v>
      </c>
      <c r="O65">
        <f>(AF30_ByRubLot[[#This Row],[121-130]]/AF30_ByRubLot3[[Total Charge]:[Total Charge]])</f>
        <v>0.3</v>
      </c>
      <c r="P65">
        <f>(AF30_ByRubLot[[#This Row],[131-140]]/AF30_ByRubLot3[[Total Charge]:[Total Charge]])</f>
        <v>0</v>
      </c>
      <c r="Q65">
        <v>0</v>
      </c>
      <c r="R65">
        <v>0</v>
      </c>
      <c r="S65" t="s">
        <v>6</v>
      </c>
      <c r="T65">
        <v>10</v>
      </c>
      <c r="U65" s="112"/>
      <c r="V65" s="146">
        <v>494.44444444444446</v>
      </c>
      <c r="W65">
        <v>400</v>
      </c>
      <c r="X65">
        <f t="shared" si="3"/>
        <v>80.898876404494374</v>
      </c>
      <c r="Y65">
        <f>SUM(AF30_ByRubLot3[[#This Row],[0-10]:[131-140]])</f>
        <v>1</v>
      </c>
    </row>
    <row r="66" spans="1:25" x14ac:dyDescent="0.25">
      <c r="A66" t="s">
        <v>17</v>
      </c>
      <c r="B66" s="146" t="s">
        <v>196</v>
      </c>
      <c r="C66">
        <f>(AF30_ByRubLot[[#This Row],[0-10]]/AF30_ByRubLot3[[Total Charge]:[Total Charge]])</f>
        <v>0</v>
      </c>
      <c r="D66">
        <f>(AF30_ByRubLot[[#This Row],[11-20]]/AF30_ByRubLot3[[Total Charge]:[Total Charge]])</f>
        <v>0</v>
      </c>
      <c r="E66">
        <f>(AF30_ByRubLot[[#This Row],[21-30]]/AF30_ByRubLot3[[Total Charge]:[Total Charge]])</f>
        <v>0.1</v>
      </c>
      <c r="F66">
        <f>(AF30_ByRubLot[[#This Row],[31-40]]/AF30_ByRubLot3[[Total Charge]:[Total Charge]])</f>
        <v>0</v>
      </c>
      <c r="G66">
        <f>(AF30_ByRubLot[[#This Row],[41-50]]/AF30_ByRubLot3[[Total Charge]:[Total Charge]])</f>
        <v>0</v>
      </c>
      <c r="H66">
        <f>(AF30_ByRubLot[[#This Row],[51-60]]/AF30_ByRubLot3[[Total Charge]:[Total Charge]])</f>
        <v>0.2</v>
      </c>
      <c r="I66">
        <f>(AF30_ByRubLot[[#This Row],[61-70]]/AF30_ByRubLot3[[Total Charge]:[Total Charge]])</f>
        <v>0</v>
      </c>
      <c r="J66">
        <f>(AF30_ByRubLot[[#This Row],[71-80]]/AF30_ByRubLot3[[Total Charge]:[Total Charge]])</f>
        <v>0</v>
      </c>
      <c r="K66">
        <f>(AF30_ByRubLot[[#This Row],[81-90]]/AF30_ByRubLot3[[Total Charge]:[Total Charge]])</f>
        <v>0.1</v>
      </c>
      <c r="L66">
        <f>(AF30_ByRubLot[[#This Row],[91-100]]/AF30_ByRubLot3[[Total Charge]:[Total Charge]])</f>
        <v>0</v>
      </c>
      <c r="M66">
        <f>(AF30_ByRubLot[[#This Row],[101-110]]/AF30_ByRubLot3[[Total Charge]:[Total Charge]])</f>
        <v>0.3</v>
      </c>
      <c r="N66">
        <f>(AF30_ByRubLot[[#This Row],[111-120]]/AF30_ByRubLot3[[Total Charge]:[Total Charge]])</f>
        <v>0</v>
      </c>
      <c r="O66">
        <f>(AF30_ByRubLot[[#This Row],[121-130]]/AF30_ByRubLot3[[Total Charge]:[Total Charge]])</f>
        <v>0.3</v>
      </c>
      <c r="P66">
        <f>(AF30_ByRubLot[[#This Row],[131-140]]/AF30_ByRubLot3[[Total Charge]:[Total Charge]])</f>
        <v>0</v>
      </c>
      <c r="Q66">
        <v>0</v>
      </c>
      <c r="R66">
        <v>0</v>
      </c>
      <c r="S66" t="s">
        <v>6</v>
      </c>
      <c r="T66">
        <v>10</v>
      </c>
      <c r="U66" s="112"/>
      <c r="V66" s="146">
        <v>605.55555555555554</v>
      </c>
      <c r="W66">
        <v>440</v>
      </c>
      <c r="X66">
        <f t="shared" si="3"/>
        <v>72.660550458715605</v>
      </c>
      <c r="Y66">
        <f>SUM(AF30_ByRubLot3[[#This Row],[0-10]:[131-140]])</f>
        <v>1</v>
      </c>
    </row>
    <row r="67" spans="1:25" x14ac:dyDescent="0.25">
      <c r="A67" t="s">
        <v>17</v>
      </c>
      <c r="B67" s="146" t="s">
        <v>197</v>
      </c>
      <c r="C67">
        <f>(AF30_ByRubLot[[#This Row],[0-10]]/AF30_ByRubLot3[[Total Charge]:[Total Charge]])</f>
        <v>0</v>
      </c>
      <c r="D67">
        <f>(AF30_ByRubLot[[#This Row],[11-20]]/AF30_ByRubLot3[[Total Charge]:[Total Charge]])</f>
        <v>0</v>
      </c>
      <c r="E67">
        <f>(AF30_ByRubLot[[#This Row],[21-30]]/AF30_ByRubLot3[[Total Charge]:[Total Charge]])</f>
        <v>0.1</v>
      </c>
      <c r="F67">
        <f>(AF30_ByRubLot[[#This Row],[31-40]]/AF30_ByRubLot3[[Total Charge]:[Total Charge]])</f>
        <v>0</v>
      </c>
      <c r="G67">
        <f>(AF30_ByRubLot[[#This Row],[41-50]]/AF30_ByRubLot3[[Total Charge]:[Total Charge]])</f>
        <v>0</v>
      </c>
      <c r="H67">
        <f>(AF30_ByRubLot[[#This Row],[51-60]]/AF30_ByRubLot3[[Total Charge]:[Total Charge]])</f>
        <v>0.2</v>
      </c>
      <c r="I67">
        <f>(AF30_ByRubLot[[#This Row],[61-70]]/AF30_ByRubLot3[[Total Charge]:[Total Charge]])</f>
        <v>0</v>
      </c>
      <c r="J67">
        <f>(AF30_ByRubLot[[#This Row],[71-80]]/AF30_ByRubLot3[[Total Charge]:[Total Charge]])</f>
        <v>0</v>
      </c>
      <c r="K67">
        <f>(AF30_ByRubLot[[#This Row],[81-90]]/AF30_ByRubLot3[[Total Charge]:[Total Charge]])</f>
        <v>0.1</v>
      </c>
      <c r="L67">
        <f>(AF30_ByRubLot[[#This Row],[91-100]]/AF30_ByRubLot3[[Total Charge]:[Total Charge]])</f>
        <v>0</v>
      </c>
      <c r="M67">
        <f>(AF30_ByRubLot[[#This Row],[101-110]]/AF30_ByRubLot3[[Total Charge]:[Total Charge]])</f>
        <v>0.3</v>
      </c>
      <c r="N67">
        <f>(AF30_ByRubLot[[#This Row],[111-120]]/AF30_ByRubLot3[[Total Charge]:[Total Charge]])</f>
        <v>0</v>
      </c>
      <c r="O67">
        <f>(AF30_ByRubLot[[#This Row],[121-130]]/AF30_ByRubLot3[[Total Charge]:[Total Charge]])</f>
        <v>0.3</v>
      </c>
      <c r="P67">
        <f>(AF30_ByRubLot[[#This Row],[131-140]]/AF30_ByRubLot3[[Total Charge]:[Total Charge]])</f>
        <v>0</v>
      </c>
      <c r="Q67">
        <v>0</v>
      </c>
      <c r="R67">
        <v>0</v>
      </c>
      <c r="S67" t="s">
        <v>6</v>
      </c>
      <c r="T67">
        <v>10</v>
      </c>
      <c r="U67" s="112"/>
      <c r="V67" s="146">
        <v>1375</v>
      </c>
      <c r="W67">
        <v>1027</v>
      </c>
      <c r="X67">
        <f t="shared" si="3"/>
        <v>74.690909090909088</v>
      </c>
      <c r="Y67">
        <f>SUM(AF30_ByRubLot3[[#This Row],[0-10]:[131-140]])</f>
        <v>1</v>
      </c>
    </row>
    <row r="68" spans="1:25" x14ac:dyDescent="0.25">
      <c r="A68" t="str">
        <f>'Data From Lance'!$A$35</f>
        <v>1D09L01</v>
      </c>
      <c r="B68" t="s">
        <v>198</v>
      </c>
      <c r="C68">
        <f>(AF30_ByRubLot[[#This Row],[0-10]]/AF30_ByRubLot3[[Total Charge]:[Total Charge]])</f>
        <v>0</v>
      </c>
      <c r="D68">
        <f>(AF30_ByRubLot[[#This Row],[11-20]]/AF30_ByRubLot3[[Total Charge]:[Total Charge]])</f>
        <v>0</v>
      </c>
      <c r="E68">
        <f>(AF30_ByRubLot[[#This Row],[21-30]]/AF30_ByRubLot3[[Total Charge]:[Total Charge]])</f>
        <v>0</v>
      </c>
      <c r="F68">
        <f>(AF30_ByRubLot[[#This Row],[31-40]]/AF30_ByRubLot3[[Total Charge]:[Total Charge]])</f>
        <v>0</v>
      </c>
      <c r="G68">
        <f>(AF30_ByRubLot[[#This Row],[41-50]]/AF30_ByRubLot3[[Total Charge]:[Total Charge]])</f>
        <v>0</v>
      </c>
      <c r="H68">
        <f>(AF30_ByRubLot[[#This Row],[51-60]]/AF30_ByRubLot3[[Total Charge]:[Total Charge]])</f>
        <v>0</v>
      </c>
      <c r="I68">
        <f>(AF30_ByRubLot[[#This Row],[61-70]]/AF30_ByRubLot3[[Total Charge]:[Total Charge]])</f>
        <v>0.4</v>
      </c>
      <c r="J68">
        <f>(AF30_ByRubLot[[#This Row],[71-80]]/AF30_ByRubLot3[[Total Charge]:[Total Charge]])</f>
        <v>0.2</v>
      </c>
      <c r="K68">
        <f>(AF30_ByRubLot[[#This Row],[81-90]]/AF30_ByRubLot3[[Total Charge]:[Total Charge]])</f>
        <v>0.4</v>
      </c>
      <c r="L68">
        <f>(AF30_ByRubLot[[#This Row],[91-100]]/AF30_ByRubLot3[[Total Charge]:[Total Charge]])</f>
        <v>0</v>
      </c>
      <c r="M68">
        <f>(AF30_ByRubLot[[#This Row],[101-110]]/AF30_ByRubLot3[[Total Charge]:[Total Charge]])</f>
        <v>0</v>
      </c>
      <c r="N68">
        <f>(AF30_ByRubLot[[#This Row],[111-120]]/AF30_ByRubLot3[[Total Charge]:[Total Charge]])</f>
        <v>0</v>
      </c>
      <c r="O68">
        <f>(AF30_ByRubLot[[#This Row],[121-130]]/AF30_ByRubLot3[[Total Charge]:[Total Charge]])</f>
        <v>0</v>
      </c>
      <c r="P68">
        <f>(AF30_ByRubLot[[#This Row],[131-140]]/AF30_ByRubLot3[[Total Charge]:[Total Charge]])</f>
        <v>0</v>
      </c>
      <c r="Q68">
        <v>1</v>
      </c>
      <c r="R68">
        <v>1</v>
      </c>
      <c r="S68" t="s">
        <v>77</v>
      </c>
      <c r="T68">
        <v>5</v>
      </c>
      <c r="U68" s="113"/>
      <c r="V68" s="146">
        <v>286.11111111111109</v>
      </c>
      <c r="W68">
        <v>0</v>
      </c>
      <c r="X68">
        <f>(W68/V68)*100</f>
        <v>0</v>
      </c>
      <c r="Y68">
        <f>SUM(AF30_ByRubLot3[[#This Row],[0-10]:[131-140]])</f>
        <v>1</v>
      </c>
    </row>
    <row r="69" spans="1:25" x14ac:dyDescent="0.25">
      <c r="A69" t="str">
        <f>'Data From Lance'!$A$35</f>
        <v>1D09L01</v>
      </c>
      <c r="B69" s="146" t="s">
        <v>199</v>
      </c>
      <c r="C69">
        <f>(AF30_ByRubLot[[#This Row],[0-10]]/AF30_ByRubLot3[[Total Charge]:[Total Charge]])</f>
        <v>0</v>
      </c>
      <c r="D69">
        <f>(AF30_ByRubLot[[#This Row],[11-20]]/AF30_ByRubLot3[[Total Charge]:[Total Charge]])</f>
        <v>0</v>
      </c>
      <c r="E69">
        <f>(AF30_ByRubLot[[#This Row],[21-30]]/AF30_ByRubLot3[[Total Charge]:[Total Charge]])</f>
        <v>0</v>
      </c>
      <c r="F69">
        <f>(AF30_ByRubLot[[#This Row],[31-40]]/AF30_ByRubLot3[[Total Charge]:[Total Charge]])</f>
        <v>0</v>
      </c>
      <c r="G69">
        <f>(AF30_ByRubLot[[#This Row],[41-50]]/AF30_ByRubLot3[[Total Charge]:[Total Charge]])</f>
        <v>0</v>
      </c>
      <c r="H69">
        <f>(AF30_ByRubLot[[#This Row],[51-60]]/AF30_ByRubLot3[[Total Charge]:[Total Charge]])</f>
        <v>0</v>
      </c>
      <c r="I69">
        <f>(AF30_ByRubLot[[#This Row],[61-70]]/AF30_ByRubLot3[[Total Charge]:[Total Charge]])</f>
        <v>0.4</v>
      </c>
      <c r="J69">
        <f>(AF30_ByRubLot[[#This Row],[71-80]]/AF30_ByRubLot3[[Total Charge]:[Total Charge]])</f>
        <v>0.2</v>
      </c>
      <c r="K69">
        <f>(AF30_ByRubLot[[#This Row],[81-90]]/AF30_ByRubLot3[[Total Charge]:[Total Charge]])</f>
        <v>0.4</v>
      </c>
      <c r="L69">
        <f>(AF30_ByRubLot[[#This Row],[91-100]]/AF30_ByRubLot3[[Total Charge]:[Total Charge]])</f>
        <v>0</v>
      </c>
      <c r="M69">
        <f>(AF30_ByRubLot[[#This Row],[101-110]]/AF30_ByRubLot3[[Total Charge]:[Total Charge]])</f>
        <v>0</v>
      </c>
      <c r="N69">
        <f>(AF30_ByRubLot[[#This Row],[111-120]]/AF30_ByRubLot3[[Total Charge]:[Total Charge]])</f>
        <v>0</v>
      </c>
      <c r="O69">
        <f>(AF30_ByRubLot[[#This Row],[121-130]]/AF30_ByRubLot3[[Total Charge]:[Total Charge]])</f>
        <v>0</v>
      </c>
      <c r="P69">
        <f>(AF30_ByRubLot[[#This Row],[131-140]]/AF30_ByRubLot3[[Total Charge]:[Total Charge]])</f>
        <v>0</v>
      </c>
      <c r="Q69">
        <v>1</v>
      </c>
      <c r="R69">
        <v>1</v>
      </c>
      <c r="S69" t="s">
        <v>77</v>
      </c>
      <c r="T69">
        <v>5</v>
      </c>
      <c r="U69" s="113"/>
      <c r="V69" s="146">
        <v>291.66666666666669</v>
      </c>
      <c r="W69">
        <v>0</v>
      </c>
      <c r="X69">
        <f>(W69/V69)*100</f>
        <v>0</v>
      </c>
      <c r="Y69">
        <f>SUM(AF30_ByRubLot3[[#This Row],[0-10]:[131-140]])</f>
        <v>1</v>
      </c>
    </row>
    <row r="70" spans="1:25" x14ac:dyDescent="0.25">
      <c r="A70" t="str">
        <f>'Data From Lance'!$A$35</f>
        <v>1D09L01</v>
      </c>
      <c r="B70" s="146" t="s">
        <v>200</v>
      </c>
      <c r="C70">
        <f>(AF30_ByRubLot[[#This Row],[0-10]]/AF30_ByRubLot3[[Total Charge]:[Total Charge]])</f>
        <v>0</v>
      </c>
      <c r="D70">
        <f>(AF30_ByRubLot[[#This Row],[11-20]]/AF30_ByRubLot3[[Total Charge]:[Total Charge]])</f>
        <v>0</v>
      </c>
      <c r="E70">
        <f>(AF30_ByRubLot[[#This Row],[21-30]]/AF30_ByRubLot3[[Total Charge]:[Total Charge]])</f>
        <v>0</v>
      </c>
      <c r="F70">
        <f>(AF30_ByRubLot[[#This Row],[31-40]]/AF30_ByRubLot3[[Total Charge]:[Total Charge]])</f>
        <v>0</v>
      </c>
      <c r="G70">
        <f>(AF30_ByRubLot[[#This Row],[41-50]]/AF30_ByRubLot3[[Total Charge]:[Total Charge]])</f>
        <v>0</v>
      </c>
      <c r="H70">
        <f>(AF30_ByRubLot[[#This Row],[51-60]]/AF30_ByRubLot3[[Total Charge]:[Total Charge]])</f>
        <v>0</v>
      </c>
      <c r="I70">
        <f>(AF30_ByRubLot[[#This Row],[61-70]]/AF30_ByRubLot3[[Total Charge]:[Total Charge]])</f>
        <v>0.4</v>
      </c>
      <c r="J70">
        <f>(AF30_ByRubLot[[#This Row],[71-80]]/AF30_ByRubLot3[[Total Charge]:[Total Charge]])</f>
        <v>0.2</v>
      </c>
      <c r="K70">
        <f>(AF30_ByRubLot[[#This Row],[81-90]]/AF30_ByRubLot3[[Total Charge]:[Total Charge]])</f>
        <v>0.4</v>
      </c>
      <c r="L70">
        <f>(AF30_ByRubLot[[#This Row],[91-100]]/AF30_ByRubLot3[[Total Charge]:[Total Charge]])</f>
        <v>0</v>
      </c>
      <c r="M70">
        <f>(AF30_ByRubLot[[#This Row],[101-110]]/AF30_ByRubLot3[[Total Charge]:[Total Charge]])</f>
        <v>0</v>
      </c>
      <c r="N70">
        <f>(AF30_ByRubLot[[#This Row],[111-120]]/AF30_ByRubLot3[[Total Charge]:[Total Charge]])</f>
        <v>0</v>
      </c>
      <c r="O70">
        <f>(AF30_ByRubLot[[#This Row],[121-130]]/AF30_ByRubLot3[[Total Charge]:[Total Charge]])</f>
        <v>0</v>
      </c>
      <c r="P70">
        <f>(AF30_ByRubLot[[#This Row],[131-140]]/AF30_ByRubLot3[[Total Charge]:[Total Charge]])</f>
        <v>0</v>
      </c>
      <c r="Q70">
        <v>1</v>
      </c>
      <c r="R70">
        <v>1</v>
      </c>
      <c r="S70" t="s">
        <v>77</v>
      </c>
      <c r="T70">
        <v>5</v>
      </c>
      <c r="U70" s="113"/>
      <c r="V70" s="146">
        <v>627.22222222222217</v>
      </c>
      <c r="W70">
        <v>0</v>
      </c>
      <c r="X70">
        <f>(W70/V70)*100</f>
        <v>0</v>
      </c>
      <c r="Y70">
        <f>SUM(AF30_ByRubLot3[[#This Row],[0-10]:[131-140]])</f>
        <v>1</v>
      </c>
    </row>
    <row r="71" spans="1:25" x14ac:dyDescent="0.25">
      <c r="A71" t="str">
        <f>'Data From Lance'!$A$35</f>
        <v>1D09L01</v>
      </c>
      <c r="B71" s="146" t="s">
        <v>201</v>
      </c>
      <c r="C71">
        <f>(AF30_ByRubLot[[#This Row],[0-10]]/AF30_ByRubLot3[[Total Charge]:[Total Charge]])</f>
        <v>0</v>
      </c>
      <c r="D71">
        <f>(AF30_ByRubLot[[#This Row],[11-20]]/AF30_ByRubLot3[[Total Charge]:[Total Charge]])</f>
        <v>0</v>
      </c>
      <c r="E71">
        <f>(AF30_ByRubLot[[#This Row],[21-30]]/AF30_ByRubLot3[[Total Charge]:[Total Charge]])</f>
        <v>0</v>
      </c>
      <c r="F71">
        <f>(AF30_ByRubLot[[#This Row],[31-40]]/AF30_ByRubLot3[[Total Charge]:[Total Charge]])</f>
        <v>0</v>
      </c>
      <c r="G71">
        <f>(AF30_ByRubLot[[#This Row],[41-50]]/AF30_ByRubLot3[[Total Charge]:[Total Charge]])</f>
        <v>0</v>
      </c>
      <c r="H71">
        <f>(AF30_ByRubLot[[#This Row],[51-60]]/AF30_ByRubLot3[[Total Charge]:[Total Charge]])</f>
        <v>0</v>
      </c>
      <c r="I71">
        <f>(AF30_ByRubLot[[#This Row],[61-70]]/AF30_ByRubLot3[[Total Charge]:[Total Charge]])</f>
        <v>0.4</v>
      </c>
      <c r="J71">
        <f>(AF30_ByRubLot[[#This Row],[71-80]]/AF30_ByRubLot3[[Total Charge]:[Total Charge]])</f>
        <v>0.2</v>
      </c>
      <c r="K71">
        <f>(AF30_ByRubLot[[#This Row],[81-90]]/AF30_ByRubLot3[[Total Charge]:[Total Charge]])</f>
        <v>0.4</v>
      </c>
      <c r="L71">
        <f>(AF30_ByRubLot[[#This Row],[91-100]]/AF30_ByRubLot3[[Total Charge]:[Total Charge]])</f>
        <v>0</v>
      </c>
      <c r="M71">
        <f>(AF30_ByRubLot[[#This Row],[101-110]]/AF30_ByRubLot3[[Total Charge]:[Total Charge]])</f>
        <v>0</v>
      </c>
      <c r="N71">
        <f>(AF30_ByRubLot[[#This Row],[111-120]]/AF30_ByRubLot3[[Total Charge]:[Total Charge]])</f>
        <v>0</v>
      </c>
      <c r="O71">
        <f>(AF30_ByRubLot[[#This Row],[121-130]]/AF30_ByRubLot3[[Total Charge]:[Total Charge]])</f>
        <v>0</v>
      </c>
      <c r="P71">
        <f>(AF30_ByRubLot[[#This Row],[131-140]]/AF30_ByRubLot3[[Total Charge]:[Total Charge]])</f>
        <v>0</v>
      </c>
      <c r="Q71">
        <v>1</v>
      </c>
      <c r="R71">
        <v>1</v>
      </c>
      <c r="S71" t="s">
        <v>77</v>
      </c>
      <c r="T71">
        <v>5</v>
      </c>
      <c r="U71" s="113"/>
      <c r="V71" s="146">
        <v>3522.2222222222226</v>
      </c>
      <c r="W71">
        <v>1280</v>
      </c>
      <c r="X71">
        <f t="shared" ref="X71:X76" si="4">(W71/V71)*100</f>
        <v>36.340694006309143</v>
      </c>
      <c r="Y71">
        <f>SUM(AF30_ByRubLot3[[#This Row],[0-10]:[131-140]])</f>
        <v>1</v>
      </c>
    </row>
    <row r="72" spans="1:25" x14ac:dyDescent="0.25">
      <c r="A72" t="str">
        <f>'Data From Lance'!$A$35</f>
        <v>1D09L01</v>
      </c>
      <c r="B72" s="146" t="s">
        <v>202</v>
      </c>
      <c r="C72">
        <f>(AF30_ByRubLot[[#This Row],[0-10]]/AF30_ByRubLot3[[Total Charge]:[Total Charge]])</f>
        <v>0</v>
      </c>
      <c r="D72">
        <f>(AF30_ByRubLot[[#This Row],[11-20]]/AF30_ByRubLot3[[Total Charge]:[Total Charge]])</f>
        <v>0</v>
      </c>
      <c r="E72">
        <f>(AF30_ByRubLot[[#This Row],[21-30]]/AF30_ByRubLot3[[Total Charge]:[Total Charge]])</f>
        <v>0</v>
      </c>
      <c r="F72">
        <f>(AF30_ByRubLot[[#This Row],[31-40]]/AF30_ByRubLot3[[Total Charge]:[Total Charge]])</f>
        <v>0</v>
      </c>
      <c r="G72">
        <f>(AF30_ByRubLot[[#This Row],[41-50]]/AF30_ByRubLot3[[Total Charge]:[Total Charge]])</f>
        <v>0</v>
      </c>
      <c r="H72">
        <f>(AF30_ByRubLot[[#This Row],[51-60]]/AF30_ByRubLot3[[Total Charge]:[Total Charge]])</f>
        <v>0</v>
      </c>
      <c r="I72">
        <f>(AF30_ByRubLot[[#This Row],[61-70]]/AF30_ByRubLot3[[Total Charge]:[Total Charge]])</f>
        <v>0.4</v>
      </c>
      <c r="J72">
        <f>(AF30_ByRubLot[[#This Row],[71-80]]/AF30_ByRubLot3[[Total Charge]:[Total Charge]])</f>
        <v>0.2</v>
      </c>
      <c r="K72">
        <f>(AF30_ByRubLot[[#This Row],[81-90]]/AF30_ByRubLot3[[Total Charge]:[Total Charge]])</f>
        <v>0.4</v>
      </c>
      <c r="L72">
        <f>(AF30_ByRubLot[[#This Row],[91-100]]/AF30_ByRubLot3[[Total Charge]:[Total Charge]])</f>
        <v>0</v>
      </c>
      <c r="M72">
        <f>(AF30_ByRubLot[[#This Row],[101-110]]/AF30_ByRubLot3[[Total Charge]:[Total Charge]])</f>
        <v>0</v>
      </c>
      <c r="N72">
        <f>(AF30_ByRubLot[[#This Row],[111-120]]/AF30_ByRubLot3[[Total Charge]:[Total Charge]])</f>
        <v>0</v>
      </c>
      <c r="O72">
        <f>(AF30_ByRubLot[[#This Row],[121-130]]/AF30_ByRubLot3[[Total Charge]:[Total Charge]])</f>
        <v>0</v>
      </c>
      <c r="P72">
        <f>(AF30_ByRubLot[[#This Row],[131-140]]/AF30_ByRubLot3[[Total Charge]:[Total Charge]])</f>
        <v>0</v>
      </c>
      <c r="Q72">
        <v>1</v>
      </c>
      <c r="R72">
        <v>1</v>
      </c>
      <c r="S72" t="s">
        <v>77</v>
      </c>
      <c r="T72">
        <v>5</v>
      </c>
      <c r="U72" s="113"/>
      <c r="V72" s="146">
        <v>1888.8888888888891</v>
      </c>
      <c r="W72">
        <v>1480</v>
      </c>
      <c r="X72">
        <f t="shared" si="4"/>
        <v>78.35294117647058</v>
      </c>
      <c r="Y72">
        <f>SUM(AF30_ByRubLot3[[#This Row],[0-10]:[131-140]])</f>
        <v>1</v>
      </c>
    </row>
    <row r="73" spans="1:25" x14ac:dyDescent="0.25">
      <c r="A73" t="str">
        <f>'Data From Lance'!$A$35</f>
        <v>1D09L01</v>
      </c>
      <c r="B73" s="146" t="s">
        <v>203</v>
      </c>
      <c r="C73">
        <f>(AF30_ByRubLot[[#This Row],[0-10]]/AF30_ByRubLot3[[Total Charge]:[Total Charge]])</f>
        <v>0</v>
      </c>
      <c r="D73">
        <f>(AF30_ByRubLot[[#This Row],[11-20]]/AF30_ByRubLot3[[Total Charge]:[Total Charge]])</f>
        <v>0</v>
      </c>
      <c r="E73">
        <f>(AF30_ByRubLot[[#This Row],[21-30]]/AF30_ByRubLot3[[Total Charge]:[Total Charge]])</f>
        <v>0</v>
      </c>
      <c r="F73">
        <f>(AF30_ByRubLot[[#This Row],[31-40]]/AF30_ByRubLot3[[Total Charge]:[Total Charge]])</f>
        <v>0</v>
      </c>
      <c r="G73">
        <f>(AF30_ByRubLot[[#This Row],[41-50]]/AF30_ByRubLot3[[Total Charge]:[Total Charge]])</f>
        <v>0</v>
      </c>
      <c r="H73">
        <f>(AF30_ByRubLot[[#This Row],[51-60]]/AF30_ByRubLot3[[Total Charge]:[Total Charge]])</f>
        <v>0</v>
      </c>
      <c r="I73">
        <f>(AF30_ByRubLot[[#This Row],[61-70]]/AF30_ByRubLot3[[Total Charge]:[Total Charge]])</f>
        <v>0.4</v>
      </c>
      <c r="J73">
        <f>(AF30_ByRubLot[[#This Row],[71-80]]/AF30_ByRubLot3[[Total Charge]:[Total Charge]])</f>
        <v>0.2</v>
      </c>
      <c r="K73">
        <f>(AF30_ByRubLot[[#This Row],[81-90]]/AF30_ByRubLot3[[Total Charge]:[Total Charge]])</f>
        <v>0.4</v>
      </c>
      <c r="L73">
        <f>(AF30_ByRubLot[[#This Row],[91-100]]/AF30_ByRubLot3[[Total Charge]:[Total Charge]])</f>
        <v>0</v>
      </c>
      <c r="M73">
        <f>(AF30_ByRubLot[[#This Row],[101-110]]/AF30_ByRubLot3[[Total Charge]:[Total Charge]])</f>
        <v>0</v>
      </c>
      <c r="N73">
        <f>(AF30_ByRubLot[[#This Row],[111-120]]/AF30_ByRubLot3[[Total Charge]:[Total Charge]])</f>
        <v>0</v>
      </c>
      <c r="O73">
        <f>(AF30_ByRubLot[[#This Row],[121-130]]/AF30_ByRubLot3[[Total Charge]:[Total Charge]])</f>
        <v>0</v>
      </c>
      <c r="P73">
        <f>(AF30_ByRubLot[[#This Row],[131-140]]/AF30_ByRubLot3[[Total Charge]:[Total Charge]])</f>
        <v>0</v>
      </c>
      <c r="Q73">
        <v>1</v>
      </c>
      <c r="R73">
        <v>1</v>
      </c>
      <c r="S73" t="s">
        <v>77</v>
      </c>
      <c r="T73">
        <v>5</v>
      </c>
      <c r="U73" s="113"/>
      <c r="V73" s="146">
        <v>1988.8888888888887</v>
      </c>
      <c r="W73">
        <v>1080</v>
      </c>
      <c r="X73">
        <f t="shared" si="4"/>
        <v>54.301675977653638</v>
      </c>
      <c r="Y73">
        <f>SUM(AF30_ByRubLot3[[#This Row],[0-10]:[131-140]])</f>
        <v>1</v>
      </c>
    </row>
    <row r="74" spans="1:25" x14ac:dyDescent="0.25">
      <c r="A74" t="str">
        <f>'Data From Lance'!$A$35</f>
        <v>1D09L01</v>
      </c>
      <c r="B74" s="146" t="s">
        <v>204</v>
      </c>
      <c r="C74">
        <f>(AF30_ByRubLot[[#This Row],[0-10]]/AF30_ByRubLot3[[Total Charge]:[Total Charge]])</f>
        <v>0</v>
      </c>
      <c r="D74">
        <f>(AF30_ByRubLot[[#This Row],[11-20]]/AF30_ByRubLot3[[Total Charge]:[Total Charge]])</f>
        <v>0</v>
      </c>
      <c r="E74">
        <f>(AF30_ByRubLot[[#This Row],[21-30]]/AF30_ByRubLot3[[Total Charge]:[Total Charge]])</f>
        <v>0</v>
      </c>
      <c r="F74">
        <f>(AF30_ByRubLot[[#This Row],[31-40]]/AF30_ByRubLot3[[Total Charge]:[Total Charge]])</f>
        <v>0</v>
      </c>
      <c r="G74">
        <f>(AF30_ByRubLot[[#This Row],[41-50]]/AF30_ByRubLot3[[Total Charge]:[Total Charge]])</f>
        <v>0</v>
      </c>
      <c r="H74">
        <f>(AF30_ByRubLot[[#This Row],[51-60]]/AF30_ByRubLot3[[Total Charge]:[Total Charge]])</f>
        <v>0</v>
      </c>
      <c r="I74">
        <f>(AF30_ByRubLot[[#This Row],[61-70]]/AF30_ByRubLot3[[Total Charge]:[Total Charge]])</f>
        <v>0.4</v>
      </c>
      <c r="J74">
        <f>(AF30_ByRubLot[[#This Row],[71-80]]/AF30_ByRubLot3[[Total Charge]:[Total Charge]])</f>
        <v>0.2</v>
      </c>
      <c r="K74">
        <f>(AF30_ByRubLot[[#This Row],[81-90]]/AF30_ByRubLot3[[Total Charge]:[Total Charge]])</f>
        <v>0.4</v>
      </c>
      <c r="L74">
        <f>(AF30_ByRubLot[[#This Row],[91-100]]/AF30_ByRubLot3[[Total Charge]:[Total Charge]])</f>
        <v>0</v>
      </c>
      <c r="M74">
        <f>(AF30_ByRubLot[[#This Row],[101-110]]/AF30_ByRubLot3[[Total Charge]:[Total Charge]])</f>
        <v>0</v>
      </c>
      <c r="N74">
        <f>(AF30_ByRubLot[[#This Row],[111-120]]/AF30_ByRubLot3[[Total Charge]:[Total Charge]])</f>
        <v>0</v>
      </c>
      <c r="O74">
        <f>(AF30_ByRubLot[[#This Row],[121-130]]/AF30_ByRubLot3[[Total Charge]:[Total Charge]])</f>
        <v>0</v>
      </c>
      <c r="P74">
        <f>(AF30_ByRubLot[[#This Row],[131-140]]/AF30_ByRubLot3[[Total Charge]:[Total Charge]])</f>
        <v>0</v>
      </c>
      <c r="Q74">
        <v>1</v>
      </c>
      <c r="R74">
        <v>1</v>
      </c>
      <c r="S74" t="s">
        <v>77</v>
      </c>
      <c r="T74">
        <v>5</v>
      </c>
      <c r="U74" s="113"/>
      <c r="V74" s="146">
        <v>1451.6666666666665</v>
      </c>
      <c r="W74">
        <v>883.33331999999996</v>
      </c>
      <c r="X74">
        <f t="shared" si="4"/>
        <v>60.849597244546501</v>
      </c>
      <c r="Y74">
        <f>SUM(AF30_ByRubLot3[[#This Row],[0-10]:[131-140]])</f>
        <v>1</v>
      </c>
    </row>
    <row r="75" spans="1:25" x14ac:dyDescent="0.25">
      <c r="A75" t="str">
        <f>'Data From Lance'!$A$35</f>
        <v>1D09L01</v>
      </c>
      <c r="B75" s="146" t="s">
        <v>205</v>
      </c>
      <c r="C75">
        <f>(AF30_ByRubLot[[#This Row],[0-10]]/AF30_ByRubLot3[[Total Charge]:[Total Charge]])</f>
        <v>0</v>
      </c>
      <c r="D75">
        <f>(AF30_ByRubLot[[#This Row],[11-20]]/AF30_ByRubLot3[[Total Charge]:[Total Charge]])</f>
        <v>0</v>
      </c>
      <c r="E75">
        <f>(AF30_ByRubLot[[#This Row],[21-30]]/AF30_ByRubLot3[[Total Charge]:[Total Charge]])</f>
        <v>0</v>
      </c>
      <c r="F75">
        <f>(AF30_ByRubLot[[#This Row],[31-40]]/AF30_ByRubLot3[[Total Charge]:[Total Charge]])</f>
        <v>0</v>
      </c>
      <c r="G75">
        <f>(AF30_ByRubLot[[#This Row],[41-50]]/AF30_ByRubLot3[[Total Charge]:[Total Charge]])</f>
        <v>0</v>
      </c>
      <c r="H75">
        <f>(AF30_ByRubLot[[#This Row],[51-60]]/AF30_ByRubLot3[[Total Charge]:[Total Charge]])</f>
        <v>0</v>
      </c>
      <c r="I75">
        <f>(AF30_ByRubLot[[#This Row],[61-70]]/AF30_ByRubLot3[[Total Charge]:[Total Charge]])</f>
        <v>0.4</v>
      </c>
      <c r="J75">
        <f>(AF30_ByRubLot[[#This Row],[71-80]]/AF30_ByRubLot3[[Total Charge]:[Total Charge]])</f>
        <v>0.2</v>
      </c>
      <c r="K75">
        <f>(AF30_ByRubLot[[#This Row],[81-90]]/AF30_ByRubLot3[[Total Charge]:[Total Charge]])</f>
        <v>0.4</v>
      </c>
      <c r="L75">
        <f>(AF30_ByRubLot[[#This Row],[91-100]]/AF30_ByRubLot3[[Total Charge]:[Total Charge]])</f>
        <v>0</v>
      </c>
      <c r="M75">
        <f>(AF30_ByRubLot[[#This Row],[101-110]]/AF30_ByRubLot3[[Total Charge]:[Total Charge]])</f>
        <v>0</v>
      </c>
      <c r="N75">
        <f>(AF30_ByRubLot[[#This Row],[111-120]]/AF30_ByRubLot3[[Total Charge]:[Total Charge]])</f>
        <v>0</v>
      </c>
      <c r="O75">
        <f>(AF30_ByRubLot[[#This Row],[121-130]]/AF30_ByRubLot3[[Total Charge]:[Total Charge]])</f>
        <v>0</v>
      </c>
      <c r="P75">
        <f>(AF30_ByRubLot[[#This Row],[131-140]]/AF30_ByRubLot3[[Total Charge]:[Total Charge]])</f>
        <v>0</v>
      </c>
      <c r="Q75">
        <v>1</v>
      </c>
      <c r="R75">
        <v>1</v>
      </c>
      <c r="S75" t="s">
        <v>77</v>
      </c>
      <c r="T75">
        <v>5</v>
      </c>
      <c r="U75" s="113"/>
      <c r="V75" s="146">
        <v>1392.2222222222222</v>
      </c>
      <c r="W75">
        <v>920</v>
      </c>
      <c r="X75">
        <f t="shared" si="4"/>
        <v>66.081404628890667</v>
      </c>
      <c r="Y75">
        <f>SUM(AF30_ByRubLot3[[#This Row],[0-10]:[131-140]])</f>
        <v>1</v>
      </c>
    </row>
    <row r="76" spans="1:25" x14ac:dyDescent="0.25">
      <c r="A76" t="str">
        <f>'Data From Lance'!$A$35</f>
        <v>1D09L01</v>
      </c>
      <c r="B76" s="146" t="s">
        <v>206</v>
      </c>
      <c r="C76">
        <f>(AF30_ByRubLot[[#This Row],[0-10]]/AF30_ByRubLot3[[Total Charge]:[Total Charge]])</f>
        <v>0</v>
      </c>
      <c r="D76">
        <f>(AF30_ByRubLot[[#This Row],[11-20]]/AF30_ByRubLot3[[Total Charge]:[Total Charge]])</f>
        <v>0</v>
      </c>
      <c r="E76">
        <f>(AF30_ByRubLot[[#This Row],[21-30]]/AF30_ByRubLot3[[Total Charge]:[Total Charge]])</f>
        <v>0</v>
      </c>
      <c r="F76">
        <f>(AF30_ByRubLot[[#This Row],[31-40]]/AF30_ByRubLot3[[Total Charge]:[Total Charge]])</f>
        <v>0</v>
      </c>
      <c r="G76">
        <f>(AF30_ByRubLot[[#This Row],[41-50]]/AF30_ByRubLot3[[Total Charge]:[Total Charge]])</f>
        <v>0</v>
      </c>
      <c r="H76">
        <f>(AF30_ByRubLot[[#This Row],[51-60]]/AF30_ByRubLot3[[Total Charge]:[Total Charge]])</f>
        <v>0</v>
      </c>
      <c r="I76">
        <f>(AF30_ByRubLot[[#This Row],[61-70]]/AF30_ByRubLot3[[Total Charge]:[Total Charge]])</f>
        <v>0.4</v>
      </c>
      <c r="J76">
        <f>(AF30_ByRubLot[[#This Row],[71-80]]/AF30_ByRubLot3[[Total Charge]:[Total Charge]])</f>
        <v>0.2</v>
      </c>
      <c r="K76">
        <f>(AF30_ByRubLot[[#This Row],[81-90]]/AF30_ByRubLot3[[Total Charge]:[Total Charge]])</f>
        <v>0.4</v>
      </c>
      <c r="L76">
        <f>(AF30_ByRubLot[[#This Row],[91-100]]/AF30_ByRubLot3[[Total Charge]:[Total Charge]])</f>
        <v>0</v>
      </c>
      <c r="M76">
        <f>(AF30_ByRubLot[[#This Row],[101-110]]/AF30_ByRubLot3[[Total Charge]:[Total Charge]])</f>
        <v>0</v>
      </c>
      <c r="N76">
        <f>(AF30_ByRubLot[[#This Row],[111-120]]/AF30_ByRubLot3[[Total Charge]:[Total Charge]])</f>
        <v>0</v>
      </c>
      <c r="O76">
        <f>(AF30_ByRubLot[[#This Row],[121-130]]/AF30_ByRubLot3[[Total Charge]:[Total Charge]])</f>
        <v>0</v>
      </c>
      <c r="P76">
        <f>(AF30_ByRubLot[[#This Row],[131-140]]/AF30_ByRubLot3[[Total Charge]:[Total Charge]])</f>
        <v>0</v>
      </c>
      <c r="Q76">
        <v>1</v>
      </c>
      <c r="R76">
        <v>1</v>
      </c>
      <c r="S76" t="s">
        <v>77</v>
      </c>
      <c r="T76">
        <v>5</v>
      </c>
      <c r="U76" s="113"/>
      <c r="V76" s="146">
        <v>688.88888888888891</v>
      </c>
      <c r="W76">
        <v>120</v>
      </c>
      <c r="X76">
        <f t="shared" si="4"/>
        <v>17.419354838709676</v>
      </c>
      <c r="Y76">
        <f>SUM(AF30_ByRubLot3[[#This Row],[0-10]:[131-140]])</f>
        <v>1</v>
      </c>
    </row>
    <row r="77" spans="1:25" x14ac:dyDescent="0.25">
      <c r="A77" t="s">
        <v>19</v>
      </c>
      <c r="B77" s="146" t="s">
        <v>210</v>
      </c>
      <c r="C77">
        <f>(AF30_ByRubLot[[#This Row],[0-10]]/AF30_ByRubLot3[[Total Charge]:[Total Charge]])</f>
        <v>0</v>
      </c>
      <c r="D77">
        <f>(AF30_ByRubLot[[#This Row],[11-20]]/AF30_ByRubLot3[[Total Charge]:[Total Charge]])</f>
        <v>0</v>
      </c>
      <c r="E77">
        <f>(AF30_ByRubLot[[#This Row],[21-30]]/AF30_ByRubLot3[[Total Charge]:[Total Charge]])</f>
        <v>0</v>
      </c>
      <c r="F77">
        <f>(AF30_ByRubLot[[#This Row],[31-40]]/AF30_ByRubLot3[[Total Charge]:[Total Charge]])</f>
        <v>0</v>
      </c>
      <c r="G77">
        <f>(AF30_ByRubLot[[#This Row],[41-50]]/AF30_ByRubLot3[[Total Charge]:[Total Charge]])</f>
        <v>0</v>
      </c>
      <c r="H77">
        <f>(AF30_ByRubLot[[#This Row],[51-60]]/AF30_ByRubLot3[[Total Charge]:[Total Charge]])</f>
        <v>0</v>
      </c>
      <c r="I77">
        <f>(AF30_ByRubLot[[#This Row],[61-70]]/AF30_ByRubLot3[[Total Charge]:[Total Charge]])</f>
        <v>0.33333333333333331</v>
      </c>
      <c r="J77">
        <f>(AF30_ByRubLot[[#This Row],[71-80]]/AF30_ByRubLot3[[Total Charge]:[Total Charge]])</f>
        <v>0</v>
      </c>
      <c r="K77">
        <f>(AF30_ByRubLot[[#This Row],[81-90]]/AF30_ByRubLot3[[Total Charge]:[Total Charge]])</f>
        <v>0.33333333333333331</v>
      </c>
      <c r="L77">
        <f>(AF30_ByRubLot[[#This Row],[91-100]]/AF30_ByRubLot3[[Total Charge]:[Total Charge]])</f>
        <v>0</v>
      </c>
      <c r="M77">
        <f>(AF30_ByRubLot[[#This Row],[101-110]]/AF30_ByRubLot3[[Total Charge]:[Total Charge]])</f>
        <v>0.16666666666666666</v>
      </c>
      <c r="N77">
        <f>(AF30_ByRubLot[[#This Row],[111-120]]/AF30_ByRubLot3[[Total Charge]:[Total Charge]])</f>
        <v>0</v>
      </c>
      <c r="O77">
        <f>(AF30_ByRubLot[[#This Row],[121-130]]/AF30_ByRubLot3[[Total Charge]:[Total Charge]])</f>
        <v>0.16666666666666666</v>
      </c>
      <c r="P77">
        <f>(AF30_ByRubLot[[#This Row],[131-140]]/AF30_ByRubLot3[[Total Charge]:[Total Charge]])</f>
        <v>0</v>
      </c>
      <c r="Q77">
        <v>0</v>
      </c>
      <c r="R77">
        <v>0</v>
      </c>
      <c r="S77" t="s">
        <v>35</v>
      </c>
      <c r="T77">
        <v>6</v>
      </c>
      <c r="U77" s="114"/>
      <c r="V77">
        <v>388.88888888888891</v>
      </c>
      <c r="W77">
        <v>0</v>
      </c>
      <c r="X77">
        <f>(W77/V77)*100</f>
        <v>0</v>
      </c>
      <c r="Y77">
        <f>SUM(AF30_ByRubLot3[[#This Row],[0-10]:[131-140]])</f>
        <v>0.99999999999999989</v>
      </c>
    </row>
    <row r="78" spans="1:25" x14ac:dyDescent="0.25">
      <c r="A78" t="s">
        <v>19</v>
      </c>
      <c r="B78" s="146" t="s">
        <v>211</v>
      </c>
      <c r="C78">
        <f>(AF30_ByRubLot[[#This Row],[0-10]]/AF30_ByRubLot3[[Total Charge]:[Total Charge]])</f>
        <v>0</v>
      </c>
      <c r="D78">
        <f>(AF30_ByRubLot[[#This Row],[11-20]]/AF30_ByRubLot3[[Total Charge]:[Total Charge]])</f>
        <v>0</v>
      </c>
      <c r="E78">
        <f>(AF30_ByRubLot[[#This Row],[21-30]]/AF30_ByRubLot3[[Total Charge]:[Total Charge]])</f>
        <v>0</v>
      </c>
      <c r="F78">
        <f>(AF30_ByRubLot[[#This Row],[31-40]]/AF30_ByRubLot3[[Total Charge]:[Total Charge]])</f>
        <v>0</v>
      </c>
      <c r="G78">
        <f>(AF30_ByRubLot[[#This Row],[41-50]]/AF30_ByRubLot3[[Total Charge]:[Total Charge]])</f>
        <v>0</v>
      </c>
      <c r="H78">
        <f>(AF30_ByRubLot[[#This Row],[51-60]]/AF30_ByRubLot3[[Total Charge]:[Total Charge]])</f>
        <v>0</v>
      </c>
      <c r="I78">
        <f>(AF30_ByRubLot[[#This Row],[61-70]]/AF30_ByRubLot3[[Total Charge]:[Total Charge]])</f>
        <v>0.33333333333333331</v>
      </c>
      <c r="J78">
        <f>(AF30_ByRubLot[[#This Row],[71-80]]/AF30_ByRubLot3[[Total Charge]:[Total Charge]])</f>
        <v>0</v>
      </c>
      <c r="K78">
        <f>(AF30_ByRubLot[[#This Row],[81-90]]/AF30_ByRubLot3[[Total Charge]:[Total Charge]])</f>
        <v>0.33333333333333331</v>
      </c>
      <c r="L78">
        <f>(AF30_ByRubLot[[#This Row],[91-100]]/AF30_ByRubLot3[[Total Charge]:[Total Charge]])</f>
        <v>0</v>
      </c>
      <c r="M78">
        <f>(AF30_ByRubLot[[#This Row],[101-110]]/AF30_ByRubLot3[[Total Charge]:[Total Charge]])</f>
        <v>0.16666666666666666</v>
      </c>
      <c r="N78">
        <f>(AF30_ByRubLot[[#This Row],[111-120]]/AF30_ByRubLot3[[Total Charge]:[Total Charge]])</f>
        <v>0</v>
      </c>
      <c r="O78">
        <f>(AF30_ByRubLot[[#This Row],[121-130]]/AF30_ByRubLot3[[Total Charge]:[Total Charge]])</f>
        <v>0.16666666666666666</v>
      </c>
      <c r="P78">
        <f>(AF30_ByRubLot[[#This Row],[131-140]]/AF30_ByRubLot3[[Total Charge]:[Total Charge]])</f>
        <v>0</v>
      </c>
      <c r="Q78">
        <v>0</v>
      </c>
      <c r="R78">
        <v>0</v>
      </c>
      <c r="S78" t="s">
        <v>35</v>
      </c>
      <c r="T78">
        <v>6</v>
      </c>
      <c r="U78" s="114"/>
      <c r="V78">
        <v>1919.4444444444446</v>
      </c>
      <c r="W78">
        <v>1344</v>
      </c>
      <c r="X78">
        <f>(W78/V78)*100</f>
        <v>70.020260492040521</v>
      </c>
      <c r="Y78">
        <f>SUM(AF30_ByRubLot3[[#This Row],[0-10]:[131-140]])</f>
        <v>0.99999999999999989</v>
      </c>
    </row>
    <row r="79" spans="1:25" x14ac:dyDescent="0.25">
      <c r="A79" t="s">
        <v>19</v>
      </c>
      <c r="B79" s="146" t="s">
        <v>212</v>
      </c>
      <c r="C79">
        <f>(AF30_ByRubLot[[#This Row],[0-10]]/AF30_ByRubLot3[[Total Charge]:[Total Charge]])</f>
        <v>0</v>
      </c>
      <c r="D79">
        <f>(AF30_ByRubLot[[#This Row],[11-20]]/AF30_ByRubLot3[[Total Charge]:[Total Charge]])</f>
        <v>0</v>
      </c>
      <c r="E79">
        <f>(AF30_ByRubLot[[#This Row],[21-30]]/AF30_ByRubLot3[[Total Charge]:[Total Charge]])</f>
        <v>0</v>
      </c>
      <c r="F79">
        <f>(AF30_ByRubLot[[#This Row],[31-40]]/AF30_ByRubLot3[[Total Charge]:[Total Charge]])</f>
        <v>0</v>
      </c>
      <c r="G79">
        <f>(AF30_ByRubLot[[#This Row],[41-50]]/AF30_ByRubLot3[[Total Charge]:[Total Charge]])</f>
        <v>0</v>
      </c>
      <c r="H79">
        <f>(AF30_ByRubLot[[#This Row],[51-60]]/AF30_ByRubLot3[[Total Charge]:[Total Charge]])</f>
        <v>0</v>
      </c>
      <c r="I79">
        <f>(AF30_ByRubLot[[#This Row],[61-70]]/AF30_ByRubLot3[[Total Charge]:[Total Charge]])</f>
        <v>0.33333333333333331</v>
      </c>
      <c r="J79">
        <f>(AF30_ByRubLot[[#This Row],[71-80]]/AF30_ByRubLot3[[Total Charge]:[Total Charge]])</f>
        <v>0</v>
      </c>
      <c r="K79">
        <f>(AF30_ByRubLot[[#This Row],[81-90]]/AF30_ByRubLot3[[Total Charge]:[Total Charge]])</f>
        <v>0.33333333333333331</v>
      </c>
      <c r="L79">
        <f>(AF30_ByRubLot[[#This Row],[91-100]]/AF30_ByRubLot3[[Total Charge]:[Total Charge]])</f>
        <v>0</v>
      </c>
      <c r="M79">
        <f>(AF30_ByRubLot[[#This Row],[101-110]]/AF30_ByRubLot3[[Total Charge]:[Total Charge]])</f>
        <v>0.16666666666666666</v>
      </c>
      <c r="N79">
        <f>(AF30_ByRubLot[[#This Row],[111-120]]/AF30_ByRubLot3[[Total Charge]:[Total Charge]])</f>
        <v>0</v>
      </c>
      <c r="O79">
        <f>(AF30_ByRubLot[[#This Row],[121-130]]/AF30_ByRubLot3[[Total Charge]:[Total Charge]])</f>
        <v>0.16666666666666666</v>
      </c>
      <c r="P79">
        <f>(AF30_ByRubLot[[#This Row],[131-140]]/AF30_ByRubLot3[[Total Charge]:[Total Charge]])</f>
        <v>0</v>
      </c>
      <c r="Q79">
        <v>0</v>
      </c>
      <c r="R79">
        <v>0</v>
      </c>
      <c r="S79" t="s">
        <v>35</v>
      </c>
      <c r="T79">
        <v>6</v>
      </c>
      <c r="U79" s="114"/>
      <c r="V79">
        <v>669.44444444444446</v>
      </c>
      <c r="W79">
        <v>258.33326</v>
      </c>
      <c r="X79">
        <f t="shared" ref="X79:X80" si="5">(W79/V79)*100</f>
        <v>38.589200663900414</v>
      </c>
      <c r="Y79">
        <f>SUM(AF30_ByRubLot3[[#This Row],[0-10]:[131-140]])</f>
        <v>0.99999999999999989</v>
      </c>
    </row>
    <row r="80" spans="1:25" x14ac:dyDescent="0.25">
      <c r="A80" t="s">
        <v>19</v>
      </c>
      <c r="B80" s="146" t="s">
        <v>213</v>
      </c>
      <c r="C80">
        <f>(AF30_ByRubLot[[#This Row],[0-10]]/AF30_ByRubLot3[[Total Charge]:[Total Charge]])</f>
        <v>0</v>
      </c>
      <c r="D80">
        <f>(AF30_ByRubLot[[#This Row],[11-20]]/AF30_ByRubLot3[[Total Charge]:[Total Charge]])</f>
        <v>0</v>
      </c>
      <c r="E80">
        <f>(AF30_ByRubLot[[#This Row],[21-30]]/AF30_ByRubLot3[[Total Charge]:[Total Charge]])</f>
        <v>0</v>
      </c>
      <c r="F80">
        <f>(AF30_ByRubLot[[#This Row],[31-40]]/AF30_ByRubLot3[[Total Charge]:[Total Charge]])</f>
        <v>0</v>
      </c>
      <c r="G80">
        <f>(AF30_ByRubLot[[#This Row],[41-50]]/AF30_ByRubLot3[[Total Charge]:[Total Charge]])</f>
        <v>0</v>
      </c>
      <c r="H80">
        <f>(AF30_ByRubLot[[#This Row],[51-60]]/AF30_ByRubLot3[[Total Charge]:[Total Charge]])</f>
        <v>0</v>
      </c>
      <c r="I80">
        <f>(AF30_ByRubLot[[#This Row],[61-70]]/AF30_ByRubLot3[[Total Charge]:[Total Charge]])</f>
        <v>0.33333333333333331</v>
      </c>
      <c r="J80">
        <f>(AF30_ByRubLot[[#This Row],[71-80]]/AF30_ByRubLot3[[Total Charge]:[Total Charge]])</f>
        <v>0</v>
      </c>
      <c r="K80">
        <f>(AF30_ByRubLot[[#This Row],[81-90]]/AF30_ByRubLot3[[Total Charge]:[Total Charge]])</f>
        <v>0.33333333333333331</v>
      </c>
      <c r="L80">
        <f>(AF30_ByRubLot[[#This Row],[91-100]]/AF30_ByRubLot3[[Total Charge]:[Total Charge]])</f>
        <v>0</v>
      </c>
      <c r="M80">
        <f>(AF30_ByRubLot[[#This Row],[101-110]]/AF30_ByRubLot3[[Total Charge]:[Total Charge]])</f>
        <v>0.16666666666666666</v>
      </c>
      <c r="N80">
        <f>(AF30_ByRubLot[[#This Row],[111-120]]/AF30_ByRubLot3[[Total Charge]:[Total Charge]])</f>
        <v>0</v>
      </c>
      <c r="O80">
        <f>(AF30_ByRubLot[[#This Row],[121-130]]/AF30_ByRubLot3[[Total Charge]:[Total Charge]])</f>
        <v>0.16666666666666666</v>
      </c>
      <c r="P80">
        <f>(AF30_ByRubLot[[#This Row],[131-140]]/AF30_ByRubLot3[[Total Charge]:[Total Charge]])</f>
        <v>0</v>
      </c>
      <c r="Q80">
        <v>0</v>
      </c>
      <c r="R80">
        <v>0</v>
      </c>
      <c r="S80" t="s">
        <v>35</v>
      </c>
      <c r="T80">
        <v>6</v>
      </c>
      <c r="U80" s="114"/>
      <c r="V80">
        <v>1322.2222222222222</v>
      </c>
      <c r="W80">
        <v>240</v>
      </c>
      <c r="X80">
        <f t="shared" si="5"/>
        <v>18.15126050420168</v>
      </c>
      <c r="Y80">
        <f>SUM(AF30_ByRubLot3[[#This Row],[0-10]:[131-140]])</f>
        <v>0.99999999999999989</v>
      </c>
    </row>
    <row r="81" spans="1:25" x14ac:dyDescent="0.25">
      <c r="A81" t="s">
        <v>21</v>
      </c>
      <c r="B81" t="s">
        <v>214</v>
      </c>
      <c r="C81">
        <f>(AF30_ByRubLot[[#This Row],[0-10]]/AF30_ByRubLot3[[Total Charge]:[Total Charge]])</f>
        <v>0</v>
      </c>
      <c r="D81">
        <f>(AF30_ByRubLot[[#This Row],[11-20]]/AF30_ByRubLot3[[Total Charge]:[Total Charge]])</f>
        <v>0</v>
      </c>
      <c r="E81">
        <f>(AF30_ByRubLot[[#This Row],[21-30]]/AF30_ByRubLot3[[Total Charge]:[Total Charge]])</f>
        <v>0</v>
      </c>
      <c r="F81">
        <f>(AF30_ByRubLot[[#This Row],[31-40]]/AF30_ByRubLot3[[Total Charge]:[Total Charge]])</f>
        <v>0</v>
      </c>
      <c r="G81">
        <f>(AF30_ByRubLot[[#This Row],[41-50]]/AF30_ByRubLot3[[Total Charge]:[Total Charge]])</f>
        <v>0</v>
      </c>
      <c r="H81">
        <f>(AF30_ByRubLot[[#This Row],[51-60]]/AF30_ByRubLot3[[Total Charge]:[Total Charge]])</f>
        <v>0</v>
      </c>
      <c r="I81">
        <f>(AF30_ByRubLot[[#This Row],[61-70]]/AF30_ByRubLot3[[Total Charge]:[Total Charge]])</f>
        <v>0.5</v>
      </c>
      <c r="J81">
        <f>(AF30_ByRubLot[[#This Row],[71-80]]/AF30_ByRubLot3[[Total Charge]:[Total Charge]])</f>
        <v>0.1</v>
      </c>
      <c r="K81">
        <f>(AF30_ByRubLot[[#This Row],[81-90]]/AF30_ByRubLot3[[Total Charge]:[Total Charge]])</f>
        <v>0</v>
      </c>
      <c r="L81">
        <f>(AF30_ByRubLot[[#This Row],[91-100]]/AF30_ByRubLot3[[Total Charge]:[Total Charge]])</f>
        <v>0.2</v>
      </c>
      <c r="M81">
        <f>(AF30_ByRubLot[[#This Row],[101-110]]/AF30_ByRubLot3[[Total Charge]:[Total Charge]])</f>
        <v>0</v>
      </c>
      <c r="N81">
        <f>(AF30_ByRubLot[[#This Row],[111-120]]/AF30_ByRubLot3[[Total Charge]:[Total Charge]])</f>
        <v>0.1</v>
      </c>
      <c r="O81">
        <f>(AF30_ByRubLot[[#This Row],[121-130]]/AF30_ByRubLot3[[Total Charge]:[Total Charge]])</f>
        <v>0.1</v>
      </c>
      <c r="P81">
        <f>(AF30_ByRubLot[[#This Row],[131-140]]/AF30_ByRubLot3[[Total Charge]:[Total Charge]])</f>
        <v>0</v>
      </c>
      <c r="Q81">
        <v>1</v>
      </c>
      <c r="R81">
        <v>0</v>
      </c>
      <c r="S81" t="s">
        <v>38</v>
      </c>
      <c r="T81">
        <v>10</v>
      </c>
      <c r="U81" s="114"/>
      <c r="V81">
        <v>2553.8888888888887</v>
      </c>
      <c r="W81">
        <v>2081.6666599999999</v>
      </c>
      <c r="X81">
        <f>(W81/V81)*100</f>
        <v>81.509679965194692</v>
      </c>
      <c r="Y81">
        <f>SUM(AF30_ByRubLot3[[#This Row],[0-10]:[131-140]])</f>
        <v>1</v>
      </c>
    </row>
    <row r="82" spans="1:25" x14ac:dyDescent="0.25">
      <c r="A82" t="s">
        <v>21</v>
      </c>
      <c r="B82" t="s">
        <v>215</v>
      </c>
      <c r="C82">
        <f>(AF30_ByRubLot[[#This Row],[0-10]]/AF30_ByRubLot3[[Total Charge]:[Total Charge]])</f>
        <v>0</v>
      </c>
      <c r="D82">
        <f>(AF30_ByRubLot[[#This Row],[11-20]]/AF30_ByRubLot3[[Total Charge]:[Total Charge]])</f>
        <v>0</v>
      </c>
      <c r="E82">
        <f>(AF30_ByRubLot[[#This Row],[21-30]]/AF30_ByRubLot3[[Total Charge]:[Total Charge]])</f>
        <v>0</v>
      </c>
      <c r="F82">
        <f>(AF30_ByRubLot[[#This Row],[31-40]]/AF30_ByRubLot3[[Total Charge]:[Total Charge]])</f>
        <v>0</v>
      </c>
      <c r="G82">
        <f>(AF30_ByRubLot[[#This Row],[41-50]]/AF30_ByRubLot3[[Total Charge]:[Total Charge]])</f>
        <v>0</v>
      </c>
      <c r="H82">
        <f>(AF30_ByRubLot[[#This Row],[51-60]]/AF30_ByRubLot3[[Total Charge]:[Total Charge]])</f>
        <v>0</v>
      </c>
      <c r="I82">
        <f>(AF30_ByRubLot[[#This Row],[61-70]]/AF30_ByRubLot3[[Total Charge]:[Total Charge]])</f>
        <v>0.5</v>
      </c>
      <c r="J82">
        <f>(AF30_ByRubLot[[#This Row],[71-80]]/AF30_ByRubLot3[[Total Charge]:[Total Charge]])</f>
        <v>0.1</v>
      </c>
      <c r="K82">
        <f>(AF30_ByRubLot[[#This Row],[81-90]]/AF30_ByRubLot3[[Total Charge]:[Total Charge]])</f>
        <v>0</v>
      </c>
      <c r="L82">
        <f>(AF30_ByRubLot[[#This Row],[91-100]]/AF30_ByRubLot3[[Total Charge]:[Total Charge]])</f>
        <v>0.2</v>
      </c>
      <c r="M82">
        <f>(AF30_ByRubLot[[#This Row],[101-110]]/AF30_ByRubLot3[[Total Charge]:[Total Charge]])</f>
        <v>0</v>
      </c>
      <c r="N82">
        <f>(AF30_ByRubLot[[#This Row],[111-120]]/AF30_ByRubLot3[[Total Charge]:[Total Charge]])</f>
        <v>0.1</v>
      </c>
      <c r="O82">
        <f>(AF30_ByRubLot[[#This Row],[121-130]]/AF30_ByRubLot3[[Total Charge]:[Total Charge]])</f>
        <v>0.1</v>
      </c>
      <c r="P82">
        <f>(AF30_ByRubLot[[#This Row],[131-140]]/AF30_ByRubLot3[[Total Charge]:[Total Charge]])</f>
        <v>0</v>
      </c>
      <c r="Q82">
        <v>1</v>
      </c>
      <c r="R82">
        <v>0</v>
      </c>
      <c r="S82" t="s">
        <v>38</v>
      </c>
      <c r="T82">
        <v>10</v>
      </c>
      <c r="U82" s="114"/>
      <c r="V82">
        <v>1860.5555555555554</v>
      </c>
      <c r="W82">
        <v>1276</v>
      </c>
      <c r="X82">
        <f t="shared" ref="X82:X83" si="6">(W82/V82)*100</f>
        <v>68.581666169005672</v>
      </c>
      <c r="Y82">
        <f>SUM(AF30_ByRubLot3[[#This Row],[0-10]:[131-140]])</f>
        <v>1</v>
      </c>
    </row>
    <row r="83" spans="1:25" x14ac:dyDescent="0.25">
      <c r="A83" t="s">
        <v>21</v>
      </c>
      <c r="B83" t="s">
        <v>216</v>
      </c>
      <c r="C83">
        <f>(AF30_ByRubLot[[#This Row],[0-10]]/AF30_ByRubLot3[[Total Charge]:[Total Charge]])</f>
        <v>0</v>
      </c>
      <c r="D83">
        <f>(AF30_ByRubLot[[#This Row],[11-20]]/AF30_ByRubLot3[[Total Charge]:[Total Charge]])</f>
        <v>0</v>
      </c>
      <c r="E83">
        <f>(AF30_ByRubLot[[#This Row],[21-30]]/AF30_ByRubLot3[[Total Charge]:[Total Charge]])</f>
        <v>0</v>
      </c>
      <c r="F83">
        <f>(AF30_ByRubLot[[#This Row],[31-40]]/AF30_ByRubLot3[[Total Charge]:[Total Charge]])</f>
        <v>0</v>
      </c>
      <c r="G83">
        <f>(AF30_ByRubLot[[#This Row],[41-50]]/AF30_ByRubLot3[[Total Charge]:[Total Charge]])</f>
        <v>0</v>
      </c>
      <c r="H83">
        <f>(AF30_ByRubLot[[#This Row],[51-60]]/AF30_ByRubLot3[[Total Charge]:[Total Charge]])</f>
        <v>0</v>
      </c>
      <c r="I83">
        <f>(AF30_ByRubLot[[#This Row],[61-70]]/AF30_ByRubLot3[[Total Charge]:[Total Charge]])</f>
        <v>0.5</v>
      </c>
      <c r="J83">
        <f>(AF30_ByRubLot[[#This Row],[71-80]]/AF30_ByRubLot3[[Total Charge]:[Total Charge]])</f>
        <v>0.1</v>
      </c>
      <c r="K83">
        <f>(AF30_ByRubLot[[#This Row],[81-90]]/AF30_ByRubLot3[[Total Charge]:[Total Charge]])</f>
        <v>0</v>
      </c>
      <c r="L83">
        <f>(AF30_ByRubLot[[#This Row],[91-100]]/AF30_ByRubLot3[[Total Charge]:[Total Charge]])</f>
        <v>0.2</v>
      </c>
      <c r="M83">
        <f>(AF30_ByRubLot[[#This Row],[101-110]]/AF30_ByRubLot3[[Total Charge]:[Total Charge]])</f>
        <v>0</v>
      </c>
      <c r="N83">
        <f>(AF30_ByRubLot[[#This Row],[111-120]]/AF30_ByRubLot3[[Total Charge]:[Total Charge]])</f>
        <v>0.1</v>
      </c>
      <c r="O83">
        <f>(AF30_ByRubLot[[#This Row],[121-130]]/AF30_ByRubLot3[[Total Charge]:[Total Charge]])</f>
        <v>0.1</v>
      </c>
      <c r="P83">
        <f>(AF30_ByRubLot[[#This Row],[131-140]]/AF30_ByRubLot3[[Total Charge]:[Total Charge]])</f>
        <v>0</v>
      </c>
      <c r="Q83">
        <v>1</v>
      </c>
      <c r="R83">
        <v>0</v>
      </c>
      <c r="S83" t="s">
        <v>38</v>
      </c>
      <c r="T83">
        <v>10</v>
      </c>
      <c r="U83" s="114"/>
      <c r="V83">
        <v>2136.1111111111109</v>
      </c>
      <c r="W83">
        <v>1280</v>
      </c>
      <c r="X83">
        <f t="shared" si="6"/>
        <v>59.921976592977899</v>
      </c>
      <c r="Y83">
        <f>SUM(AF30_ByRubLot3[[#This Row],[0-10]:[131-140]])</f>
        <v>1</v>
      </c>
    </row>
    <row r="84" spans="1:25" x14ac:dyDescent="0.25">
      <c r="A84" t="s">
        <v>21</v>
      </c>
      <c r="B84" t="s">
        <v>217</v>
      </c>
      <c r="C84">
        <f>(AF30_ByRubLot[[#This Row],[0-10]]/AF30_ByRubLot3[[Total Charge]:[Total Charge]])</f>
        <v>0</v>
      </c>
      <c r="D84">
        <f>(AF30_ByRubLot[[#This Row],[11-20]]/AF30_ByRubLot3[[Total Charge]:[Total Charge]])</f>
        <v>0</v>
      </c>
      <c r="E84">
        <f>(AF30_ByRubLot[[#This Row],[21-30]]/AF30_ByRubLot3[[Total Charge]:[Total Charge]])</f>
        <v>0</v>
      </c>
      <c r="F84">
        <f>(AF30_ByRubLot[[#This Row],[31-40]]/AF30_ByRubLot3[[Total Charge]:[Total Charge]])</f>
        <v>0</v>
      </c>
      <c r="G84">
        <f>(AF30_ByRubLot[[#This Row],[41-50]]/AF30_ByRubLot3[[Total Charge]:[Total Charge]])</f>
        <v>0</v>
      </c>
      <c r="H84">
        <f>(AF30_ByRubLot[[#This Row],[51-60]]/AF30_ByRubLot3[[Total Charge]:[Total Charge]])</f>
        <v>0</v>
      </c>
      <c r="I84">
        <f>(AF30_ByRubLot[[#This Row],[61-70]]/AF30_ByRubLot3[[Total Charge]:[Total Charge]])</f>
        <v>0.5</v>
      </c>
      <c r="J84">
        <f>(AF30_ByRubLot[[#This Row],[71-80]]/AF30_ByRubLot3[[Total Charge]:[Total Charge]])</f>
        <v>0.1</v>
      </c>
      <c r="K84">
        <f>(AF30_ByRubLot[[#This Row],[81-90]]/AF30_ByRubLot3[[Total Charge]:[Total Charge]])</f>
        <v>0</v>
      </c>
      <c r="L84">
        <f>(AF30_ByRubLot[[#This Row],[91-100]]/AF30_ByRubLot3[[Total Charge]:[Total Charge]])</f>
        <v>0.2</v>
      </c>
      <c r="M84">
        <f>(AF30_ByRubLot[[#This Row],[101-110]]/AF30_ByRubLot3[[Total Charge]:[Total Charge]])</f>
        <v>0</v>
      </c>
      <c r="N84">
        <f>(AF30_ByRubLot[[#This Row],[111-120]]/AF30_ByRubLot3[[Total Charge]:[Total Charge]])</f>
        <v>0.1</v>
      </c>
      <c r="O84">
        <f>(AF30_ByRubLot[[#This Row],[121-130]]/AF30_ByRubLot3[[Total Charge]:[Total Charge]])</f>
        <v>0.1</v>
      </c>
      <c r="P84">
        <f>(AF30_ByRubLot[[#This Row],[131-140]]/AF30_ByRubLot3[[Total Charge]:[Total Charge]])</f>
        <v>0</v>
      </c>
      <c r="Q84">
        <v>1</v>
      </c>
      <c r="R84">
        <v>0</v>
      </c>
      <c r="S84" t="s">
        <v>38</v>
      </c>
      <c r="T84">
        <v>10</v>
      </c>
      <c r="U84" s="114"/>
      <c r="V84">
        <v>180.55555555555554</v>
      </c>
      <c r="W84">
        <v>200</v>
      </c>
      <c r="X84">
        <f t="shared" ref="X84:X90" si="7">(W84/V84)*100</f>
        <v>110.76923076923077</v>
      </c>
      <c r="Y84">
        <f>SUM(AF30_ByRubLot3[[#This Row],[0-10]:[131-140]])</f>
        <v>1</v>
      </c>
    </row>
    <row r="85" spans="1:25" x14ac:dyDescent="0.25">
      <c r="A85" t="s">
        <v>21</v>
      </c>
      <c r="B85" t="s">
        <v>218</v>
      </c>
      <c r="C85">
        <f>(AF30_ByRubLot[[#This Row],[0-10]]/AF30_ByRubLot3[[Total Charge]:[Total Charge]])</f>
        <v>0</v>
      </c>
      <c r="D85">
        <f>(AF30_ByRubLot[[#This Row],[11-20]]/AF30_ByRubLot3[[Total Charge]:[Total Charge]])</f>
        <v>0</v>
      </c>
      <c r="E85">
        <f>(AF30_ByRubLot[[#This Row],[21-30]]/AF30_ByRubLot3[[Total Charge]:[Total Charge]])</f>
        <v>0</v>
      </c>
      <c r="F85">
        <f>(AF30_ByRubLot[[#This Row],[31-40]]/AF30_ByRubLot3[[Total Charge]:[Total Charge]])</f>
        <v>0</v>
      </c>
      <c r="G85">
        <f>(AF30_ByRubLot[[#This Row],[41-50]]/AF30_ByRubLot3[[Total Charge]:[Total Charge]])</f>
        <v>0</v>
      </c>
      <c r="H85">
        <f>(AF30_ByRubLot[[#This Row],[51-60]]/AF30_ByRubLot3[[Total Charge]:[Total Charge]])</f>
        <v>0</v>
      </c>
      <c r="I85">
        <f>(AF30_ByRubLot[[#This Row],[61-70]]/AF30_ByRubLot3[[Total Charge]:[Total Charge]])</f>
        <v>0.5</v>
      </c>
      <c r="J85">
        <f>(AF30_ByRubLot[[#This Row],[71-80]]/AF30_ByRubLot3[[Total Charge]:[Total Charge]])</f>
        <v>0.1</v>
      </c>
      <c r="K85">
        <f>(AF30_ByRubLot[[#This Row],[81-90]]/AF30_ByRubLot3[[Total Charge]:[Total Charge]])</f>
        <v>0</v>
      </c>
      <c r="L85">
        <f>(AF30_ByRubLot[[#This Row],[91-100]]/AF30_ByRubLot3[[Total Charge]:[Total Charge]])</f>
        <v>0.2</v>
      </c>
      <c r="M85">
        <f>(AF30_ByRubLot[[#This Row],[101-110]]/AF30_ByRubLot3[[Total Charge]:[Total Charge]])</f>
        <v>0</v>
      </c>
      <c r="N85">
        <f>(AF30_ByRubLot[[#This Row],[111-120]]/AF30_ByRubLot3[[Total Charge]:[Total Charge]])</f>
        <v>0.1</v>
      </c>
      <c r="O85">
        <f>(AF30_ByRubLot[[#This Row],[121-130]]/AF30_ByRubLot3[[Total Charge]:[Total Charge]])</f>
        <v>0.1</v>
      </c>
      <c r="P85">
        <f>(AF30_ByRubLot[[#This Row],[131-140]]/AF30_ByRubLot3[[Total Charge]:[Total Charge]])</f>
        <v>0</v>
      </c>
      <c r="Q85">
        <v>1</v>
      </c>
      <c r="R85">
        <v>0</v>
      </c>
      <c r="S85" t="s">
        <v>38</v>
      </c>
      <c r="T85">
        <v>10</v>
      </c>
      <c r="U85" s="114"/>
      <c r="V85">
        <v>2963.8888888888891</v>
      </c>
      <c r="W85">
        <v>2352</v>
      </c>
      <c r="X85">
        <f t="shared" si="7"/>
        <v>79.35520149953139</v>
      </c>
      <c r="Y85">
        <f>SUM(AF30_ByRubLot3[[#This Row],[0-10]:[131-140]])</f>
        <v>1</v>
      </c>
    </row>
    <row r="86" spans="1:25" x14ac:dyDescent="0.25">
      <c r="A86" t="s">
        <v>24</v>
      </c>
      <c r="B86" s="146" t="s">
        <v>219</v>
      </c>
      <c r="C86">
        <f>(AF30_ByRubLot[[#This Row],[0-10]]/AF30_ByRubLot3[[Total Charge]:[Total Charge]])</f>
        <v>0</v>
      </c>
      <c r="D86">
        <f>(AF30_ByRubLot[[#This Row],[11-20]]/AF30_ByRubLot3[[Total Charge]:[Total Charge]])</f>
        <v>0</v>
      </c>
      <c r="E86">
        <f>(AF30_ByRubLot[[#This Row],[21-30]]/AF30_ByRubLot3[[Total Charge]:[Total Charge]])</f>
        <v>0</v>
      </c>
      <c r="F86">
        <f>(AF30_ByRubLot[[#This Row],[31-40]]/AF30_ByRubLot3[[Total Charge]:[Total Charge]])</f>
        <v>0.1</v>
      </c>
      <c r="G86">
        <f>(AF30_ByRubLot[[#This Row],[41-50]]/AF30_ByRubLot3[[Total Charge]:[Total Charge]])</f>
        <v>0.1</v>
      </c>
      <c r="H86">
        <f>(AF30_ByRubLot[[#This Row],[51-60]]/AF30_ByRubLot3[[Total Charge]:[Total Charge]])</f>
        <v>0</v>
      </c>
      <c r="I86">
        <f>(AF30_ByRubLot[[#This Row],[61-70]]/AF30_ByRubLot3[[Total Charge]:[Total Charge]])</f>
        <v>0</v>
      </c>
      <c r="J86">
        <f>(AF30_ByRubLot[[#This Row],[71-80]]/AF30_ByRubLot3[[Total Charge]:[Total Charge]])</f>
        <v>0.1</v>
      </c>
      <c r="K86">
        <f>(AF30_ByRubLot[[#This Row],[81-90]]/AF30_ByRubLot3[[Total Charge]:[Total Charge]])</f>
        <v>0.1</v>
      </c>
      <c r="L86">
        <f>(AF30_ByRubLot[[#This Row],[91-100]]/AF30_ByRubLot3[[Total Charge]:[Total Charge]])</f>
        <v>0.5</v>
      </c>
      <c r="M86">
        <f>(AF30_ByRubLot[[#This Row],[101-110]]/AF30_ByRubLot3[[Total Charge]:[Total Charge]])</f>
        <v>0.1</v>
      </c>
      <c r="N86">
        <f>(AF30_ByRubLot[[#This Row],[111-120]]/AF30_ByRubLot3[[Total Charge]:[Total Charge]])</f>
        <v>0</v>
      </c>
      <c r="O86">
        <f>(AF30_ByRubLot[[#This Row],[121-130]]/AF30_ByRubLot3[[Total Charge]:[Total Charge]])</f>
        <v>0</v>
      </c>
      <c r="P86">
        <f>(AF30_ByRubLot[[#This Row],[131-140]]/AF30_ByRubLot3[[Total Charge]:[Total Charge]])</f>
        <v>0</v>
      </c>
      <c r="Q86">
        <v>0</v>
      </c>
      <c r="R86">
        <v>0</v>
      </c>
      <c r="S86" t="s">
        <v>6</v>
      </c>
      <c r="T86">
        <v>10</v>
      </c>
      <c r="U86" s="112"/>
      <c r="V86">
        <v>1966.6666666666665</v>
      </c>
      <c r="W86">
        <v>1680</v>
      </c>
      <c r="X86">
        <f t="shared" si="7"/>
        <v>85.423728813559336</v>
      </c>
      <c r="Y86">
        <f>SUM(AF30_ByRubLot3[[#This Row],[0-10]:[131-140]])</f>
        <v>1</v>
      </c>
    </row>
    <row r="87" spans="1:25" x14ac:dyDescent="0.25">
      <c r="A87" t="s">
        <v>24</v>
      </c>
      <c r="B87" s="146" t="s">
        <v>220</v>
      </c>
      <c r="C87">
        <f>(AF30_ByRubLot[[#This Row],[0-10]]/AF30_ByRubLot3[[Total Charge]:[Total Charge]])</f>
        <v>0</v>
      </c>
      <c r="D87">
        <f>(AF30_ByRubLot[[#This Row],[11-20]]/AF30_ByRubLot3[[Total Charge]:[Total Charge]])</f>
        <v>0</v>
      </c>
      <c r="E87">
        <f>(AF30_ByRubLot[[#This Row],[21-30]]/AF30_ByRubLot3[[Total Charge]:[Total Charge]])</f>
        <v>0</v>
      </c>
      <c r="F87">
        <f>(AF30_ByRubLot[[#This Row],[31-40]]/AF30_ByRubLot3[[Total Charge]:[Total Charge]])</f>
        <v>0.1</v>
      </c>
      <c r="G87">
        <f>(AF30_ByRubLot[[#This Row],[41-50]]/AF30_ByRubLot3[[Total Charge]:[Total Charge]])</f>
        <v>0.1</v>
      </c>
      <c r="H87">
        <f>(AF30_ByRubLot[[#This Row],[51-60]]/AF30_ByRubLot3[[Total Charge]:[Total Charge]])</f>
        <v>0</v>
      </c>
      <c r="I87">
        <f>(AF30_ByRubLot[[#This Row],[61-70]]/AF30_ByRubLot3[[Total Charge]:[Total Charge]])</f>
        <v>0</v>
      </c>
      <c r="J87">
        <f>(AF30_ByRubLot[[#This Row],[71-80]]/AF30_ByRubLot3[[Total Charge]:[Total Charge]])</f>
        <v>0.1</v>
      </c>
      <c r="K87">
        <f>(AF30_ByRubLot[[#This Row],[81-90]]/AF30_ByRubLot3[[Total Charge]:[Total Charge]])</f>
        <v>0.1</v>
      </c>
      <c r="L87">
        <f>(AF30_ByRubLot[[#This Row],[91-100]]/AF30_ByRubLot3[[Total Charge]:[Total Charge]])</f>
        <v>0.5</v>
      </c>
      <c r="M87">
        <f>(AF30_ByRubLot[[#This Row],[101-110]]/AF30_ByRubLot3[[Total Charge]:[Total Charge]])</f>
        <v>0.1</v>
      </c>
      <c r="N87">
        <f>(AF30_ByRubLot[[#This Row],[111-120]]/AF30_ByRubLot3[[Total Charge]:[Total Charge]])</f>
        <v>0</v>
      </c>
      <c r="O87">
        <f>(AF30_ByRubLot[[#This Row],[121-130]]/AF30_ByRubLot3[[Total Charge]:[Total Charge]])</f>
        <v>0</v>
      </c>
      <c r="P87">
        <f>(AF30_ByRubLot[[#This Row],[131-140]]/AF30_ByRubLot3[[Total Charge]:[Total Charge]])</f>
        <v>0</v>
      </c>
      <c r="Q87">
        <v>0</v>
      </c>
      <c r="R87">
        <v>0</v>
      </c>
      <c r="S87" t="s">
        <v>6</v>
      </c>
      <c r="T87">
        <v>10</v>
      </c>
      <c r="U87" s="112"/>
      <c r="V87">
        <v>1972.2222222222222</v>
      </c>
      <c r="W87">
        <v>1832</v>
      </c>
      <c r="X87">
        <f t="shared" si="7"/>
        <v>92.89014084507042</v>
      </c>
      <c r="Y87">
        <f>SUM(AF30_ByRubLot3[[#This Row],[0-10]:[131-140]])</f>
        <v>1</v>
      </c>
    </row>
    <row r="88" spans="1:25" x14ac:dyDescent="0.25">
      <c r="A88" t="s">
        <v>24</v>
      </c>
      <c r="B88" s="146" t="s">
        <v>221</v>
      </c>
      <c r="C88">
        <f>(AF30_ByRubLot[[#This Row],[0-10]]/AF30_ByRubLot3[[Total Charge]:[Total Charge]])</f>
        <v>0</v>
      </c>
      <c r="D88">
        <f>(AF30_ByRubLot[[#This Row],[11-20]]/AF30_ByRubLot3[[Total Charge]:[Total Charge]])</f>
        <v>0</v>
      </c>
      <c r="E88">
        <f>(AF30_ByRubLot[[#This Row],[21-30]]/AF30_ByRubLot3[[Total Charge]:[Total Charge]])</f>
        <v>0</v>
      </c>
      <c r="F88">
        <f>(AF30_ByRubLot[[#This Row],[31-40]]/AF30_ByRubLot3[[Total Charge]:[Total Charge]])</f>
        <v>0.1</v>
      </c>
      <c r="G88">
        <f>(AF30_ByRubLot[[#This Row],[41-50]]/AF30_ByRubLot3[[Total Charge]:[Total Charge]])</f>
        <v>0.1</v>
      </c>
      <c r="H88">
        <f>(AF30_ByRubLot[[#This Row],[51-60]]/AF30_ByRubLot3[[Total Charge]:[Total Charge]])</f>
        <v>0</v>
      </c>
      <c r="I88">
        <f>(AF30_ByRubLot[[#This Row],[61-70]]/AF30_ByRubLot3[[Total Charge]:[Total Charge]])</f>
        <v>0</v>
      </c>
      <c r="J88">
        <f>(AF30_ByRubLot[[#This Row],[71-80]]/AF30_ByRubLot3[[Total Charge]:[Total Charge]])</f>
        <v>0.1</v>
      </c>
      <c r="K88">
        <f>(AF30_ByRubLot[[#This Row],[81-90]]/AF30_ByRubLot3[[Total Charge]:[Total Charge]])</f>
        <v>0.1</v>
      </c>
      <c r="L88">
        <f>(AF30_ByRubLot[[#This Row],[91-100]]/AF30_ByRubLot3[[Total Charge]:[Total Charge]])</f>
        <v>0.5</v>
      </c>
      <c r="M88">
        <f>(AF30_ByRubLot[[#This Row],[101-110]]/AF30_ByRubLot3[[Total Charge]:[Total Charge]])</f>
        <v>0.1</v>
      </c>
      <c r="N88">
        <f>(AF30_ByRubLot[[#This Row],[111-120]]/AF30_ByRubLot3[[Total Charge]:[Total Charge]])</f>
        <v>0</v>
      </c>
      <c r="O88">
        <f>(AF30_ByRubLot[[#This Row],[121-130]]/AF30_ByRubLot3[[Total Charge]:[Total Charge]])</f>
        <v>0</v>
      </c>
      <c r="P88">
        <f>(AF30_ByRubLot[[#This Row],[131-140]]/AF30_ByRubLot3[[Total Charge]:[Total Charge]])</f>
        <v>0</v>
      </c>
      <c r="Q88">
        <v>0</v>
      </c>
      <c r="R88">
        <v>0</v>
      </c>
      <c r="S88" t="s">
        <v>6</v>
      </c>
      <c r="T88">
        <v>10</v>
      </c>
      <c r="U88" s="112"/>
      <c r="V88">
        <v>1944.4444444444443</v>
      </c>
      <c r="W88">
        <v>1600</v>
      </c>
      <c r="X88">
        <f t="shared" si="7"/>
        <v>82.285714285714292</v>
      </c>
      <c r="Y88">
        <f>SUM(AF30_ByRubLot3[[#This Row],[0-10]:[131-140]])</f>
        <v>1</v>
      </c>
    </row>
    <row r="89" spans="1:25" x14ac:dyDescent="0.25">
      <c r="A89" t="s">
        <v>24</v>
      </c>
      <c r="B89" s="146" t="s">
        <v>222</v>
      </c>
      <c r="C89">
        <f>(AF30_ByRubLot[[#This Row],[0-10]]/AF30_ByRubLot3[[Total Charge]:[Total Charge]])</f>
        <v>0</v>
      </c>
      <c r="D89">
        <f>(AF30_ByRubLot[[#This Row],[11-20]]/AF30_ByRubLot3[[Total Charge]:[Total Charge]])</f>
        <v>0</v>
      </c>
      <c r="E89">
        <f>(AF30_ByRubLot[[#This Row],[21-30]]/AF30_ByRubLot3[[Total Charge]:[Total Charge]])</f>
        <v>0</v>
      </c>
      <c r="F89">
        <f>(AF30_ByRubLot[[#This Row],[31-40]]/AF30_ByRubLot3[[Total Charge]:[Total Charge]])</f>
        <v>0.1</v>
      </c>
      <c r="G89">
        <f>(AF30_ByRubLot[[#This Row],[41-50]]/AF30_ByRubLot3[[Total Charge]:[Total Charge]])</f>
        <v>0.1</v>
      </c>
      <c r="H89">
        <f>(AF30_ByRubLot[[#This Row],[51-60]]/AF30_ByRubLot3[[Total Charge]:[Total Charge]])</f>
        <v>0</v>
      </c>
      <c r="I89">
        <f>(AF30_ByRubLot[[#This Row],[61-70]]/AF30_ByRubLot3[[Total Charge]:[Total Charge]])</f>
        <v>0</v>
      </c>
      <c r="J89">
        <f>(AF30_ByRubLot[[#This Row],[71-80]]/AF30_ByRubLot3[[Total Charge]:[Total Charge]])</f>
        <v>0.1</v>
      </c>
      <c r="K89">
        <f>(AF30_ByRubLot[[#This Row],[81-90]]/AF30_ByRubLot3[[Total Charge]:[Total Charge]])</f>
        <v>0.1</v>
      </c>
      <c r="L89">
        <f>(AF30_ByRubLot[[#This Row],[91-100]]/AF30_ByRubLot3[[Total Charge]:[Total Charge]])</f>
        <v>0.5</v>
      </c>
      <c r="M89">
        <f>(AF30_ByRubLot[[#This Row],[101-110]]/AF30_ByRubLot3[[Total Charge]:[Total Charge]])</f>
        <v>0.1</v>
      </c>
      <c r="N89">
        <f>(AF30_ByRubLot[[#This Row],[111-120]]/AF30_ByRubLot3[[Total Charge]:[Total Charge]])</f>
        <v>0</v>
      </c>
      <c r="O89">
        <f>(AF30_ByRubLot[[#This Row],[121-130]]/AF30_ByRubLot3[[Total Charge]:[Total Charge]])</f>
        <v>0</v>
      </c>
      <c r="P89">
        <f>(AF30_ByRubLot[[#This Row],[131-140]]/AF30_ByRubLot3[[Total Charge]:[Total Charge]])</f>
        <v>0</v>
      </c>
      <c r="Q89">
        <v>0</v>
      </c>
      <c r="R89">
        <v>0</v>
      </c>
      <c r="S89" t="s">
        <v>6</v>
      </c>
      <c r="T89">
        <v>10</v>
      </c>
      <c r="U89" s="112"/>
      <c r="V89">
        <v>2391.6666666666665</v>
      </c>
      <c r="W89">
        <v>2269.6666599999999</v>
      </c>
      <c r="X89">
        <f t="shared" si="7"/>
        <v>94.898954425087112</v>
      </c>
      <c r="Y89">
        <f>SUM(AF30_ByRubLot3[[#This Row],[0-10]:[131-140]])</f>
        <v>1</v>
      </c>
    </row>
    <row r="90" spans="1:25" x14ac:dyDescent="0.25">
      <c r="A90" t="s">
        <v>24</v>
      </c>
      <c r="B90" s="146" t="s">
        <v>223</v>
      </c>
      <c r="C90">
        <f>(AF30_ByRubLot[[#This Row],[0-10]]/AF30_ByRubLot3[[Total Charge]:[Total Charge]])</f>
        <v>0</v>
      </c>
      <c r="D90">
        <f>(AF30_ByRubLot[[#This Row],[11-20]]/AF30_ByRubLot3[[Total Charge]:[Total Charge]])</f>
        <v>0</v>
      </c>
      <c r="E90">
        <f>(AF30_ByRubLot[[#This Row],[21-30]]/AF30_ByRubLot3[[Total Charge]:[Total Charge]])</f>
        <v>0</v>
      </c>
      <c r="F90">
        <f>(AF30_ByRubLot[[#This Row],[31-40]]/AF30_ByRubLot3[[Total Charge]:[Total Charge]])</f>
        <v>0.1</v>
      </c>
      <c r="G90">
        <f>(AF30_ByRubLot[[#This Row],[41-50]]/AF30_ByRubLot3[[Total Charge]:[Total Charge]])</f>
        <v>0.1</v>
      </c>
      <c r="H90">
        <f>(AF30_ByRubLot[[#This Row],[51-60]]/AF30_ByRubLot3[[Total Charge]:[Total Charge]])</f>
        <v>0</v>
      </c>
      <c r="I90">
        <f>(AF30_ByRubLot[[#This Row],[61-70]]/AF30_ByRubLot3[[Total Charge]:[Total Charge]])</f>
        <v>0</v>
      </c>
      <c r="J90">
        <f>(AF30_ByRubLot[[#This Row],[71-80]]/AF30_ByRubLot3[[Total Charge]:[Total Charge]])</f>
        <v>0.1</v>
      </c>
      <c r="K90">
        <f>(AF30_ByRubLot[[#This Row],[81-90]]/AF30_ByRubLot3[[Total Charge]:[Total Charge]])</f>
        <v>0.1</v>
      </c>
      <c r="L90">
        <f>(AF30_ByRubLot[[#This Row],[91-100]]/AF30_ByRubLot3[[Total Charge]:[Total Charge]])</f>
        <v>0.5</v>
      </c>
      <c r="M90">
        <f>(AF30_ByRubLot[[#This Row],[101-110]]/AF30_ByRubLot3[[Total Charge]:[Total Charge]])</f>
        <v>0.1</v>
      </c>
      <c r="N90">
        <f>(AF30_ByRubLot[[#This Row],[111-120]]/AF30_ByRubLot3[[Total Charge]:[Total Charge]])</f>
        <v>0</v>
      </c>
      <c r="O90">
        <f>(AF30_ByRubLot[[#This Row],[121-130]]/AF30_ByRubLot3[[Total Charge]:[Total Charge]])</f>
        <v>0</v>
      </c>
      <c r="P90">
        <f>(AF30_ByRubLot[[#This Row],[131-140]]/AF30_ByRubLot3[[Total Charge]:[Total Charge]])</f>
        <v>0</v>
      </c>
      <c r="Q90">
        <v>0</v>
      </c>
      <c r="R90">
        <v>0</v>
      </c>
      <c r="S90" t="s">
        <v>6</v>
      </c>
      <c r="T90">
        <v>10</v>
      </c>
      <c r="U90" s="112"/>
      <c r="V90">
        <v>2324.9999999999995</v>
      </c>
      <c r="W90">
        <v>2121.6666599999999</v>
      </c>
      <c r="X90">
        <f t="shared" si="7"/>
        <v>91.254480000000015</v>
      </c>
      <c r="Y90">
        <f>SUM(AF30_ByRubLot3[[#This Row],[0-10]:[131-140]])</f>
        <v>1</v>
      </c>
    </row>
    <row r="91" spans="1:25" x14ac:dyDescent="0.25">
      <c r="A91" t="s">
        <v>24</v>
      </c>
      <c r="B91" s="146" t="s">
        <v>224</v>
      </c>
      <c r="C91">
        <f>(AF30_ByRubLot[[#This Row],[0-10]]/AF30_ByRubLot3[[Total Charge]:[Total Charge]])</f>
        <v>0</v>
      </c>
      <c r="D91">
        <f>(AF30_ByRubLot[[#This Row],[11-20]]/AF30_ByRubLot3[[Total Charge]:[Total Charge]])</f>
        <v>0</v>
      </c>
      <c r="E91">
        <f>(AF30_ByRubLot[[#This Row],[21-30]]/AF30_ByRubLot3[[Total Charge]:[Total Charge]])</f>
        <v>0</v>
      </c>
      <c r="F91">
        <f>(AF30_ByRubLot[[#This Row],[31-40]]/AF30_ByRubLot3[[Total Charge]:[Total Charge]])</f>
        <v>0.1</v>
      </c>
      <c r="G91">
        <f>(AF30_ByRubLot[[#This Row],[41-50]]/AF30_ByRubLot3[[Total Charge]:[Total Charge]])</f>
        <v>0.1</v>
      </c>
      <c r="H91">
        <f>(AF30_ByRubLot[[#This Row],[51-60]]/AF30_ByRubLot3[[Total Charge]:[Total Charge]])</f>
        <v>0</v>
      </c>
      <c r="I91">
        <f>(AF30_ByRubLot[[#This Row],[61-70]]/AF30_ByRubLot3[[Total Charge]:[Total Charge]])</f>
        <v>0</v>
      </c>
      <c r="J91">
        <f>(AF30_ByRubLot[[#This Row],[71-80]]/AF30_ByRubLot3[[Total Charge]:[Total Charge]])</f>
        <v>0.1</v>
      </c>
      <c r="K91">
        <f>(AF30_ByRubLot[[#This Row],[81-90]]/AF30_ByRubLot3[[Total Charge]:[Total Charge]])</f>
        <v>0.1</v>
      </c>
      <c r="L91">
        <f>(AF30_ByRubLot[[#This Row],[91-100]]/AF30_ByRubLot3[[Total Charge]:[Total Charge]])</f>
        <v>0.5</v>
      </c>
      <c r="M91">
        <f>(AF30_ByRubLot[[#This Row],[101-110]]/AF30_ByRubLot3[[Total Charge]:[Total Charge]])</f>
        <v>0.1</v>
      </c>
      <c r="N91">
        <f>(AF30_ByRubLot[[#This Row],[111-120]]/AF30_ByRubLot3[[Total Charge]:[Total Charge]])</f>
        <v>0</v>
      </c>
      <c r="O91">
        <f>(AF30_ByRubLot[[#This Row],[121-130]]/AF30_ByRubLot3[[Total Charge]:[Total Charge]])</f>
        <v>0</v>
      </c>
      <c r="P91">
        <f>(AF30_ByRubLot[[#This Row],[131-140]]/AF30_ByRubLot3[[Total Charge]:[Total Charge]])</f>
        <v>0</v>
      </c>
      <c r="Q91">
        <v>0</v>
      </c>
      <c r="R91">
        <v>0</v>
      </c>
      <c r="S91" t="s">
        <v>6</v>
      </c>
      <c r="T91">
        <v>10</v>
      </c>
      <c r="U91" s="112"/>
      <c r="V91">
        <v>1752.7777777777778</v>
      </c>
      <c r="W91">
        <v>1320</v>
      </c>
      <c r="X91">
        <f t="shared" ref="X91:X115" si="8">(W91/V91)*100</f>
        <v>75.309033280507137</v>
      </c>
      <c r="Y91">
        <f>SUM(AF30_ByRubLot3[[#This Row],[0-10]:[131-140]])</f>
        <v>1</v>
      </c>
    </row>
    <row r="92" spans="1:25" x14ac:dyDescent="0.25">
      <c r="A92" t="s">
        <v>24</v>
      </c>
      <c r="B92" s="146" t="s">
        <v>225</v>
      </c>
      <c r="C92">
        <f>(AF30_ByRubLot[[#This Row],[0-10]]/AF30_ByRubLot3[[Total Charge]:[Total Charge]])</f>
        <v>0</v>
      </c>
      <c r="D92">
        <f>(AF30_ByRubLot[[#This Row],[11-20]]/AF30_ByRubLot3[[Total Charge]:[Total Charge]])</f>
        <v>0</v>
      </c>
      <c r="E92">
        <f>(AF30_ByRubLot[[#This Row],[21-30]]/AF30_ByRubLot3[[Total Charge]:[Total Charge]])</f>
        <v>0</v>
      </c>
      <c r="F92">
        <f>(AF30_ByRubLot[[#This Row],[31-40]]/AF30_ByRubLot3[[Total Charge]:[Total Charge]])</f>
        <v>0.1</v>
      </c>
      <c r="G92">
        <f>(AF30_ByRubLot[[#This Row],[41-50]]/AF30_ByRubLot3[[Total Charge]:[Total Charge]])</f>
        <v>0.1</v>
      </c>
      <c r="H92">
        <f>(AF30_ByRubLot[[#This Row],[51-60]]/AF30_ByRubLot3[[Total Charge]:[Total Charge]])</f>
        <v>0</v>
      </c>
      <c r="I92">
        <f>(AF30_ByRubLot[[#This Row],[61-70]]/AF30_ByRubLot3[[Total Charge]:[Total Charge]])</f>
        <v>0</v>
      </c>
      <c r="J92">
        <f>(AF30_ByRubLot[[#This Row],[71-80]]/AF30_ByRubLot3[[Total Charge]:[Total Charge]])</f>
        <v>0.1</v>
      </c>
      <c r="K92">
        <f>(AF30_ByRubLot[[#This Row],[81-90]]/AF30_ByRubLot3[[Total Charge]:[Total Charge]])</f>
        <v>0.1</v>
      </c>
      <c r="L92">
        <f>(AF30_ByRubLot[[#This Row],[91-100]]/AF30_ByRubLot3[[Total Charge]:[Total Charge]])</f>
        <v>0.5</v>
      </c>
      <c r="M92">
        <f>(AF30_ByRubLot[[#This Row],[101-110]]/AF30_ByRubLot3[[Total Charge]:[Total Charge]])</f>
        <v>0.1</v>
      </c>
      <c r="N92">
        <f>(AF30_ByRubLot[[#This Row],[111-120]]/AF30_ByRubLot3[[Total Charge]:[Total Charge]])</f>
        <v>0</v>
      </c>
      <c r="O92">
        <f>(AF30_ByRubLot[[#This Row],[121-130]]/AF30_ByRubLot3[[Total Charge]:[Total Charge]])</f>
        <v>0</v>
      </c>
      <c r="P92">
        <f>(AF30_ByRubLot[[#This Row],[131-140]]/AF30_ByRubLot3[[Total Charge]:[Total Charge]])</f>
        <v>0</v>
      </c>
      <c r="Q92">
        <v>0</v>
      </c>
      <c r="R92">
        <v>0</v>
      </c>
      <c r="S92" t="s">
        <v>6</v>
      </c>
      <c r="T92">
        <v>10</v>
      </c>
      <c r="U92" s="112"/>
      <c r="V92">
        <v>3269.4444444444448</v>
      </c>
      <c r="W92">
        <v>3036</v>
      </c>
      <c r="X92">
        <f t="shared" si="8"/>
        <v>92.859813084112147</v>
      </c>
      <c r="Y92">
        <f>SUM(AF30_ByRubLot3[[#This Row],[0-10]:[131-140]])</f>
        <v>1</v>
      </c>
    </row>
    <row r="93" spans="1:25" x14ac:dyDescent="0.25">
      <c r="A93" t="s">
        <v>24</v>
      </c>
      <c r="B93" s="146" t="s">
        <v>226</v>
      </c>
      <c r="C93">
        <f>(AF30_ByRubLot[[#This Row],[0-10]]/AF30_ByRubLot3[[Total Charge]:[Total Charge]])</f>
        <v>0</v>
      </c>
      <c r="D93">
        <f>(AF30_ByRubLot[[#This Row],[11-20]]/AF30_ByRubLot3[[Total Charge]:[Total Charge]])</f>
        <v>0</v>
      </c>
      <c r="E93">
        <f>(AF30_ByRubLot[[#This Row],[21-30]]/AF30_ByRubLot3[[Total Charge]:[Total Charge]])</f>
        <v>0</v>
      </c>
      <c r="F93">
        <f>(AF30_ByRubLot[[#This Row],[31-40]]/AF30_ByRubLot3[[Total Charge]:[Total Charge]])</f>
        <v>0.1</v>
      </c>
      <c r="G93">
        <f>(AF30_ByRubLot[[#This Row],[41-50]]/AF30_ByRubLot3[[Total Charge]:[Total Charge]])</f>
        <v>0.1</v>
      </c>
      <c r="H93">
        <f>(AF30_ByRubLot[[#This Row],[51-60]]/AF30_ByRubLot3[[Total Charge]:[Total Charge]])</f>
        <v>0</v>
      </c>
      <c r="I93">
        <f>(AF30_ByRubLot[[#This Row],[61-70]]/AF30_ByRubLot3[[Total Charge]:[Total Charge]])</f>
        <v>0</v>
      </c>
      <c r="J93">
        <f>(AF30_ByRubLot[[#This Row],[71-80]]/AF30_ByRubLot3[[Total Charge]:[Total Charge]])</f>
        <v>0.1</v>
      </c>
      <c r="K93">
        <f>(AF30_ByRubLot[[#This Row],[81-90]]/AF30_ByRubLot3[[Total Charge]:[Total Charge]])</f>
        <v>0.1</v>
      </c>
      <c r="L93">
        <f>(AF30_ByRubLot[[#This Row],[91-100]]/AF30_ByRubLot3[[Total Charge]:[Total Charge]])</f>
        <v>0.5</v>
      </c>
      <c r="M93">
        <f>(AF30_ByRubLot[[#This Row],[101-110]]/AF30_ByRubLot3[[Total Charge]:[Total Charge]])</f>
        <v>0.1</v>
      </c>
      <c r="N93">
        <f>(AF30_ByRubLot[[#This Row],[111-120]]/AF30_ByRubLot3[[Total Charge]:[Total Charge]])</f>
        <v>0</v>
      </c>
      <c r="O93">
        <f>(AF30_ByRubLot[[#This Row],[121-130]]/AF30_ByRubLot3[[Total Charge]:[Total Charge]])</f>
        <v>0</v>
      </c>
      <c r="P93">
        <f>(AF30_ByRubLot[[#This Row],[131-140]]/AF30_ByRubLot3[[Total Charge]:[Total Charge]])</f>
        <v>0</v>
      </c>
      <c r="Q93">
        <v>0</v>
      </c>
      <c r="R93">
        <v>0</v>
      </c>
      <c r="S93" t="s">
        <v>6</v>
      </c>
      <c r="T93">
        <v>10</v>
      </c>
      <c r="U93" s="112"/>
      <c r="V93">
        <v>2527.7777777777778</v>
      </c>
      <c r="W93">
        <v>1989.6666599999999</v>
      </c>
      <c r="X93">
        <f t="shared" si="8"/>
        <v>78.712087648351641</v>
      </c>
      <c r="Y93">
        <f>SUM(AF30_ByRubLot3[[#This Row],[0-10]:[131-140]])</f>
        <v>1</v>
      </c>
    </row>
    <row r="94" spans="1:25" x14ac:dyDescent="0.25">
      <c r="A94" t="s">
        <v>24</v>
      </c>
      <c r="B94" s="146" t="s">
        <v>227</v>
      </c>
      <c r="C94">
        <f>(AF30_ByRubLot[[#This Row],[0-10]]/AF30_ByRubLot3[[Total Charge]:[Total Charge]])</f>
        <v>0</v>
      </c>
      <c r="D94">
        <f>(AF30_ByRubLot[[#This Row],[11-20]]/AF30_ByRubLot3[[Total Charge]:[Total Charge]])</f>
        <v>0</v>
      </c>
      <c r="E94">
        <f>(AF30_ByRubLot[[#This Row],[21-30]]/AF30_ByRubLot3[[Total Charge]:[Total Charge]])</f>
        <v>0</v>
      </c>
      <c r="F94">
        <f>(AF30_ByRubLot[[#This Row],[31-40]]/AF30_ByRubLot3[[Total Charge]:[Total Charge]])</f>
        <v>0.1</v>
      </c>
      <c r="G94">
        <f>(AF30_ByRubLot[[#This Row],[41-50]]/AF30_ByRubLot3[[Total Charge]:[Total Charge]])</f>
        <v>0.1</v>
      </c>
      <c r="H94">
        <f>(AF30_ByRubLot[[#This Row],[51-60]]/AF30_ByRubLot3[[Total Charge]:[Total Charge]])</f>
        <v>0</v>
      </c>
      <c r="I94">
        <f>(AF30_ByRubLot[[#This Row],[61-70]]/AF30_ByRubLot3[[Total Charge]:[Total Charge]])</f>
        <v>0</v>
      </c>
      <c r="J94">
        <f>(AF30_ByRubLot[[#This Row],[71-80]]/AF30_ByRubLot3[[Total Charge]:[Total Charge]])</f>
        <v>0.1</v>
      </c>
      <c r="K94">
        <f>(AF30_ByRubLot[[#This Row],[81-90]]/AF30_ByRubLot3[[Total Charge]:[Total Charge]])</f>
        <v>0.1</v>
      </c>
      <c r="L94">
        <f>(AF30_ByRubLot[[#This Row],[91-100]]/AF30_ByRubLot3[[Total Charge]:[Total Charge]])</f>
        <v>0.5</v>
      </c>
      <c r="M94">
        <f>(AF30_ByRubLot[[#This Row],[101-110]]/AF30_ByRubLot3[[Total Charge]:[Total Charge]])</f>
        <v>0.1</v>
      </c>
      <c r="N94">
        <f>(AF30_ByRubLot[[#This Row],[111-120]]/AF30_ByRubLot3[[Total Charge]:[Total Charge]])</f>
        <v>0</v>
      </c>
      <c r="O94">
        <f>(AF30_ByRubLot[[#This Row],[121-130]]/AF30_ByRubLot3[[Total Charge]:[Total Charge]])</f>
        <v>0</v>
      </c>
      <c r="P94">
        <f>(AF30_ByRubLot[[#This Row],[131-140]]/AF30_ByRubLot3[[Total Charge]:[Total Charge]])</f>
        <v>0</v>
      </c>
      <c r="Q94">
        <v>0</v>
      </c>
      <c r="R94">
        <v>0</v>
      </c>
      <c r="S94" t="s">
        <v>6</v>
      </c>
      <c r="T94">
        <v>10</v>
      </c>
      <c r="U94" s="112"/>
      <c r="V94">
        <v>266.66666666666669</v>
      </c>
      <c r="W94">
        <v>0</v>
      </c>
      <c r="X94">
        <f t="shared" si="8"/>
        <v>0</v>
      </c>
      <c r="Y94">
        <f>SUM(AF30_ByRubLot3[[#This Row],[0-10]:[131-140]])</f>
        <v>1</v>
      </c>
    </row>
    <row r="95" spans="1:25" x14ac:dyDescent="0.25">
      <c r="A95" t="s">
        <v>24</v>
      </c>
      <c r="B95" s="146" t="s">
        <v>228</v>
      </c>
      <c r="C95">
        <f>(AF30_ByRubLot[[#This Row],[0-10]]/AF30_ByRubLot3[[Total Charge]:[Total Charge]])</f>
        <v>0</v>
      </c>
      <c r="D95">
        <f>(AF30_ByRubLot[[#This Row],[11-20]]/AF30_ByRubLot3[[Total Charge]:[Total Charge]])</f>
        <v>0</v>
      </c>
      <c r="E95">
        <f>(AF30_ByRubLot[[#This Row],[21-30]]/AF30_ByRubLot3[[Total Charge]:[Total Charge]])</f>
        <v>0</v>
      </c>
      <c r="F95">
        <f>(AF30_ByRubLot[[#This Row],[31-40]]/AF30_ByRubLot3[[Total Charge]:[Total Charge]])</f>
        <v>0.1</v>
      </c>
      <c r="G95">
        <f>(AF30_ByRubLot[[#This Row],[41-50]]/AF30_ByRubLot3[[Total Charge]:[Total Charge]])</f>
        <v>0.1</v>
      </c>
      <c r="H95">
        <f>(AF30_ByRubLot[[#This Row],[51-60]]/AF30_ByRubLot3[[Total Charge]:[Total Charge]])</f>
        <v>0</v>
      </c>
      <c r="I95">
        <f>(AF30_ByRubLot[[#This Row],[61-70]]/AF30_ByRubLot3[[Total Charge]:[Total Charge]])</f>
        <v>0</v>
      </c>
      <c r="J95">
        <f>(AF30_ByRubLot[[#This Row],[71-80]]/AF30_ByRubLot3[[Total Charge]:[Total Charge]])</f>
        <v>0.1</v>
      </c>
      <c r="K95">
        <f>(AF30_ByRubLot[[#This Row],[81-90]]/AF30_ByRubLot3[[Total Charge]:[Total Charge]])</f>
        <v>0.1</v>
      </c>
      <c r="L95">
        <f>(AF30_ByRubLot[[#This Row],[91-100]]/AF30_ByRubLot3[[Total Charge]:[Total Charge]])</f>
        <v>0.5</v>
      </c>
      <c r="M95">
        <f>(AF30_ByRubLot[[#This Row],[101-110]]/AF30_ByRubLot3[[Total Charge]:[Total Charge]])</f>
        <v>0.1</v>
      </c>
      <c r="N95">
        <f>(AF30_ByRubLot[[#This Row],[111-120]]/AF30_ByRubLot3[[Total Charge]:[Total Charge]])</f>
        <v>0</v>
      </c>
      <c r="O95">
        <f>(AF30_ByRubLot[[#This Row],[121-130]]/AF30_ByRubLot3[[Total Charge]:[Total Charge]])</f>
        <v>0</v>
      </c>
      <c r="P95">
        <f>(AF30_ByRubLot[[#This Row],[131-140]]/AF30_ByRubLot3[[Total Charge]:[Total Charge]])</f>
        <v>0</v>
      </c>
      <c r="Q95">
        <v>0</v>
      </c>
      <c r="R95">
        <v>0</v>
      </c>
      <c r="S95" t="s">
        <v>6</v>
      </c>
      <c r="T95">
        <v>10</v>
      </c>
      <c r="U95" s="112"/>
      <c r="V95">
        <v>1855.5555555555557</v>
      </c>
      <c r="W95">
        <v>1681.6666599999999</v>
      </c>
      <c r="X95">
        <f t="shared" si="8"/>
        <v>90.628742155688613</v>
      </c>
      <c r="Y95">
        <f>SUM(AF30_ByRubLot3[[#This Row],[0-10]:[131-140]])</f>
        <v>1</v>
      </c>
    </row>
    <row r="96" spans="1:25" x14ac:dyDescent="0.25">
      <c r="A96" t="s">
        <v>24</v>
      </c>
      <c r="B96" s="146" t="s">
        <v>229</v>
      </c>
      <c r="C96">
        <f>(AF30_ByRubLot[[#This Row],[0-10]]/AF30_ByRubLot3[[Total Charge]:[Total Charge]])</f>
        <v>0</v>
      </c>
      <c r="D96">
        <f>(AF30_ByRubLot[[#This Row],[11-20]]/AF30_ByRubLot3[[Total Charge]:[Total Charge]])</f>
        <v>0</v>
      </c>
      <c r="E96">
        <f>(AF30_ByRubLot[[#This Row],[21-30]]/AF30_ByRubLot3[[Total Charge]:[Total Charge]])</f>
        <v>0</v>
      </c>
      <c r="F96">
        <f>(AF30_ByRubLot[[#This Row],[31-40]]/AF30_ByRubLot3[[Total Charge]:[Total Charge]])</f>
        <v>0.1</v>
      </c>
      <c r="G96">
        <f>(AF30_ByRubLot[[#This Row],[41-50]]/AF30_ByRubLot3[[Total Charge]:[Total Charge]])</f>
        <v>0.1</v>
      </c>
      <c r="H96">
        <f>(AF30_ByRubLot[[#This Row],[51-60]]/AF30_ByRubLot3[[Total Charge]:[Total Charge]])</f>
        <v>0</v>
      </c>
      <c r="I96">
        <f>(AF30_ByRubLot[[#This Row],[61-70]]/AF30_ByRubLot3[[Total Charge]:[Total Charge]])</f>
        <v>0</v>
      </c>
      <c r="J96">
        <f>(AF30_ByRubLot[[#This Row],[71-80]]/AF30_ByRubLot3[[Total Charge]:[Total Charge]])</f>
        <v>0.1</v>
      </c>
      <c r="K96">
        <f>(AF30_ByRubLot[[#This Row],[81-90]]/AF30_ByRubLot3[[Total Charge]:[Total Charge]])</f>
        <v>0.1</v>
      </c>
      <c r="L96">
        <f>(AF30_ByRubLot[[#This Row],[91-100]]/AF30_ByRubLot3[[Total Charge]:[Total Charge]])</f>
        <v>0.5</v>
      </c>
      <c r="M96">
        <f>(AF30_ByRubLot[[#This Row],[101-110]]/AF30_ByRubLot3[[Total Charge]:[Total Charge]])</f>
        <v>0.1</v>
      </c>
      <c r="N96">
        <f>(AF30_ByRubLot[[#This Row],[111-120]]/AF30_ByRubLot3[[Total Charge]:[Total Charge]])</f>
        <v>0</v>
      </c>
      <c r="O96">
        <f>(AF30_ByRubLot[[#This Row],[121-130]]/AF30_ByRubLot3[[Total Charge]:[Total Charge]])</f>
        <v>0</v>
      </c>
      <c r="P96">
        <f>(AF30_ByRubLot[[#This Row],[131-140]]/AF30_ByRubLot3[[Total Charge]:[Total Charge]])</f>
        <v>0</v>
      </c>
      <c r="Q96">
        <v>0</v>
      </c>
      <c r="R96">
        <v>0</v>
      </c>
      <c r="S96" t="s">
        <v>6</v>
      </c>
      <c r="T96">
        <v>10</v>
      </c>
      <c r="U96" s="112"/>
      <c r="V96">
        <v>1983.3333333333333</v>
      </c>
      <c r="W96">
        <v>1761.6666599999999</v>
      </c>
      <c r="X96">
        <f t="shared" si="8"/>
        <v>88.823529075630248</v>
      </c>
      <c r="Y96">
        <f>SUM(AF30_ByRubLot3[[#This Row],[0-10]:[131-140]])</f>
        <v>1</v>
      </c>
    </row>
    <row r="97" spans="1:25" x14ac:dyDescent="0.25">
      <c r="A97" t="s">
        <v>24</v>
      </c>
      <c r="B97" s="146" t="s">
        <v>230</v>
      </c>
      <c r="C97">
        <f>(AF30_ByRubLot[[#This Row],[0-10]]/AF30_ByRubLot3[[Total Charge]:[Total Charge]])</f>
        <v>0</v>
      </c>
      <c r="D97">
        <f>(AF30_ByRubLot[[#This Row],[11-20]]/AF30_ByRubLot3[[Total Charge]:[Total Charge]])</f>
        <v>0</v>
      </c>
      <c r="E97">
        <f>(AF30_ByRubLot[[#This Row],[21-30]]/AF30_ByRubLot3[[Total Charge]:[Total Charge]])</f>
        <v>0</v>
      </c>
      <c r="F97">
        <f>(AF30_ByRubLot[[#This Row],[31-40]]/AF30_ByRubLot3[[Total Charge]:[Total Charge]])</f>
        <v>0.1</v>
      </c>
      <c r="G97">
        <f>(AF30_ByRubLot[[#This Row],[41-50]]/AF30_ByRubLot3[[Total Charge]:[Total Charge]])</f>
        <v>0.1</v>
      </c>
      <c r="H97">
        <f>(AF30_ByRubLot[[#This Row],[51-60]]/AF30_ByRubLot3[[Total Charge]:[Total Charge]])</f>
        <v>0</v>
      </c>
      <c r="I97">
        <f>(AF30_ByRubLot[[#This Row],[61-70]]/AF30_ByRubLot3[[Total Charge]:[Total Charge]])</f>
        <v>0</v>
      </c>
      <c r="J97">
        <f>(AF30_ByRubLot[[#This Row],[71-80]]/AF30_ByRubLot3[[Total Charge]:[Total Charge]])</f>
        <v>0.1</v>
      </c>
      <c r="K97">
        <f>(AF30_ByRubLot[[#This Row],[81-90]]/AF30_ByRubLot3[[Total Charge]:[Total Charge]])</f>
        <v>0.1</v>
      </c>
      <c r="L97">
        <f>(AF30_ByRubLot[[#This Row],[91-100]]/AF30_ByRubLot3[[Total Charge]:[Total Charge]])</f>
        <v>0.5</v>
      </c>
      <c r="M97">
        <f>(AF30_ByRubLot[[#This Row],[101-110]]/AF30_ByRubLot3[[Total Charge]:[Total Charge]])</f>
        <v>0.1</v>
      </c>
      <c r="N97">
        <f>(AF30_ByRubLot[[#This Row],[111-120]]/AF30_ByRubLot3[[Total Charge]:[Total Charge]])</f>
        <v>0</v>
      </c>
      <c r="O97">
        <f>(AF30_ByRubLot[[#This Row],[121-130]]/AF30_ByRubLot3[[Total Charge]:[Total Charge]])</f>
        <v>0</v>
      </c>
      <c r="P97">
        <f>(AF30_ByRubLot[[#This Row],[131-140]]/AF30_ByRubLot3[[Total Charge]:[Total Charge]])</f>
        <v>0</v>
      </c>
      <c r="Q97">
        <v>0</v>
      </c>
      <c r="R97">
        <v>0</v>
      </c>
      <c r="S97" t="s">
        <v>6</v>
      </c>
      <c r="T97">
        <v>10</v>
      </c>
      <c r="U97" s="112"/>
      <c r="V97">
        <v>3002.7777777777778</v>
      </c>
      <c r="W97">
        <v>2595.66662</v>
      </c>
      <c r="X97">
        <f t="shared" si="8"/>
        <v>86.442181609620718</v>
      </c>
      <c r="Y97">
        <f>SUM(AF30_ByRubLot3[[#This Row],[0-10]:[131-140]])</f>
        <v>1</v>
      </c>
    </row>
    <row r="98" spans="1:25" x14ac:dyDescent="0.25">
      <c r="A98" t="s">
        <v>24</v>
      </c>
      <c r="B98" s="146" t="s">
        <v>231</v>
      </c>
      <c r="C98">
        <f>(AF30_ByRubLot[[#This Row],[0-10]]/AF30_ByRubLot3[[Total Charge]:[Total Charge]])</f>
        <v>0</v>
      </c>
      <c r="D98">
        <f>(AF30_ByRubLot[[#This Row],[11-20]]/AF30_ByRubLot3[[Total Charge]:[Total Charge]])</f>
        <v>0</v>
      </c>
      <c r="E98">
        <f>(AF30_ByRubLot[[#This Row],[21-30]]/AF30_ByRubLot3[[Total Charge]:[Total Charge]])</f>
        <v>0</v>
      </c>
      <c r="F98">
        <f>(AF30_ByRubLot[[#This Row],[31-40]]/AF30_ByRubLot3[[Total Charge]:[Total Charge]])</f>
        <v>0.1</v>
      </c>
      <c r="G98">
        <f>(AF30_ByRubLot[[#This Row],[41-50]]/AF30_ByRubLot3[[Total Charge]:[Total Charge]])</f>
        <v>0.1</v>
      </c>
      <c r="H98">
        <f>(AF30_ByRubLot[[#This Row],[51-60]]/AF30_ByRubLot3[[Total Charge]:[Total Charge]])</f>
        <v>0</v>
      </c>
      <c r="I98">
        <f>(AF30_ByRubLot[[#This Row],[61-70]]/AF30_ByRubLot3[[Total Charge]:[Total Charge]])</f>
        <v>0</v>
      </c>
      <c r="J98">
        <f>(AF30_ByRubLot[[#This Row],[71-80]]/AF30_ByRubLot3[[Total Charge]:[Total Charge]])</f>
        <v>0.1</v>
      </c>
      <c r="K98">
        <f>(AF30_ByRubLot[[#This Row],[81-90]]/AF30_ByRubLot3[[Total Charge]:[Total Charge]])</f>
        <v>0.1</v>
      </c>
      <c r="L98">
        <f>(AF30_ByRubLot[[#This Row],[91-100]]/AF30_ByRubLot3[[Total Charge]:[Total Charge]])</f>
        <v>0.5</v>
      </c>
      <c r="M98">
        <f>(AF30_ByRubLot[[#This Row],[101-110]]/AF30_ByRubLot3[[Total Charge]:[Total Charge]])</f>
        <v>0.1</v>
      </c>
      <c r="N98">
        <f>(AF30_ByRubLot[[#This Row],[111-120]]/AF30_ByRubLot3[[Total Charge]:[Total Charge]])</f>
        <v>0</v>
      </c>
      <c r="O98">
        <f>(AF30_ByRubLot[[#This Row],[121-130]]/AF30_ByRubLot3[[Total Charge]:[Total Charge]])</f>
        <v>0</v>
      </c>
      <c r="P98">
        <f>(AF30_ByRubLot[[#This Row],[131-140]]/AF30_ByRubLot3[[Total Charge]:[Total Charge]])</f>
        <v>0</v>
      </c>
      <c r="Q98">
        <v>0</v>
      </c>
      <c r="R98">
        <v>0</v>
      </c>
      <c r="S98" t="s">
        <v>6</v>
      </c>
      <c r="T98">
        <v>10</v>
      </c>
      <c r="U98" s="112"/>
      <c r="V98">
        <v>3057.2222222222217</v>
      </c>
      <c r="W98">
        <v>2720</v>
      </c>
      <c r="X98">
        <f t="shared" si="8"/>
        <v>88.969652916590974</v>
      </c>
      <c r="Y98">
        <f>SUM(AF30_ByRubLot3[[#This Row],[0-10]:[131-140]])</f>
        <v>1</v>
      </c>
    </row>
    <row r="99" spans="1:25" x14ac:dyDescent="0.25">
      <c r="A99" t="s">
        <v>24</v>
      </c>
      <c r="B99" s="146" t="s">
        <v>232</v>
      </c>
      <c r="C99">
        <f>(AF30_ByRubLot[[#This Row],[0-10]]/AF30_ByRubLot3[[Total Charge]:[Total Charge]])</f>
        <v>0</v>
      </c>
      <c r="D99">
        <f>(AF30_ByRubLot[[#This Row],[11-20]]/AF30_ByRubLot3[[Total Charge]:[Total Charge]])</f>
        <v>0</v>
      </c>
      <c r="E99">
        <f>(AF30_ByRubLot[[#This Row],[21-30]]/AF30_ByRubLot3[[Total Charge]:[Total Charge]])</f>
        <v>0</v>
      </c>
      <c r="F99">
        <f>(AF30_ByRubLot[[#This Row],[31-40]]/AF30_ByRubLot3[[Total Charge]:[Total Charge]])</f>
        <v>0.1</v>
      </c>
      <c r="G99">
        <f>(AF30_ByRubLot[[#This Row],[41-50]]/AF30_ByRubLot3[[Total Charge]:[Total Charge]])</f>
        <v>0.1</v>
      </c>
      <c r="H99">
        <f>(AF30_ByRubLot[[#This Row],[51-60]]/AF30_ByRubLot3[[Total Charge]:[Total Charge]])</f>
        <v>0</v>
      </c>
      <c r="I99">
        <f>(AF30_ByRubLot[[#This Row],[61-70]]/AF30_ByRubLot3[[Total Charge]:[Total Charge]])</f>
        <v>0</v>
      </c>
      <c r="J99">
        <f>(AF30_ByRubLot[[#This Row],[71-80]]/AF30_ByRubLot3[[Total Charge]:[Total Charge]])</f>
        <v>0.1</v>
      </c>
      <c r="K99">
        <f>(AF30_ByRubLot[[#This Row],[81-90]]/AF30_ByRubLot3[[Total Charge]:[Total Charge]])</f>
        <v>0.1</v>
      </c>
      <c r="L99">
        <f>(AF30_ByRubLot[[#This Row],[91-100]]/AF30_ByRubLot3[[Total Charge]:[Total Charge]])</f>
        <v>0.5</v>
      </c>
      <c r="M99">
        <f>(AF30_ByRubLot[[#This Row],[101-110]]/AF30_ByRubLot3[[Total Charge]:[Total Charge]])</f>
        <v>0.1</v>
      </c>
      <c r="N99">
        <f>(AF30_ByRubLot[[#This Row],[111-120]]/AF30_ByRubLot3[[Total Charge]:[Total Charge]])</f>
        <v>0</v>
      </c>
      <c r="O99">
        <f>(AF30_ByRubLot[[#This Row],[121-130]]/AF30_ByRubLot3[[Total Charge]:[Total Charge]])</f>
        <v>0</v>
      </c>
      <c r="P99">
        <f>(AF30_ByRubLot[[#This Row],[131-140]]/AF30_ByRubLot3[[Total Charge]:[Total Charge]])</f>
        <v>0</v>
      </c>
      <c r="Q99">
        <v>0</v>
      </c>
      <c r="R99">
        <v>0</v>
      </c>
      <c r="S99" t="s">
        <v>6</v>
      </c>
      <c r="T99">
        <v>10</v>
      </c>
      <c r="U99" s="112"/>
      <c r="V99">
        <v>1258.8888888888889</v>
      </c>
      <c r="W99">
        <v>1028</v>
      </c>
      <c r="X99">
        <f t="shared" si="8"/>
        <v>81.659311562224175</v>
      </c>
      <c r="Y99">
        <f>SUM(AF30_ByRubLot3[[#This Row],[0-10]:[131-140]])</f>
        <v>1</v>
      </c>
    </row>
    <row r="100" spans="1:25" x14ac:dyDescent="0.25">
      <c r="A100" t="s">
        <v>24</v>
      </c>
      <c r="B100" s="146" t="s">
        <v>233</v>
      </c>
      <c r="C100">
        <f>(AF30_ByRubLot[[#This Row],[0-10]]/AF30_ByRubLot3[[Total Charge]:[Total Charge]])</f>
        <v>0</v>
      </c>
      <c r="D100">
        <f>(AF30_ByRubLot[[#This Row],[11-20]]/AF30_ByRubLot3[[Total Charge]:[Total Charge]])</f>
        <v>0</v>
      </c>
      <c r="E100">
        <f>(AF30_ByRubLot[[#This Row],[21-30]]/AF30_ByRubLot3[[Total Charge]:[Total Charge]])</f>
        <v>0</v>
      </c>
      <c r="F100">
        <f>(AF30_ByRubLot[[#This Row],[31-40]]/AF30_ByRubLot3[[Total Charge]:[Total Charge]])</f>
        <v>0.1</v>
      </c>
      <c r="G100">
        <f>(AF30_ByRubLot[[#This Row],[41-50]]/AF30_ByRubLot3[[Total Charge]:[Total Charge]])</f>
        <v>0.1</v>
      </c>
      <c r="H100">
        <f>(AF30_ByRubLot[[#This Row],[51-60]]/AF30_ByRubLot3[[Total Charge]:[Total Charge]])</f>
        <v>0</v>
      </c>
      <c r="I100">
        <f>(AF30_ByRubLot[[#This Row],[61-70]]/AF30_ByRubLot3[[Total Charge]:[Total Charge]])</f>
        <v>0</v>
      </c>
      <c r="J100">
        <f>(AF30_ByRubLot[[#This Row],[71-80]]/AF30_ByRubLot3[[Total Charge]:[Total Charge]])</f>
        <v>0.1</v>
      </c>
      <c r="K100">
        <f>(AF30_ByRubLot[[#This Row],[81-90]]/AF30_ByRubLot3[[Total Charge]:[Total Charge]])</f>
        <v>0.1</v>
      </c>
      <c r="L100">
        <f>(AF30_ByRubLot[[#This Row],[91-100]]/AF30_ByRubLot3[[Total Charge]:[Total Charge]])</f>
        <v>0.5</v>
      </c>
      <c r="M100">
        <f>(AF30_ByRubLot[[#This Row],[101-110]]/AF30_ByRubLot3[[Total Charge]:[Total Charge]])</f>
        <v>0.1</v>
      </c>
      <c r="N100">
        <f>(AF30_ByRubLot[[#This Row],[111-120]]/AF30_ByRubLot3[[Total Charge]:[Total Charge]])</f>
        <v>0</v>
      </c>
      <c r="O100">
        <f>(AF30_ByRubLot[[#This Row],[121-130]]/AF30_ByRubLot3[[Total Charge]:[Total Charge]])</f>
        <v>0</v>
      </c>
      <c r="P100">
        <f>(AF30_ByRubLot[[#This Row],[131-140]]/AF30_ByRubLot3[[Total Charge]:[Total Charge]])</f>
        <v>0</v>
      </c>
      <c r="Q100">
        <v>0</v>
      </c>
      <c r="R100">
        <v>0</v>
      </c>
      <c r="S100" t="s">
        <v>6</v>
      </c>
      <c r="T100">
        <v>10</v>
      </c>
      <c r="U100" s="112"/>
      <c r="V100">
        <v>1702.7777777777778</v>
      </c>
      <c r="W100">
        <v>1360</v>
      </c>
      <c r="X100">
        <f t="shared" si="8"/>
        <v>79.869494290375201</v>
      </c>
      <c r="Y100">
        <f>SUM(AF30_ByRubLot3[[#This Row],[0-10]:[131-140]])</f>
        <v>1</v>
      </c>
    </row>
    <row r="101" spans="1:25" x14ac:dyDescent="0.25">
      <c r="A101" t="s">
        <v>24</v>
      </c>
      <c r="B101" s="146" t="s">
        <v>234</v>
      </c>
      <c r="C101">
        <f>(AF30_ByRubLot[[#This Row],[0-10]]/AF30_ByRubLot3[[Total Charge]:[Total Charge]])</f>
        <v>0</v>
      </c>
      <c r="D101">
        <f>(AF30_ByRubLot[[#This Row],[11-20]]/AF30_ByRubLot3[[Total Charge]:[Total Charge]])</f>
        <v>0</v>
      </c>
      <c r="E101">
        <f>(AF30_ByRubLot[[#This Row],[21-30]]/AF30_ByRubLot3[[Total Charge]:[Total Charge]])</f>
        <v>0</v>
      </c>
      <c r="F101">
        <f>(AF30_ByRubLot[[#This Row],[31-40]]/AF30_ByRubLot3[[Total Charge]:[Total Charge]])</f>
        <v>0.1</v>
      </c>
      <c r="G101">
        <f>(AF30_ByRubLot[[#This Row],[41-50]]/AF30_ByRubLot3[[Total Charge]:[Total Charge]])</f>
        <v>0.1</v>
      </c>
      <c r="H101">
        <f>(AF30_ByRubLot[[#This Row],[51-60]]/AF30_ByRubLot3[[Total Charge]:[Total Charge]])</f>
        <v>0</v>
      </c>
      <c r="I101">
        <f>(AF30_ByRubLot[[#This Row],[61-70]]/AF30_ByRubLot3[[Total Charge]:[Total Charge]])</f>
        <v>0</v>
      </c>
      <c r="J101">
        <f>(AF30_ByRubLot[[#This Row],[71-80]]/AF30_ByRubLot3[[Total Charge]:[Total Charge]])</f>
        <v>0.1</v>
      </c>
      <c r="K101">
        <f>(AF30_ByRubLot[[#This Row],[81-90]]/AF30_ByRubLot3[[Total Charge]:[Total Charge]])</f>
        <v>0.1</v>
      </c>
      <c r="L101">
        <f>(AF30_ByRubLot[[#This Row],[91-100]]/AF30_ByRubLot3[[Total Charge]:[Total Charge]])</f>
        <v>0.5</v>
      </c>
      <c r="M101">
        <f>(AF30_ByRubLot[[#This Row],[101-110]]/AF30_ByRubLot3[[Total Charge]:[Total Charge]])</f>
        <v>0.1</v>
      </c>
      <c r="N101">
        <f>(AF30_ByRubLot[[#This Row],[111-120]]/AF30_ByRubLot3[[Total Charge]:[Total Charge]])</f>
        <v>0</v>
      </c>
      <c r="O101">
        <f>(AF30_ByRubLot[[#This Row],[121-130]]/AF30_ByRubLot3[[Total Charge]:[Total Charge]])</f>
        <v>0</v>
      </c>
      <c r="P101">
        <f>(AF30_ByRubLot[[#This Row],[131-140]]/AF30_ByRubLot3[[Total Charge]:[Total Charge]])</f>
        <v>0</v>
      </c>
      <c r="Q101">
        <v>0</v>
      </c>
      <c r="R101">
        <v>0</v>
      </c>
      <c r="S101" t="s">
        <v>6</v>
      </c>
      <c r="T101">
        <v>10</v>
      </c>
      <c r="U101" s="112"/>
      <c r="V101">
        <v>1701.6666666666665</v>
      </c>
      <c r="W101">
        <v>680</v>
      </c>
      <c r="X101">
        <f t="shared" si="8"/>
        <v>39.960822722820765</v>
      </c>
      <c r="Y101">
        <f>SUM(AF30_ByRubLot3[[#This Row],[0-10]:[131-140]])</f>
        <v>1</v>
      </c>
    </row>
    <row r="102" spans="1:25" x14ac:dyDescent="0.25">
      <c r="A102" t="s">
        <v>24</v>
      </c>
      <c r="B102" s="146" t="s">
        <v>235</v>
      </c>
      <c r="C102">
        <f>(AF30_ByRubLot[[#This Row],[0-10]]/AF30_ByRubLot3[[Total Charge]:[Total Charge]])</f>
        <v>0</v>
      </c>
      <c r="D102">
        <f>(AF30_ByRubLot[[#This Row],[11-20]]/AF30_ByRubLot3[[Total Charge]:[Total Charge]])</f>
        <v>0</v>
      </c>
      <c r="E102">
        <f>(AF30_ByRubLot[[#This Row],[21-30]]/AF30_ByRubLot3[[Total Charge]:[Total Charge]])</f>
        <v>0</v>
      </c>
      <c r="F102">
        <f>(AF30_ByRubLot[[#This Row],[31-40]]/AF30_ByRubLot3[[Total Charge]:[Total Charge]])</f>
        <v>0.1</v>
      </c>
      <c r="G102">
        <f>(AF30_ByRubLot[[#This Row],[41-50]]/AF30_ByRubLot3[[Total Charge]:[Total Charge]])</f>
        <v>0.1</v>
      </c>
      <c r="H102">
        <f>(AF30_ByRubLot[[#This Row],[51-60]]/AF30_ByRubLot3[[Total Charge]:[Total Charge]])</f>
        <v>0</v>
      </c>
      <c r="I102">
        <f>(AF30_ByRubLot[[#This Row],[61-70]]/AF30_ByRubLot3[[Total Charge]:[Total Charge]])</f>
        <v>0</v>
      </c>
      <c r="J102">
        <f>(AF30_ByRubLot[[#This Row],[71-80]]/AF30_ByRubLot3[[Total Charge]:[Total Charge]])</f>
        <v>0.1</v>
      </c>
      <c r="K102">
        <f>(AF30_ByRubLot[[#This Row],[81-90]]/AF30_ByRubLot3[[Total Charge]:[Total Charge]])</f>
        <v>0.1</v>
      </c>
      <c r="L102">
        <f>(AF30_ByRubLot[[#This Row],[91-100]]/AF30_ByRubLot3[[Total Charge]:[Total Charge]])</f>
        <v>0.5</v>
      </c>
      <c r="M102">
        <f>(AF30_ByRubLot[[#This Row],[101-110]]/AF30_ByRubLot3[[Total Charge]:[Total Charge]])</f>
        <v>0.1</v>
      </c>
      <c r="N102">
        <f>(AF30_ByRubLot[[#This Row],[111-120]]/AF30_ByRubLot3[[Total Charge]:[Total Charge]])</f>
        <v>0</v>
      </c>
      <c r="O102">
        <f>(AF30_ByRubLot[[#This Row],[121-130]]/AF30_ByRubLot3[[Total Charge]:[Total Charge]])</f>
        <v>0</v>
      </c>
      <c r="P102">
        <f>(AF30_ByRubLot[[#This Row],[131-140]]/AF30_ByRubLot3[[Total Charge]:[Total Charge]])</f>
        <v>0</v>
      </c>
      <c r="Q102">
        <v>0</v>
      </c>
      <c r="R102">
        <v>0</v>
      </c>
      <c r="S102" t="s">
        <v>6</v>
      </c>
      <c r="T102">
        <v>10</v>
      </c>
      <c r="U102" s="112"/>
      <c r="V102">
        <v>1246.1111111111111</v>
      </c>
      <c r="W102">
        <v>960</v>
      </c>
      <c r="X102">
        <f t="shared" si="8"/>
        <v>77.03967900133749</v>
      </c>
      <c r="Y102">
        <f>SUM(AF30_ByRubLot3[[#This Row],[0-10]:[131-140]])</f>
        <v>1</v>
      </c>
    </row>
    <row r="103" spans="1:25" x14ac:dyDescent="0.25">
      <c r="A103" t="s">
        <v>24</v>
      </c>
      <c r="B103" s="146" t="s">
        <v>236</v>
      </c>
      <c r="C103">
        <f>(AF30_ByRubLot[[#This Row],[0-10]]/AF30_ByRubLot3[[Total Charge]:[Total Charge]])</f>
        <v>0</v>
      </c>
      <c r="D103">
        <f>(AF30_ByRubLot[[#This Row],[11-20]]/AF30_ByRubLot3[[Total Charge]:[Total Charge]])</f>
        <v>0</v>
      </c>
      <c r="E103">
        <f>(AF30_ByRubLot[[#This Row],[21-30]]/AF30_ByRubLot3[[Total Charge]:[Total Charge]])</f>
        <v>0</v>
      </c>
      <c r="F103">
        <f>(AF30_ByRubLot[[#This Row],[31-40]]/AF30_ByRubLot3[[Total Charge]:[Total Charge]])</f>
        <v>0.1</v>
      </c>
      <c r="G103">
        <f>(AF30_ByRubLot[[#This Row],[41-50]]/AF30_ByRubLot3[[Total Charge]:[Total Charge]])</f>
        <v>0.1</v>
      </c>
      <c r="H103">
        <f>(AF30_ByRubLot[[#This Row],[51-60]]/AF30_ByRubLot3[[Total Charge]:[Total Charge]])</f>
        <v>0</v>
      </c>
      <c r="I103">
        <f>(AF30_ByRubLot[[#This Row],[61-70]]/AF30_ByRubLot3[[Total Charge]:[Total Charge]])</f>
        <v>0</v>
      </c>
      <c r="J103">
        <f>(AF30_ByRubLot[[#This Row],[71-80]]/AF30_ByRubLot3[[Total Charge]:[Total Charge]])</f>
        <v>0.1</v>
      </c>
      <c r="K103">
        <f>(AF30_ByRubLot[[#This Row],[81-90]]/AF30_ByRubLot3[[Total Charge]:[Total Charge]])</f>
        <v>0.1</v>
      </c>
      <c r="L103">
        <f>(AF30_ByRubLot[[#This Row],[91-100]]/AF30_ByRubLot3[[Total Charge]:[Total Charge]])</f>
        <v>0.5</v>
      </c>
      <c r="M103">
        <f>(AF30_ByRubLot[[#This Row],[101-110]]/AF30_ByRubLot3[[Total Charge]:[Total Charge]])</f>
        <v>0.1</v>
      </c>
      <c r="N103">
        <f>(AF30_ByRubLot[[#This Row],[111-120]]/AF30_ByRubLot3[[Total Charge]:[Total Charge]])</f>
        <v>0</v>
      </c>
      <c r="O103">
        <f>(AF30_ByRubLot[[#This Row],[121-130]]/AF30_ByRubLot3[[Total Charge]:[Total Charge]])</f>
        <v>0</v>
      </c>
      <c r="P103">
        <f>(AF30_ByRubLot[[#This Row],[131-140]]/AF30_ByRubLot3[[Total Charge]:[Total Charge]])</f>
        <v>0</v>
      </c>
      <c r="Q103">
        <v>0</v>
      </c>
      <c r="R103">
        <v>0</v>
      </c>
      <c r="S103" t="s">
        <v>6</v>
      </c>
      <c r="T103">
        <v>10</v>
      </c>
      <c r="U103" s="112"/>
      <c r="V103">
        <v>1901.666666666667</v>
      </c>
      <c r="W103">
        <v>1708</v>
      </c>
      <c r="X103">
        <f t="shared" si="8"/>
        <v>89.815950920245385</v>
      </c>
      <c r="Y103">
        <f>SUM(AF30_ByRubLot3[[#This Row],[0-10]:[131-140]])</f>
        <v>1</v>
      </c>
    </row>
    <row r="104" spans="1:25" x14ac:dyDescent="0.25">
      <c r="A104" t="s">
        <v>24</v>
      </c>
      <c r="B104" s="146" t="s">
        <v>237</v>
      </c>
      <c r="C104">
        <f>(AF30_ByRubLot[[#This Row],[0-10]]/AF30_ByRubLot3[[Total Charge]:[Total Charge]])</f>
        <v>0</v>
      </c>
      <c r="D104">
        <f>(AF30_ByRubLot[[#This Row],[11-20]]/AF30_ByRubLot3[[Total Charge]:[Total Charge]])</f>
        <v>0</v>
      </c>
      <c r="E104">
        <f>(AF30_ByRubLot[[#This Row],[21-30]]/AF30_ByRubLot3[[Total Charge]:[Total Charge]])</f>
        <v>0</v>
      </c>
      <c r="F104">
        <f>(AF30_ByRubLot[[#This Row],[31-40]]/AF30_ByRubLot3[[Total Charge]:[Total Charge]])</f>
        <v>0.1</v>
      </c>
      <c r="G104">
        <f>(AF30_ByRubLot[[#This Row],[41-50]]/AF30_ByRubLot3[[Total Charge]:[Total Charge]])</f>
        <v>0.1</v>
      </c>
      <c r="H104">
        <f>(AF30_ByRubLot[[#This Row],[51-60]]/AF30_ByRubLot3[[Total Charge]:[Total Charge]])</f>
        <v>0</v>
      </c>
      <c r="I104">
        <f>(AF30_ByRubLot[[#This Row],[61-70]]/AF30_ByRubLot3[[Total Charge]:[Total Charge]])</f>
        <v>0</v>
      </c>
      <c r="J104">
        <f>(AF30_ByRubLot[[#This Row],[71-80]]/AF30_ByRubLot3[[Total Charge]:[Total Charge]])</f>
        <v>0.1</v>
      </c>
      <c r="K104">
        <f>(AF30_ByRubLot[[#This Row],[81-90]]/AF30_ByRubLot3[[Total Charge]:[Total Charge]])</f>
        <v>0.1</v>
      </c>
      <c r="L104">
        <f>(AF30_ByRubLot[[#This Row],[91-100]]/AF30_ByRubLot3[[Total Charge]:[Total Charge]])</f>
        <v>0.5</v>
      </c>
      <c r="M104">
        <f>(AF30_ByRubLot[[#This Row],[101-110]]/AF30_ByRubLot3[[Total Charge]:[Total Charge]])</f>
        <v>0.1</v>
      </c>
      <c r="N104">
        <f>(AF30_ByRubLot[[#This Row],[111-120]]/AF30_ByRubLot3[[Total Charge]:[Total Charge]])</f>
        <v>0</v>
      </c>
      <c r="O104">
        <f>(AF30_ByRubLot[[#This Row],[121-130]]/AF30_ByRubLot3[[Total Charge]:[Total Charge]])</f>
        <v>0</v>
      </c>
      <c r="P104">
        <f>(AF30_ByRubLot[[#This Row],[131-140]]/AF30_ByRubLot3[[Total Charge]:[Total Charge]])</f>
        <v>0</v>
      </c>
      <c r="Q104">
        <v>0</v>
      </c>
      <c r="R104">
        <v>0</v>
      </c>
      <c r="S104" t="s">
        <v>6</v>
      </c>
      <c r="T104">
        <v>10</v>
      </c>
      <c r="U104" s="112"/>
      <c r="V104">
        <v>1938.8888888888889</v>
      </c>
      <c r="W104">
        <v>1480</v>
      </c>
      <c r="X104">
        <f t="shared" si="8"/>
        <v>76.332378223495695</v>
      </c>
      <c r="Y104">
        <f>SUM(AF30_ByRubLot3[[#This Row],[0-10]:[131-140]])</f>
        <v>1</v>
      </c>
    </row>
    <row r="105" spans="1:25" x14ac:dyDescent="0.25">
      <c r="A105" t="s">
        <v>24</v>
      </c>
      <c r="B105" s="146" t="s">
        <v>238</v>
      </c>
      <c r="C105">
        <f>(AF30_ByRubLot[[#This Row],[0-10]]/AF30_ByRubLot3[[Total Charge]:[Total Charge]])</f>
        <v>0</v>
      </c>
      <c r="D105">
        <f>(AF30_ByRubLot[[#This Row],[11-20]]/AF30_ByRubLot3[[Total Charge]:[Total Charge]])</f>
        <v>0</v>
      </c>
      <c r="E105">
        <f>(AF30_ByRubLot[[#This Row],[21-30]]/AF30_ByRubLot3[[Total Charge]:[Total Charge]])</f>
        <v>0</v>
      </c>
      <c r="F105">
        <f>(AF30_ByRubLot[[#This Row],[31-40]]/AF30_ByRubLot3[[Total Charge]:[Total Charge]])</f>
        <v>0.1</v>
      </c>
      <c r="G105">
        <f>(AF30_ByRubLot[[#This Row],[41-50]]/AF30_ByRubLot3[[Total Charge]:[Total Charge]])</f>
        <v>0.1</v>
      </c>
      <c r="H105">
        <f>(AF30_ByRubLot[[#This Row],[51-60]]/AF30_ByRubLot3[[Total Charge]:[Total Charge]])</f>
        <v>0</v>
      </c>
      <c r="I105">
        <f>(AF30_ByRubLot[[#This Row],[61-70]]/AF30_ByRubLot3[[Total Charge]:[Total Charge]])</f>
        <v>0</v>
      </c>
      <c r="J105">
        <f>(AF30_ByRubLot[[#This Row],[71-80]]/AF30_ByRubLot3[[Total Charge]:[Total Charge]])</f>
        <v>0.1</v>
      </c>
      <c r="K105">
        <f>(AF30_ByRubLot[[#This Row],[81-90]]/AF30_ByRubLot3[[Total Charge]:[Total Charge]])</f>
        <v>0.1</v>
      </c>
      <c r="L105">
        <f>(AF30_ByRubLot[[#This Row],[91-100]]/AF30_ByRubLot3[[Total Charge]:[Total Charge]])</f>
        <v>0.5</v>
      </c>
      <c r="M105">
        <f>(AF30_ByRubLot[[#This Row],[101-110]]/AF30_ByRubLot3[[Total Charge]:[Total Charge]])</f>
        <v>0.1</v>
      </c>
      <c r="N105">
        <f>(AF30_ByRubLot[[#This Row],[111-120]]/AF30_ByRubLot3[[Total Charge]:[Total Charge]])</f>
        <v>0</v>
      </c>
      <c r="O105">
        <f>(AF30_ByRubLot[[#This Row],[121-130]]/AF30_ByRubLot3[[Total Charge]:[Total Charge]])</f>
        <v>0</v>
      </c>
      <c r="P105">
        <f>(AF30_ByRubLot[[#This Row],[131-140]]/AF30_ByRubLot3[[Total Charge]:[Total Charge]])</f>
        <v>0</v>
      </c>
      <c r="Q105">
        <v>0</v>
      </c>
      <c r="R105">
        <v>0</v>
      </c>
      <c r="S105" t="s">
        <v>6</v>
      </c>
      <c r="T105">
        <v>10</v>
      </c>
      <c r="U105" s="112"/>
      <c r="V105">
        <v>2618.3333333333335</v>
      </c>
      <c r="W105">
        <v>2440</v>
      </c>
      <c r="X105">
        <f t="shared" si="8"/>
        <v>93.18905155951623</v>
      </c>
      <c r="Y105">
        <f>SUM(AF30_ByRubLot3[[#This Row],[0-10]:[131-140]])</f>
        <v>1</v>
      </c>
    </row>
    <row r="106" spans="1:25" x14ac:dyDescent="0.25">
      <c r="A106" t="s">
        <v>24</v>
      </c>
      <c r="B106" s="146" t="s">
        <v>239</v>
      </c>
      <c r="C106">
        <f>(AF30_ByRubLot[[#This Row],[0-10]]/AF30_ByRubLot3[[Total Charge]:[Total Charge]])</f>
        <v>0</v>
      </c>
      <c r="D106">
        <f>(AF30_ByRubLot[[#This Row],[11-20]]/AF30_ByRubLot3[[Total Charge]:[Total Charge]])</f>
        <v>0</v>
      </c>
      <c r="E106">
        <f>(AF30_ByRubLot[[#This Row],[21-30]]/AF30_ByRubLot3[[Total Charge]:[Total Charge]])</f>
        <v>0</v>
      </c>
      <c r="F106">
        <f>(AF30_ByRubLot[[#This Row],[31-40]]/AF30_ByRubLot3[[Total Charge]:[Total Charge]])</f>
        <v>0.1</v>
      </c>
      <c r="G106">
        <f>(AF30_ByRubLot[[#This Row],[41-50]]/AF30_ByRubLot3[[Total Charge]:[Total Charge]])</f>
        <v>0.1</v>
      </c>
      <c r="H106">
        <f>(AF30_ByRubLot[[#This Row],[51-60]]/AF30_ByRubLot3[[Total Charge]:[Total Charge]])</f>
        <v>0</v>
      </c>
      <c r="I106">
        <f>(AF30_ByRubLot[[#This Row],[61-70]]/AF30_ByRubLot3[[Total Charge]:[Total Charge]])</f>
        <v>0</v>
      </c>
      <c r="J106">
        <f>(AF30_ByRubLot[[#This Row],[71-80]]/AF30_ByRubLot3[[Total Charge]:[Total Charge]])</f>
        <v>0.1</v>
      </c>
      <c r="K106">
        <f>(AF30_ByRubLot[[#This Row],[81-90]]/AF30_ByRubLot3[[Total Charge]:[Total Charge]])</f>
        <v>0.1</v>
      </c>
      <c r="L106">
        <f>(AF30_ByRubLot[[#This Row],[91-100]]/AF30_ByRubLot3[[Total Charge]:[Total Charge]])</f>
        <v>0.5</v>
      </c>
      <c r="M106">
        <f>(AF30_ByRubLot[[#This Row],[101-110]]/AF30_ByRubLot3[[Total Charge]:[Total Charge]])</f>
        <v>0.1</v>
      </c>
      <c r="N106">
        <f>(AF30_ByRubLot[[#This Row],[111-120]]/AF30_ByRubLot3[[Total Charge]:[Total Charge]])</f>
        <v>0</v>
      </c>
      <c r="O106">
        <f>(AF30_ByRubLot[[#This Row],[121-130]]/AF30_ByRubLot3[[Total Charge]:[Total Charge]])</f>
        <v>0</v>
      </c>
      <c r="P106">
        <f>(AF30_ByRubLot[[#This Row],[131-140]]/AF30_ByRubLot3[[Total Charge]:[Total Charge]])</f>
        <v>0</v>
      </c>
      <c r="Q106">
        <v>0</v>
      </c>
      <c r="R106">
        <v>0</v>
      </c>
      <c r="S106" t="s">
        <v>6</v>
      </c>
      <c r="T106">
        <v>10</v>
      </c>
      <c r="U106" s="112"/>
      <c r="V106">
        <v>2441.6666666666665</v>
      </c>
      <c r="W106">
        <v>1984</v>
      </c>
      <c r="X106">
        <f t="shared" si="8"/>
        <v>81.255972696245735</v>
      </c>
      <c r="Y106">
        <f>SUM(AF30_ByRubLot3[[#This Row],[0-10]:[131-140]])</f>
        <v>1</v>
      </c>
    </row>
    <row r="107" spans="1:25" x14ac:dyDescent="0.25">
      <c r="A107" t="s">
        <v>24</v>
      </c>
      <c r="B107" s="146" t="s">
        <v>240</v>
      </c>
      <c r="C107">
        <f>(AF30_ByRubLot[[#This Row],[0-10]]/AF30_ByRubLot3[[Total Charge]:[Total Charge]])</f>
        <v>0</v>
      </c>
      <c r="D107">
        <f>(AF30_ByRubLot[[#This Row],[11-20]]/AF30_ByRubLot3[[Total Charge]:[Total Charge]])</f>
        <v>0</v>
      </c>
      <c r="E107">
        <f>(AF30_ByRubLot[[#This Row],[21-30]]/AF30_ByRubLot3[[Total Charge]:[Total Charge]])</f>
        <v>0</v>
      </c>
      <c r="F107">
        <f>(AF30_ByRubLot[[#This Row],[31-40]]/AF30_ByRubLot3[[Total Charge]:[Total Charge]])</f>
        <v>0.1</v>
      </c>
      <c r="G107">
        <f>(AF30_ByRubLot[[#This Row],[41-50]]/AF30_ByRubLot3[[Total Charge]:[Total Charge]])</f>
        <v>0.1</v>
      </c>
      <c r="H107">
        <f>(AF30_ByRubLot[[#This Row],[51-60]]/AF30_ByRubLot3[[Total Charge]:[Total Charge]])</f>
        <v>0</v>
      </c>
      <c r="I107">
        <f>(AF30_ByRubLot[[#This Row],[61-70]]/AF30_ByRubLot3[[Total Charge]:[Total Charge]])</f>
        <v>0</v>
      </c>
      <c r="J107">
        <f>(AF30_ByRubLot[[#This Row],[71-80]]/AF30_ByRubLot3[[Total Charge]:[Total Charge]])</f>
        <v>0.1</v>
      </c>
      <c r="K107">
        <f>(AF30_ByRubLot[[#This Row],[81-90]]/AF30_ByRubLot3[[Total Charge]:[Total Charge]])</f>
        <v>0.1</v>
      </c>
      <c r="L107">
        <f>(AF30_ByRubLot[[#This Row],[91-100]]/AF30_ByRubLot3[[Total Charge]:[Total Charge]])</f>
        <v>0.5</v>
      </c>
      <c r="M107">
        <f>(AF30_ByRubLot[[#This Row],[101-110]]/AF30_ByRubLot3[[Total Charge]:[Total Charge]])</f>
        <v>0.1</v>
      </c>
      <c r="N107">
        <f>(AF30_ByRubLot[[#This Row],[111-120]]/AF30_ByRubLot3[[Total Charge]:[Total Charge]])</f>
        <v>0</v>
      </c>
      <c r="O107">
        <f>(AF30_ByRubLot[[#This Row],[121-130]]/AF30_ByRubLot3[[Total Charge]:[Total Charge]])</f>
        <v>0</v>
      </c>
      <c r="P107">
        <f>(AF30_ByRubLot[[#This Row],[131-140]]/AF30_ByRubLot3[[Total Charge]:[Total Charge]])</f>
        <v>0</v>
      </c>
      <c r="Q107">
        <v>0</v>
      </c>
      <c r="R107">
        <v>0</v>
      </c>
      <c r="S107" t="s">
        <v>6</v>
      </c>
      <c r="T107">
        <v>10</v>
      </c>
      <c r="U107" s="112"/>
      <c r="V107">
        <v>2273.3333333333335</v>
      </c>
      <c r="W107">
        <v>0</v>
      </c>
      <c r="X107">
        <f t="shared" si="8"/>
        <v>0</v>
      </c>
      <c r="Y107">
        <f>SUM(AF30_ByRubLot3[[#This Row],[0-10]:[131-140]])</f>
        <v>1</v>
      </c>
    </row>
    <row r="108" spans="1:25" x14ac:dyDescent="0.25">
      <c r="A108" t="s">
        <v>24</v>
      </c>
      <c r="B108" s="146" t="s">
        <v>241</v>
      </c>
      <c r="C108">
        <f>(AF30_ByRubLot[[#This Row],[0-10]]/AF30_ByRubLot3[[Total Charge]:[Total Charge]])</f>
        <v>0</v>
      </c>
      <c r="D108">
        <f>(AF30_ByRubLot[[#This Row],[11-20]]/AF30_ByRubLot3[[Total Charge]:[Total Charge]])</f>
        <v>0</v>
      </c>
      <c r="E108">
        <f>(AF30_ByRubLot[[#This Row],[21-30]]/AF30_ByRubLot3[[Total Charge]:[Total Charge]])</f>
        <v>0</v>
      </c>
      <c r="F108">
        <f>(AF30_ByRubLot[[#This Row],[31-40]]/AF30_ByRubLot3[[Total Charge]:[Total Charge]])</f>
        <v>0.1</v>
      </c>
      <c r="G108">
        <f>(AF30_ByRubLot[[#This Row],[41-50]]/AF30_ByRubLot3[[Total Charge]:[Total Charge]])</f>
        <v>0.1</v>
      </c>
      <c r="H108">
        <f>(AF30_ByRubLot[[#This Row],[51-60]]/AF30_ByRubLot3[[Total Charge]:[Total Charge]])</f>
        <v>0</v>
      </c>
      <c r="I108">
        <f>(AF30_ByRubLot[[#This Row],[61-70]]/AF30_ByRubLot3[[Total Charge]:[Total Charge]])</f>
        <v>0</v>
      </c>
      <c r="J108">
        <f>(AF30_ByRubLot[[#This Row],[71-80]]/AF30_ByRubLot3[[Total Charge]:[Total Charge]])</f>
        <v>0.1</v>
      </c>
      <c r="K108">
        <f>(AF30_ByRubLot[[#This Row],[81-90]]/AF30_ByRubLot3[[Total Charge]:[Total Charge]])</f>
        <v>0.1</v>
      </c>
      <c r="L108">
        <f>(AF30_ByRubLot[[#This Row],[91-100]]/AF30_ByRubLot3[[Total Charge]:[Total Charge]])</f>
        <v>0.5</v>
      </c>
      <c r="M108">
        <f>(AF30_ByRubLot[[#This Row],[101-110]]/AF30_ByRubLot3[[Total Charge]:[Total Charge]])</f>
        <v>0.1</v>
      </c>
      <c r="N108">
        <f>(AF30_ByRubLot[[#This Row],[111-120]]/AF30_ByRubLot3[[Total Charge]:[Total Charge]])</f>
        <v>0</v>
      </c>
      <c r="O108">
        <f>(AF30_ByRubLot[[#This Row],[121-130]]/AF30_ByRubLot3[[Total Charge]:[Total Charge]])</f>
        <v>0</v>
      </c>
      <c r="P108">
        <f>(AF30_ByRubLot[[#This Row],[131-140]]/AF30_ByRubLot3[[Total Charge]:[Total Charge]])</f>
        <v>0</v>
      </c>
      <c r="Q108">
        <v>0</v>
      </c>
      <c r="R108">
        <v>0</v>
      </c>
      <c r="S108" t="s">
        <v>6</v>
      </c>
      <c r="T108">
        <v>10</v>
      </c>
      <c r="U108" s="112"/>
      <c r="V108">
        <v>1877.2222222222222</v>
      </c>
      <c r="W108">
        <v>720</v>
      </c>
      <c r="X108">
        <f t="shared" si="8"/>
        <v>38.354542764131402</v>
      </c>
      <c r="Y108">
        <f>SUM(AF30_ByRubLot3[[#This Row],[0-10]:[131-140]])</f>
        <v>1</v>
      </c>
    </row>
    <row r="109" spans="1:25" x14ac:dyDescent="0.25">
      <c r="A109" t="s">
        <v>24</v>
      </c>
      <c r="B109" s="146" t="s">
        <v>242</v>
      </c>
      <c r="C109">
        <f>(AF30_ByRubLot[[#This Row],[0-10]]/AF30_ByRubLot3[[Total Charge]:[Total Charge]])</f>
        <v>0</v>
      </c>
      <c r="D109">
        <f>(AF30_ByRubLot[[#This Row],[11-20]]/AF30_ByRubLot3[[Total Charge]:[Total Charge]])</f>
        <v>0</v>
      </c>
      <c r="E109">
        <f>(AF30_ByRubLot[[#This Row],[21-30]]/AF30_ByRubLot3[[Total Charge]:[Total Charge]])</f>
        <v>0</v>
      </c>
      <c r="F109">
        <f>(AF30_ByRubLot[[#This Row],[31-40]]/AF30_ByRubLot3[[Total Charge]:[Total Charge]])</f>
        <v>0.1</v>
      </c>
      <c r="G109">
        <f>(AF30_ByRubLot[[#This Row],[41-50]]/AF30_ByRubLot3[[Total Charge]:[Total Charge]])</f>
        <v>0.1</v>
      </c>
      <c r="H109">
        <f>(AF30_ByRubLot[[#This Row],[51-60]]/AF30_ByRubLot3[[Total Charge]:[Total Charge]])</f>
        <v>0</v>
      </c>
      <c r="I109">
        <f>(AF30_ByRubLot[[#This Row],[61-70]]/AF30_ByRubLot3[[Total Charge]:[Total Charge]])</f>
        <v>0</v>
      </c>
      <c r="J109">
        <f>(AF30_ByRubLot[[#This Row],[71-80]]/AF30_ByRubLot3[[Total Charge]:[Total Charge]])</f>
        <v>0.1</v>
      </c>
      <c r="K109">
        <f>(AF30_ByRubLot[[#This Row],[81-90]]/AF30_ByRubLot3[[Total Charge]:[Total Charge]])</f>
        <v>0.1</v>
      </c>
      <c r="L109">
        <f>(AF30_ByRubLot[[#This Row],[91-100]]/AF30_ByRubLot3[[Total Charge]:[Total Charge]])</f>
        <v>0.5</v>
      </c>
      <c r="M109">
        <f>(AF30_ByRubLot[[#This Row],[101-110]]/AF30_ByRubLot3[[Total Charge]:[Total Charge]])</f>
        <v>0.1</v>
      </c>
      <c r="N109">
        <f>(AF30_ByRubLot[[#This Row],[111-120]]/AF30_ByRubLot3[[Total Charge]:[Total Charge]])</f>
        <v>0</v>
      </c>
      <c r="O109">
        <f>(AF30_ByRubLot[[#This Row],[121-130]]/AF30_ByRubLot3[[Total Charge]:[Total Charge]])</f>
        <v>0</v>
      </c>
      <c r="P109">
        <f>(AF30_ByRubLot[[#This Row],[131-140]]/AF30_ByRubLot3[[Total Charge]:[Total Charge]])</f>
        <v>0</v>
      </c>
      <c r="Q109">
        <v>0</v>
      </c>
      <c r="R109">
        <v>0</v>
      </c>
      <c r="S109" t="s">
        <v>6</v>
      </c>
      <c r="T109">
        <v>10</v>
      </c>
      <c r="U109" s="112"/>
      <c r="V109">
        <v>1944.4444444444443</v>
      </c>
      <c r="W109">
        <v>1708</v>
      </c>
      <c r="X109">
        <f t="shared" si="8"/>
        <v>87.84</v>
      </c>
      <c r="Y109">
        <f>SUM(AF30_ByRubLot3[[#This Row],[0-10]:[131-140]])</f>
        <v>1</v>
      </c>
    </row>
    <row r="110" spans="1:25" x14ac:dyDescent="0.25">
      <c r="A110" t="s">
        <v>24</v>
      </c>
      <c r="B110" s="146" t="s">
        <v>243</v>
      </c>
      <c r="C110">
        <f>(AF30_ByRubLot[[#This Row],[0-10]]/AF30_ByRubLot3[[Total Charge]:[Total Charge]])</f>
        <v>0</v>
      </c>
      <c r="D110">
        <f>(AF30_ByRubLot[[#This Row],[11-20]]/AF30_ByRubLot3[[Total Charge]:[Total Charge]])</f>
        <v>0</v>
      </c>
      <c r="E110">
        <f>(AF30_ByRubLot[[#This Row],[21-30]]/AF30_ByRubLot3[[Total Charge]:[Total Charge]])</f>
        <v>0</v>
      </c>
      <c r="F110">
        <f>(AF30_ByRubLot[[#This Row],[31-40]]/AF30_ByRubLot3[[Total Charge]:[Total Charge]])</f>
        <v>0.1</v>
      </c>
      <c r="G110">
        <f>(AF30_ByRubLot[[#This Row],[41-50]]/AF30_ByRubLot3[[Total Charge]:[Total Charge]])</f>
        <v>0.1</v>
      </c>
      <c r="H110">
        <f>(AF30_ByRubLot[[#This Row],[51-60]]/AF30_ByRubLot3[[Total Charge]:[Total Charge]])</f>
        <v>0</v>
      </c>
      <c r="I110">
        <f>(AF30_ByRubLot[[#This Row],[61-70]]/AF30_ByRubLot3[[Total Charge]:[Total Charge]])</f>
        <v>0</v>
      </c>
      <c r="J110">
        <f>(AF30_ByRubLot[[#This Row],[71-80]]/AF30_ByRubLot3[[Total Charge]:[Total Charge]])</f>
        <v>0.1</v>
      </c>
      <c r="K110">
        <f>(AF30_ByRubLot[[#This Row],[81-90]]/AF30_ByRubLot3[[Total Charge]:[Total Charge]])</f>
        <v>0.1</v>
      </c>
      <c r="L110">
        <f>(AF30_ByRubLot[[#This Row],[91-100]]/AF30_ByRubLot3[[Total Charge]:[Total Charge]])</f>
        <v>0.5</v>
      </c>
      <c r="M110">
        <f>(AF30_ByRubLot[[#This Row],[101-110]]/AF30_ByRubLot3[[Total Charge]:[Total Charge]])</f>
        <v>0.1</v>
      </c>
      <c r="N110">
        <f>(AF30_ByRubLot[[#This Row],[111-120]]/AF30_ByRubLot3[[Total Charge]:[Total Charge]])</f>
        <v>0</v>
      </c>
      <c r="O110">
        <f>(AF30_ByRubLot[[#This Row],[121-130]]/AF30_ByRubLot3[[Total Charge]:[Total Charge]])</f>
        <v>0</v>
      </c>
      <c r="P110">
        <f>(AF30_ByRubLot[[#This Row],[131-140]]/AF30_ByRubLot3[[Total Charge]:[Total Charge]])</f>
        <v>0</v>
      </c>
      <c r="Q110">
        <v>0</v>
      </c>
      <c r="R110">
        <v>0</v>
      </c>
      <c r="S110" t="s">
        <v>6</v>
      </c>
      <c r="T110">
        <v>10</v>
      </c>
      <c r="U110" s="112"/>
      <c r="V110">
        <v>1605.5555555555554</v>
      </c>
      <c r="W110">
        <v>1440</v>
      </c>
      <c r="X110">
        <f t="shared" si="8"/>
        <v>89.688581314878903</v>
      </c>
      <c r="Y110">
        <f>SUM(AF30_ByRubLot3[[#This Row],[0-10]:[131-140]])</f>
        <v>1</v>
      </c>
    </row>
    <row r="111" spans="1:25" x14ac:dyDescent="0.25">
      <c r="A111" t="s">
        <v>24</v>
      </c>
      <c r="B111" s="146" t="s">
        <v>244</v>
      </c>
      <c r="C111">
        <f>(AF30_ByRubLot[[#This Row],[0-10]]/AF30_ByRubLot3[[Total Charge]:[Total Charge]])</f>
        <v>0</v>
      </c>
      <c r="D111">
        <f>(AF30_ByRubLot[[#This Row],[11-20]]/AF30_ByRubLot3[[Total Charge]:[Total Charge]])</f>
        <v>0</v>
      </c>
      <c r="E111">
        <f>(AF30_ByRubLot[[#This Row],[21-30]]/AF30_ByRubLot3[[Total Charge]:[Total Charge]])</f>
        <v>0</v>
      </c>
      <c r="F111">
        <f>(AF30_ByRubLot[[#This Row],[31-40]]/AF30_ByRubLot3[[Total Charge]:[Total Charge]])</f>
        <v>0.1</v>
      </c>
      <c r="G111">
        <f>(AF30_ByRubLot[[#This Row],[41-50]]/AF30_ByRubLot3[[Total Charge]:[Total Charge]])</f>
        <v>0.1</v>
      </c>
      <c r="H111">
        <f>(AF30_ByRubLot[[#This Row],[51-60]]/AF30_ByRubLot3[[Total Charge]:[Total Charge]])</f>
        <v>0</v>
      </c>
      <c r="I111">
        <f>(AF30_ByRubLot[[#This Row],[61-70]]/AF30_ByRubLot3[[Total Charge]:[Total Charge]])</f>
        <v>0</v>
      </c>
      <c r="J111">
        <f>(AF30_ByRubLot[[#This Row],[71-80]]/AF30_ByRubLot3[[Total Charge]:[Total Charge]])</f>
        <v>0.1</v>
      </c>
      <c r="K111">
        <f>(AF30_ByRubLot[[#This Row],[81-90]]/AF30_ByRubLot3[[Total Charge]:[Total Charge]])</f>
        <v>0.1</v>
      </c>
      <c r="L111">
        <f>(AF30_ByRubLot[[#This Row],[91-100]]/AF30_ByRubLot3[[Total Charge]:[Total Charge]])</f>
        <v>0.5</v>
      </c>
      <c r="M111">
        <f>(AF30_ByRubLot[[#This Row],[101-110]]/AF30_ByRubLot3[[Total Charge]:[Total Charge]])</f>
        <v>0.1</v>
      </c>
      <c r="N111">
        <f>(AF30_ByRubLot[[#This Row],[111-120]]/AF30_ByRubLot3[[Total Charge]:[Total Charge]])</f>
        <v>0</v>
      </c>
      <c r="O111">
        <f>(AF30_ByRubLot[[#This Row],[121-130]]/AF30_ByRubLot3[[Total Charge]:[Total Charge]])</f>
        <v>0</v>
      </c>
      <c r="P111">
        <f>(AF30_ByRubLot[[#This Row],[131-140]]/AF30_ByRubLot3[[Total Charge]:[Total Charge]])</f>
        <v>0</v>
      </c>
      <c r="Q111">
        <v>0</v>
      </c>
      <c r="R111">
        <v>0</v>
      </c>
      <c r="S111" t="s">
        <v>6</v>
      </c>
      <c r="T111">
        <v>10</v>
      </c>
      <c r="U111" s="112"/>
      <c r="V111">
        <v>1722.2222222222224</v>
      </c>
      <c r="W111">
        <v>1508</v>
      </c>
      <c r="X111">
        <f t="shared" si="8"/>
        <v>87.561290322580632</v>
      </c>
      <c r="Y111">
        <f>SUM(AF30_ByRubLot3[[#This Row],[0-10]:[131-140]])</f>
        <v>1</v>
      </c>
    </row>
    <row r="112" spans="1:25" x14ac:dyDescent="0.25">
      <c r="A112" t="s">
        <v>24</v>
      </c>
      <c r="B112" s="146" t="s">
        <v>245</v>
      </c>
      <c r="C112">
        <f>(AF30_ByRubLot[[#This Row],[0-10]]/AF30_ByRubLot3[[Total Charge]:[Total Charge]])</f>
        <v>0</v>
      </c>
      <c r="D112">
        <f>(AF30_ByRubLot[[#This Row],[11-20]]/AF30_ByRubLot3[[Total Charge]:[Total Charge]])</f>
        <v>0</v>
      </c>
      <c r="E112">
        <f>(AF30_ByRubLot[[#This Row],[21-30]]/AF30_ByRubLot3[[Total Charge]:[Total Charge]])</f>
        <v>0</v>
      </c>
      <c r="F112">
        <f>(AF30_ByRubLot[[#This Row],[31-40]]/AF30_ByRubLot3[[Total Charge]:[Total Charge]])</f>
        <v>0.1</v>
      </c>
      <c r="G112">
        <f>(AF30_ByRubLot[[#This Row],[41-50]]/AF30_ByRubLot3[[Total Charge]:[Total Charge]])</f>
        <v>0.1</v>
      </c>
      <c r="H112">
        <f>(AF30_ByRubLot[[#This Row],[51-60]]/AF30_ByRubLot3[[Total Charge]:[Total Charge]])</f>
        <v>0</v>
      </c>
      <c r="I112">
        <f>(AF30_ByRubLot[[#This Row],[61-70]]/AF30_ByRubLot3[[Total Charge]:[Total Charge]])</f>
        <v>0</v>
      </c>
      <c r="J112">
        <f>(AF30_ByRubLot[[#This Row],[71-80]]/AF30_ByRubLot3[[Total Charge]:[Total Charge]])</f>
        <v>0.1</v>
      </c>
      <c r="K112">
        <f>(AF30_ByRubLot[[#This Row],[81-90]]/AF30_ByRubLot3[[Total Charge]:[Total Charge]])</f>
        <v>0.1</v>
      </c>
      <c r="L112">
        <f>(AF30_ByRubLot[[#This Row],[91-100]]/AF30_ByRubLot3[[Total Charge]:[Total Charge]])</f>
        <v>0.5</v>
      </c>
      <c r="M112">
        <f>(AF30_ByRubLot[[#This Row],[101-110]]/AF30_ByRubLot3[[Total Charge]:[Total Charge]])</f>
        <v>0.1</v>
      </c>
      <c r="N112">
        <f>(AF30_ByRubLot[[#This Row],[111-120]]/AF30_ByRubLot3[[Total Charge]:[Total Charge]])</f>
        <v>0</v>
      </c>
      <c r="O112">
        <f>(AF30_ByRubLot[[#This Row],[121-130]]/AF30_ByRubLot3[[Total Charge]:[Total Charge]])</f>
        <v>0</v>
      </c>
      <c r="P112">
        <f>(AF30_ByRubLot[[#This Row],[131-140]]/AF30_ByRubLot3[[Total Charge]:[Total Charge]])</f>
        <v>0</v>
      </c>
      <c r="Q112">
        <v>0</v>
      </c>
      <c r="R112">
        <v>0</v>
      </c>
      <c r="S112" t="s">
        <v>6</v>
      </c>
      <c r="T112">
        <v>10</v>
      </c>
      <c r="U112" s="112"/>
      <c r="V112">
        <v>2328.3333333333335</v>
      </c>
      <c r="W112">
        <v>2040</v>
      </c>
      <c r="X112">
        <f t="shared" si="8"/>
        <v>87.616320687186828</v>
      </c>
      <c r="Y112">
        <f>SUM(AF30_ByRubLot3[[#This Row],[0-10]:[131-140]])</f>
        <v>1</v>
      </c>
    </row>
    <row r="113" spans="1:25" x14ac:dyDescent="0.25">
      <c r="A113" t="s">
        <v>24</v>
      </c>
      <c r="B113" s="146" t="s">
        <v>246</v>
      </c>
      <c r="C113">
        <f>(AF30_ByRubLot[[#This Row],[0-10]]/AF30_ByRubLot3[[Total Charge]:[Total Charge]])</f>
        <v>0</v>
      </c>
      <c r="D113">
        <f>(AF30_ByRubLot[[#This Row],[11-20]]/AF30_ByRubLot3[[Total Charge]:[Total Charge]])</f>
        <v>0</v>
      </c>
      <c r="E113">
        <f>(AF30_ByRubLot[[#This Row],[21-30]]/AF30_ByRubLot3[[Total Charge]:[Total Charge]])</f>
        <v>0</v>
      </c>
      <c r="F113">
        <f>(AF30_ByRubLot[[#This Row],[31-40]]/AF30_ByRubLot3[[Total Charge]:[Total Charge]])</f>
        <v>0.1</v>
      </c>
      <c r="G113">
        <f>(AF30_ByRubLot[[#This Row],[41-50]]/AF30_ByRubLot3[[Total Charge]:[Total Charge]])</f>
        <v>0.1</v>
      </c>
      <c r="H113">
        <f>(AF30_ByRubLot[[#This Row],[51-60]]/AF30_ByRubLot3[[Total Charge]:[Total Charge]])</f>
        <v>0</v>
      </c>
      <c r="I113">
        <f>(AF30_ByRubLot[[#This Row],[61-70]]/AF30_ByRubLot3[[Total Charge]:[Total Charge]])</f>
        <v>0</v>
      </c>
      <c r="J113">
        <f>(AF30_ByRubLot[[#This Row],[71-80]]/AF30_ByRubLot3[[Total Charge]:[Total Charge]])</f>
        <v>0.1</v>
      </c>
      <c r="K113">
        <f>(AF30_ByRubLot[[#This Row],[81-90]]/AF30_ByRubLot3[[Total Charge]:[Total Charge]])</f>
        <v>0.1</v>
      </c>
      <c r="L113">
        <f>(AF30_ByRubLot[[#This Row],[91-100]]/AF30_ByRubLot3[[Total Charge]:[Total Charge]])</f>
        <v>0.5</v>
      </c>
      <c r="M113">
        <f>(AF30_ByRubLot[[#This Row],[101-110]]/AF30_ByRubLot3[[Total Charge]:[Total Charge]])</f>
        <v>0.1</v>
      </c>
      <c r="N113">
        <f>(AF30_ByRubLot[[#This Row],[111-120]]/AF30_ByRubLot3[[Total Charge]:[Total Charge]])</f>
        <v>0</v>
      </c>
      <c r="O113">
        <f>(AF30_ByRubLot[[#This Row],[121-130]]/AF30_ByRubLot3[[Total Charge]:[Total Charge]])</f>
        <v>0</v>
      </c>
      <c r="P113">
        <f>(AF30_ByRubLot[[#This Row],[131-140]]/AF30_ByRubLot3[[Total Charge]:[Total Charge]])</f>
        <v>0</v>
      </c>
      <c r="Q113">
        <v>0</v>
      </c>
      <c r="R113">
        <v>0</v>
      </c>
      <c r="S113" t="s">
        <v>6</v>
      </c>
      <c r="T113">
        <v>10</v>
      </c>
      <c r="U113" s="112"/>
      <c r="V113">
        <v>2093.3333333333335</v>
      </c>
      <c r="W113">
        <v>1560</v>
      </c>
      <c r="X113">
        <f t="shared" si="8"/>
        <v>74.522292993630572</v>
      </c>
      <c r="Y113">
        <f>SUM(AF30_ByRubLot3[[#This Row],[0-10]:[131-140]])</f>
        <v>1</v>
      </c>
    </row>
    <row r="114" spans="1:25" x14ac:dyDescent="0.25">
      <c r="A114" t="s">
        <v>24</v>
      </c>
      <c r="B114" s="146" t="s">
        <v>247</v>
      </c>
      <c r="C114">
        <f>(AF30_ByRubLot[[#This Row],[0-10]]/AF30_ByRubLot3[[Total Charge]:[Total Charge]])</f>
        <v>0</v>
      </c>
      <c r="D114">
        <f>(AF30_ByRubLot[[#This Row],[11-20]]/AF30_ByRubLot3[[Total Charge]:[Total Charge]])</f>
        <v>0</v>
      </c>
      <c r="E114">
        <f>(AF30_ByRubLot[[#This Row],[21-30]]/AF30_ByRubLot3[[Total Charge]:[Total Charge]])</f>
        <v>0</v>
      </c>
      <c r="F114">
        <f>(AF30_ByRubLot[[#This Row],[31-40]]/AF30_ByRubLot3[[Total Charge]:[Total Charge]])</f>
        <v>0.1</v>
      </c>
      <c r="G114">
        <f>(AF30_ByRubLot[[#This Row],[41-50]]/AF30_ByRubLot3[[Total Charge]:[Total Charge]])</f>
        <v>0.1</v>
      </c>
      <c r="H114">
        <f>(AF30_ByRubLot[[#This Row],[51-60]]/AF30_ByRubLot3[[Total Charge]:[Total Charge]])</f>
        <v>0</v>
      </c>
      <c r="I114">
        <f>(AF30_ByRubLot[[#This Row],[61-70]]/AF30_ByRubLot3[[Total Charge]:[Total Charge]])</f>
        <v>0</v>
      </c>
      <c r="J114">
        <f>(AF30_ByRubLot[[#This Row],[71-80]]/AF30_ByRubLot3[[Total Charge]:[Total Charge]])</f>
        <v>0.1</v>
      </c>
      <c r="K114">
        <f>(AF30_ByRubLot[[#This Row],[81-90]]/AF30_ByRubLot3[[Total Charge]:[Total Charge]])</f>
        <v>0.1</v>
      </c>
      <c r="L114">
        <f>(AF30_ByRubLot[[#This Row],[91-100]]/AF30_ByRubLot3[[Total Charge]:[Total Charge]])</f>
        <v>0.5</v>
      </c>
      <c r="M114">
        <f>(AF30_ByRubLot[[#This Row],[101-110]]/AF30_ByRubLot3[[Total Charge]:[Total Charge]])</f>
        <v>0.1</v>
      </c>
      <c r="N114">
        <f>(AF30_ByRubLot[[#This Row],[111-120]]/AF30_ByRubLot3[[Total Charge]:[Total Charge]])</f>
        <v>0</v>
      </c>
      <c r="O114">
        <f>(AF30_ByRubLot[[#This Row],[121-130]]/AF30_ByRubLot3[[Total Charge]:[Total Charge]])</f>
        <v>0</v>
      </c>
      <c r="P114">
        <f>(AF30_ByRubLot[[#This Row],[131-140]]/AF30_ByRubLot3[[Total Charge]:[Total Charge]])</f>
        <v>0</v>
      </c>
      <c r="Q114">
        <v>0</v>
      </c>
      <c r="R114">
        <v>0</v>
      </c>
      <c r="S114" t="s">
        <v>6</v>
      </c>
      <c r="T114">
        <v>10</v>
      </c>
      <c r="U114" s="112"/>
      <c r="V114">
        <v>1427.7777777777778</v>
      </c>
      <c r="W114">
        <v>1280</v>
      </c>
      <c r="X114">
        <f t="shared" si="8"/>
        <v>89.649805447470811</v>
      </c>
      <c r="Y114">
        <f>SUM(AF30_ByRubLot3[[#This Row],[0-10]:[131-140]])</f>
        <v>1</v>
      </c>
    </row>
    <row r="115" spans="1:25" x14ac:dyDescent="0.25">
      <c r="A115" t="s">
        <v>24</v>
      </c>
      <c r="B115" s="146" t="s">
        <v>248</v>
      </c>
      <c r="C115">
        <f>(AF30_ByRubLot[[#This Row],[0-10]]/AF30_ByRubLot3[[Total Charge]:[Total Charge]])</f>
        <v>0</v>
      </c>
      <c r="D115">
        <f>(AF30_ByRubLot[[#This Row],[11-20]]/AF30_ByRubLot3[[Total Charge]:[Total Charge]])</f>
        <v>0</v>
      </c>
      <c r="E115">
        <f>(AF30_ByRubLot[[#This Row],[21-30]]/AF30_ByRubLot3[[Total Charge]:[Total Charge]])</f>
        <v>0</v>
      </c>
      <c r="F115">
        <f>(AF30_ByRubLot[[#This Row],[31-40]]/AF30_ByRubLot3[[Total Charge]:[Total Charge]])</f>
        <v>0.1</v>
      </c>
      <c r="G115">
        <f>(AF30_ByRubLot[[#This Row],[41-50]]/AF30_ByRubLot3[[Total Charge]:[Total Charge]])</f>
        <v>0.1</v>
      </c>
      <c r="H115">
        <f>(AF30_ByRubLot[[#This Row],[51-60]]/AF30_ByRubLot3[[Total Charge]:[Total Charge]])</f>
        <v>0</v>
      </c>
      <c r="I115">
        <f>(AF30_ByRubLot[[#This Row],[61-70]]/AF30_ByRubLot3[[Total Charge]:[Total Charge]])</f>
        <v>0</v>
      </c>
      <c r="J115">
        <f>(AF30_ByRubLot[[#This Row],[71-80]]/AF30_ByRubLot3[[Total Charge]:[Total Charge]])</f>
        <v>0.1</v>
      </c>
      <c r="K115">
        <f>(AF30_ByRubLot[[#This Row],[81-90]]/AF30_ByRubLot3[[Total Charge]:[Total Charge]])</f>
        <v>0.1</v>
      </c>
      <c r="L115">
        <f>(AF30_ByRubLot[[#This Row],[91-100]]/AF30_ByRubLot3[[Total Charge]:[Total Charge]])</f>
        <v>0.5</v>
      </c>
      <c r="M115">
        <f>(AF30_ByRubLot[[#This Row],[101-110]]/AF30_ByRubLot3[[Total Charge]:[Total Charge]])</f>
        <v>0.1</v>
      </c>
      <c r="N115">
        <f>(AF30_ByRubLot[[#This Row],[111-120]]/AF30_ByRubLot3[[Total Charge]:[Total Charge]])</f>
        <v>0</v>
      </c>
      <c r="O115">
        <f>(AF30_ByRubLot[[#This Row],[121-130]]/AF30_ByRubLot3[[Total Charge]:[Total Charge]])</f>
        <v>0</v>
      </c>
      <c r="P115">
        <f>(AF30_ByRubLot[[#This Row],[131-140]]/AF30_ByRubLot3[[Total Charge]:[Total Charge]])</f>
        <v>0</v>
      </c>
      <c r="Q115">
        <v>0</v>
      </c>
      <c r="R115">
        <v>0</v>
      </c>
      <c r="S115" t="s">
        <v>6</v>
      </c>
      <c r="T115">
        <v>10</v>
      </c>
      <c r="U115" s="112"/>
      <c r="V115">
        <v>2370</v>
      </c>
      <c r="W115">
        <v>2029.6666600000001</v>
      </c>
      <c r="X115">
        <f t="shared" si="8"/>
        <v>85.639943459915614</v>
      </c>
      <c r="Y115">
        <f>SUM(AF30_ByRubLot3[[#This Row],[0-10]:[131-140]])</f>
        <v>1</v>
      </c>
    </row>
    <row r="116" spans="1:25" x14ac:dyDescent="0.25">
      <c r="A116" t="s">
        <v>26</v>
      </c>
      <c r="B116" s="146" t="s">
        <v>251</v>
      </c>
      <c r="C116">
        <f>(AF30_ByRubLot[[#This Row],[0-10]]/AF30_ByRubLot3[[Total Charge]:[Total Charge]])</f>
        <v>0</v>
      </c>
      <c r="D116">
        <f>(AF30_ByRubLot[[#This Row],[11-20]]/AF30_ByRubLot3[[Total Charge]:[Total Charge]])</f>
        <v>0</v>
      </c>
      <c r="E116">
        <f>(AF30_ByRubLot[[#This Row],[21-30]]/AF30_ByRubLot3[[Total Charge]:[Total Charge]])</f>
        <v>0</v>
      </c>
      <c r="F116">
        <f>(AF30_ByRubLot[[#This Row],[31-40]]/AF30_ByRubLot3[[Total Charge]:[Total Charge]])</f>
        <v>0</v>
      </c>
      <c r="G116">
        <f>(AF30_ByRubLot[[#This Row],[41-50]]/AF30_ByRubLot3[[Total Charge]:[Total Charge]])</f>
        <v>0</v>
      </c>
      <c r="H116">
        <f>(AF30_ByRubLot[[#This Row],[51-60]]/AF30_ByRubLot3[[Total Charge]:[Total Charge]])</f>
        <v>0.125</v>
      </c>
      <c r="I116">
        <f>(AF30_ByRubLot[[#This Row],[61-70]]/AF30_ByRubLot3[[Total Charge]:[Total Charge]])</f>
        <v>0.125</v>
      </c>
      <c r="J116">
        <f>(AF30_ByRubLot[[#This Row],[71-80]]/AF30_ByRubLot3[[Total Charge]:[Total Charge]])</f>
        <v>0.375</v>
      </c>
      <c r="K116">
        <f>(AF30_ByRubLot[[#This Row],[81-90]]/AF30_ByRubLot3[[Total Charge]:[Total Charge]])</f>
        <v>0.125</v>
      </c>
      <c r="L116">
        <f>(AF30_ByRubLot[[#This Row],[91-100]]/AF30_ByRubLot3[[Total Charge]:[Total Charge]])</f>
        <v>0</v>
      </c>
      <c r="M116">
        <f>(AF30_ByRubLot[[#This Row],[101-110]]/AF30_ByRubLot3[[Total Charge]:[Total Charge]])</f>
        <v>0</v>
      </c>
      <c r="N116">
        <f>(AF30_ByRubLot[[#This Row],[111-120]]/AF30_ByRubLot3[[Total Charge]:[Total Charge]])</f>
        <v>0.25</v>
      </c>
      <c r="O116">
        <f>(AF30_ByRubLot[[#This Row],[121-130]]/AF30_ByRubLot3[[Total Charge]:[Total Charge]])</f>
        <v>0</v>
      </c>
      <c r="P116">
        <f>(AF30_ByRubLot[[#This Row],[131-140]]/AF30_ByRubLot3[[Total Charge]:[Total Charge]])</f>
        <v>0</v>
      </c>
      <c r="Q116">
        <v>1</v>
      </c>
      <c r="R116">
        <v>0</v>
      </c>
      <c r="S116" t="s">
        <v>97</v>
      </c>
      <c r="T116">
        <v>8</v>
      </c>
      <c r="U116" s="114"/>
      <c r="V116">
        <v>1958.3333333333333</v>
      </c>
      <c r="W116">
        <v>1760</v>
      </c>
      <c r="X116">
        <f>(W116/V116)*100</f>
        <v>89.872340425531917</v>
      </c>
      <c r="Y116">
        <f>SUM(AF30_ByRubLot3[[#This Row],[0-10]:[131-140]])</f>
        <v>1</v>
      </c>
    </row>
    <row r="117" spans="1:25" x14ac:dyDescent="0.25">
      <c r="A117" t="s">
        <v>26</v>
      </c>
      <c r="B117" s="146" t="s">
        <v>252</v>
      </c>
      <c r="C117">
        <f>(AF30_ByRubLot[[#This Row],[0-10]]/AF30_ByRubLot3[[Total Charge]:[Total Charge]])</f>
        <v>0</v>
      </c>
      <c r="D117">
        <f>(AF30_ByRubLot[[#This Row],[11-20]]/AF30_ByRubLot3[[Total Charge]:[Total Charge]])</f>
        <v>0</v>
      </c>
      <c r="E117">
        <f>(AF30_ByRubLot[[#This Row],[21-30]]/AF30_ByRubLot3[[Total Charge]:[Total Charge]])</f>
        <v>0</v>
      </c>
      <c r="F117">
        <f>(AF30_ByRubLot[[#This Row],[31-40]]/AF30_ByRubLot3[[Total Charge]:[Total Charge]])</f>
        <v>0</v>
      </c>
      <c r="G117">
        <f>(AF30_ByRubLot[[#This Row],[41-50]]/AF30_ByRubLot3[[Total Charge]:[Total Charge]])</f>
        <v>0</v>
      </c>
      <c r="H117">
        <f>(AF30_ByRubLot[[#This Row],[51-60]]/AF30_ByRubLot3[[Total Charge]:[Total Charge]])</f>
        <v>0.125</v>
      </c>
      <c r="I117">
        <f>(AF30_ByRubLot[[#This Row],[61-70]]/AF30_ByRubLot3[[Total Charge]:[Total Charge]])</f>
        <v>0.125</v>
      </c>
      <c r="J117">
        <f>(AF30_ByRubLot[[#This Row],[71-80]]/AF30_ByRubLot3[[Total Charge]:[Total Charge]])</f>
        <v>0.375</v>
      </c>
      <c r="K117">
        <f>(AF30_ByRubLot[[#This Row],[81-90]]/AF30_ByRubLot3[[Total Charge]:[Total Charge]])</f>
        <v>0.125</v>
      </c>
      <c r="L117">
        <f>(AF30_ByRubLot[[#This Row],[91-100]]/AF30_ByRubLot3[[Total Charge]:[Total Charge]])</f>
        <v>0</v>
      </c>
      <c r="M117">
        <f>(AF30_ByRubLot[[#This Row],[101-110]]/AF30_ByRubLot3[[Total Charge]:[Total Charge]])</f>
        <v>0</v>
      </c>
      <c r="N117">
        <f>(AF30_ByRubLot[[#This Row],[111-120]]/AF30_ByRubLot3[[Total Charge]:[Total Charge]])</f>
        <v>0.25</v>
      </c>
      <c r="O117">
        <f>(AF30_ByRubLot[[#This Row],[121-130]]/AF30_ByRubLot3[[Total Charge]:[Total Charge]])</f>
        <v>0</v>
      </c>
      <c r="P117">
        <f>(AF30_ByRubLot[[#This Row],[131-140]]/AF30_ByRubLot3[[Total Charge]:[Total Charge]])</f>
        <v>0</v>
      </c>
      <c r="Q117">
        <v>1</v>
      </c>
      <c r="R117">
        <v>0</v>
      </c>
      <c r="S117" t="s">
        <v>97</v>
      </c>
      <c r="T117">
        <v>8</v>
      </c>
      <c r="U117" s="114"/>
      <c r="V117">
        <v>1836.1111111111111</v>
      </c>
      <c r="W117">
        <v>1268</v>
      </c>
      <c r="X117">
        <f>(W117/V117)*100</f>
        <v>69.059001512859311</v>
      </c>
      <c r="Y117">
        <f>SUM(AF30_ByRubLot3[[#This Row],[0-10]:[131-140]])</f>
        <v>1</v>
      </c>
    </row>
    <row r="118" spans="1:25" x14ac:dyDescent="0.25">
      <c r="A118" t="s">
        <v>26</v>
      </c>
      <c r="B118" s="146" t="s">
        <v>253</v>
      </c>
      <c r="C118">
        <f>(AF30_ByRubLot[[#This Row],[0-10]]/AF30_ByRubLot3[[Total Charge]:[Total Charge]])</f>
        <v>0</v>
      </c>
      <c r="D118">
        <f>(AF30_ByRubLot[[#This Row],[11-20]]/AF30_ByRubLot3[[Total Charge]:[Total Charge]])</f>
        <v>0</v>
      </c>
      <c r="E118">
        <f>(AF30_ByRubLot[[#This Row],[21-30]]/AF30_ByRubLot3[[Total Charge]:[Total Charge]])</f>
        <v>0</v>
      </c>
      <c r="F118">
        <f>(AF30_ByRubLot[[#This Row],[31-40]]/AF30_ByRubLot3[[Total Charge]:[Total Charge]])</f>
        <v>0</v>
      </c>
      <c r="G118">
        <f>(AF30_ByRubLot[[#This Row],[41-50]]/AF30_ByRubLot3[[Total Charge]:[Total Charge]])</f>
        <v>0</v>
      </c>
      <c r="H118">
        <f>(AF30_ByRubLot[[#This Row],[51-60]]/AF30_ByRubLot3[[Total Charge]:[Total Charge]])</f>
        <v>0.125</v>
      </c>
      <c r="I118">
        <f>(AF30_ByRubLot[[#This Row],[61-70]]/AF30_ByRubLot3[[Total Charge]:[Total Charge]])</f>
        <v>0.125</v>
      </c>
      <c r="J118">
        <f>(AF30_ByRubLot[[#This Row],[71-80]]/AF30_ByRubLot3[[Total Charge]:[Total Charge]])</f>
        <v>0.375</v>
      </c>
      <c r="K118">
        <f>(AF30_ByRubLot[[#This Row],[81-90]]/AF30_ByRubLot3[[Total Charge]:[Total Charge]])</f>
        <v>0.125</v>
      </c>
      <c r="L118">
        <f>(AF30_ByRubLot[[#This Row],[91-100]]/AF30_ByRubLot3[[Total Charge]:[Total Charge]])</f>
        <v>0</v>
      </c>
      <c r="M118">
        <f>(AF30_ByRubLot[[#This Row],[101-110]]/AF30_ByRubLot3[[Total Charge]:[Total Charge]])</f>
        <v>0</v>
      </c>
      <c r="N118">
        <f>(AF30_ByRubLot[[#This Row],[111-120]]/AF30_ByRubLot3[[Total Charge]:[Total Charge]])</f>
        <v>0.25</v>
      </c>
      <c r="O118">
        <f>(AF30_ByRubLot[[#This Row],[121-130]]/AF30_ByRubLot3[[Total Charge]:[Total Charge]])</f>
        <v>0</v>
      </c>
      <c r="P118">
        <f>(AF30_ByRubLot[[#This Row],[131-140]]/AF30_ByRubLot3[[Total Charge]:[Total Charge]])</f>
        <v>0</v>
      </c>
      <c r="Q118">
        <v>1</v>
      </c>
      <c r="R118">
        <v>0</v>
      </c>
      <c r="S118" t="s">
        <v>97</v>
      </c>
      <c r="T118">
        <v>8</v>
      </c>
      <c r="U118" s="114"/>
      <c r="V118">
        <v>1605.5555555555557</v>
      </c>
      <c r="W118">
        <v>1040</v>
      </c>
      <c r="X118">
        <f>(W118/V118)*100</f>
        <v>64.775086505190302</v>
      </c>
      <c r="Y118">
        <f>SUM(AF30_ByRubLot3[[#This Row],[0-10]:[131-140]])</f>
        <v>1</v>
      </c>
    </row>
    <row r="119" spans="1:25" x14ac:dyDescent="0.25">
      <c r="A119" t="s">
        <v>26</v>
      </c>
      <c r="B119" s="146" t="s">
        <v>254</v>
      </c>
      <c r="C119">
        <f>(AF30_ByRubLot[[#This Row],[0-10]]/AF30_ByRubLot3[[Total Charge]:[Total Charge]])</f>
        <v>0</v>
      </c>
      <c r="D119">
        <f>(AF30_ByRubLot[[#This Row],[11-20]]/AF30_ByRubLot3[[Total Charge]:[Total Charge]])</f>
        <v>0</v>
      </c>
      <c r="E119">
        <f>(AF30_ByRubLot[[#This Row],[21-30]]/AF30_ByRubLot3[[Total Charge]:[Total Charge]])</f>
        <v>0</v>
      </c>
      <c r="F119">
        <f>(AF30_ByRubLot[[#This Row],[31-40]]/AF30_ByRubLot3[[Total Charge]:[Total Charge]])</f>
        <v>0</v>
      </c>
      <c r="G119">
        <f>(AF30_ByRubLot[[#This Row],[41-50]]/AF30_ByRubLot3[[Total Charge]:[Total Charge]])</f>
        <v>0</v>
      </c>
      <c r="H119">
        <f>(AF30_ByRubLot[[#This Row],[51-60]]/AF30_ByRubLot3[[Total Charge]:[Total Charge]])</f>
        <v>0.125</v>
      </c>
      <c r="I119">
        <f>(AF30_ByRubLot[[#This Row],[61-70]]/AF30_ByRubLot3[[Total Charge]:[Total Charge]])</f>
        <v>0.125</v>
      </c>
      <c r="J119">
        <f>(AF30_ByRubLot[[#This Row],[71-80]]/AF30_ByRubLot3[[Total Charge]:[Total Charge]])</f>
        <v>0.375</v>
      </c>
      <c r="K119">
        <f>(AF30_ByRubLot[[#This Row],[81-90]]/AF30_ByRubLot3[[Total Charge]:[Total Charge]])</f>
        <v>0.125</v>
      </c>
      <c r="L119">
        <f>(AF30_ByRubLot[[#This Row],[91-100]]/AF30_ByRubLot3[[Total Charge]:[Total Charge]])</f>
        <v>0</v>
      </c>
      <c r="M119">
        <f>(AF30_ByRubLot[[#This Row],[101-110]]/AF30_ByRubLot3[[Total Charge]:[Total Charge]])</f>
        <v>0</v>
      </c>
      <c r="N119">
        <f>(AF30_ByRubLot[[#This Row],[111-120]]/AF30_ByRubLot3[[Total Charge]:[Total Charge]])</f>
        <v>0.25</v>
      </c>
      <c r="O119">
        <f>(AF30_ByRubLot[[#This Row],[121-130]]/AF30_ByRubLot3[[Total Charge]:[Total Charge]])</f>
        <v>0</v>
      </c>
      <c r="P119">
        <f>(AF30_ByRubLot[[#This Row],[131-140]]/AF30_ByRubLot3[[Total Charge]:[Total Charge]])</f>
        <v>0</v>
      </c>
      <c r="Q119">
        <v>1</v>
      </c>
      <c r="R119">
        <v>0</v>
      </c>
      <c r="S119" t="s">
        <v>97</v>
      </c>
      <c r="T119">
        <v>8</v>
      </c>
      <c r="U119" s="114"/>
      <c r="V119">
        <v>1975</v>
      </c>
      <c r="W119">
        <v>1108</v>
      </c>
      <c r="X119">
        <f>(W119/V119)*100</f>
        <v>56.101265822784811</v>
      </c>
      <c r="Y119">
        <f>SUM(AF30_ByRubLot3[[#This Row],[0-10]:[131-140]])</f>
        <v>1</v>
      </c>
    </row>
    <row r="120" spans="1:25" x14ac:dyDescent="0.25">
      <c r="A120" t="s">
        <v>115</v>
      </c>
      <c r="B120" s="146" t="s">
        <v>255</v>
      </c>
      <c r="C120">
        <f>(AF30_ByRubLot[[#This Row],[0-10]]/AF30_ByRubLot3[[Total Charge]:[Total Charge]])</f>
        <v>0</v>
      </c>
      <c r="D120">
        <f>(AF30_ByRubLot[[#This Row],[11-20]]/AF30_ByRubLot3[[Total Charge]:[Total Charge]])</f>
        <v>0</v>
      </c>
      <c r="E120">
        <f>(AF30_ByRubLot[[#This Row],[21-30]]/AF30_ByRubLot3[[Total Charge]:[Total Charge]])</f>
        <v>0</v>
      </c>
      <c r="F120">
        <f>(AF30_ByRubLot[[#This Row],[31-40]]/AF30_ByRubLot3[[Total Charge]:[Total Charge]])</f>
        <v>0</v>
      </c>
      <c r="G120">
        <f>(AF30_ByRubLot[[#This Row],[41-50]]/AF30_ByRubLot3[[Total Charge]:[Total Charge]])</f>
        <v>0.16666666666666666</v>
      </c>
      <c r="H120">
        <f>(AF30_ByRubLot[[#This Row],[51-60]]/AF30_ByRubLot3[[Total Charge]:[Total Charge]])</f>
        <v>0</v>
      </c>
      <c r="I120">
        <f>(AF30_ByRubLot[[#This Row],[61-70]]/AF30_ByRubLot3[[Total Charge]:[Total Charge]])</f>
        <v>0.16666666666666666</v>
      </c>
      <c r="J120">
        <f>(AF30_ByRubLot[[#This Row],[71-80]]/AF30_ByRubLot3[[Total Charge]:[Total Charge]])</f>
        <v>0</v>
      </c>
      <c r="K120">
        <f>(AF30_ByRubLot[[#This Row],[81-90]]/AF30_ByRubLot3[[Total Charge]:[Total Charge]])</f>
        <v>0</v>
      </c>
      <c r="L120">
        <f>(AF30_ByRubLot[[#This Row],[91-100]]/AF30_ByRubLot3[[Total Charge]:[Total Charge]])</f>
        <v>0.33333333333333331</v>
      </c>
      <c r="M120">
        <f>(AF30_ByRubLot[[#This Row],[101-110]]/AF30_ByRubLot3[[Total Charge]:[Total Charge]])</f>
        <v>0.16666666666666666</v>
      </c>
      <c r="N120">
        <f>(AF30_ByRubLot[[#This Row],[111-120]]/AF30_ByRubLot3[[Total Charge]:[Total Charge]])</f>
        <v>0.16666666666666666</v>
      </c>
      <c r="O120">
        <f>(AF30_ByRubLot[[#This Row],[121-130]]/AF30_ByRubLot3[[Total Charge]:[Total Charge]])</f>
        <v>0</v>
      </c>
      <c r="P120">
        <f>(AF30_ByRubLot[[#This Row],[131-140]]/AF30_ByRubLot3[[Total Charge]:[Total Charge]])</f>
        <v>0</v>
      </c>
      <c r="Q120">
        <v>0</v>
      </c>
      <c r="R120">
        <v>0</v>
      </c>
      <c r="S120" t="s">
        <v>73</v>
      </c>
      <c r="T120">
        <v>6</v>
      </c>
      <c r="U120" s="112"/>
      <c r="V120">
        <v>1963.8888888888887</v>
      </c>
      <c r="W120">
        <v>1720</v>
      </c>
      <c r="X120">
        <f>(W120/V120)*100</f>
        <v>87.581329561527582</v>
      </c>
      <c r="Y120">
        <f>SUM(AF30_ByRubLot3[[#This Row],[0-10]:[131-140]])</f>
        <v>0.99999999999999989</v>
      </c>
    </row>
    <row r="121" spans="1:25" x14ac:dyDescent="0.25">
      <c r="A121" t="s">
        <v>115</v>
      </c>
      <c r="B121" s="146" t="s">
        <v>256</v>
      </c>
      <c r="C121">
        <f>(AF30_ByRubLot[[#This Row],[0-10]]/AF30_ByRubLot3[[Total Charge]:[Total Charge]])</f>
        <v>0</v>
      </c>
      <c r="D121">
        <f>(AF30_ByRubLot[[#This Row],[11-20]]/AF30_ByRubLot3[[Total Charge]:[Total Charge]])</f>
        <v>0</v>
      </c>
      <c r="E121">
        <f>(AF30_ByRubLot[[#This Row],[21-30]]/AF30_ByRubLot3[[Total Charge]:[Total Charge]])</f>
        <v>0</v>
      </c>
      <c r="F121">
        <f>(AF30_ByRubLot[[#This Row],[31-40]]/AF30_ByRubLot3[[Total Charge]:[Total Charge]])</f>
        <v>0</v>
      </c>
      <c r="G121">
        <f>(AF30_ByRubLot[[#This Row],[41-50]]/AF30_ByRubLot3[[Total Charge]:[Total Charge]])</f>
        <v>0.16666666666666666</v>
      </c>
      <c r="H121">
        <f>(AF30_ByRubLot[[#This Row],[51-60]]/AF30_ByRubLot3[[Total Charge]:[Total Charge]])</f>
        <v>0</v>
      </c>
      <c r="I121">
        <f>(AF30_ByRubLot[[#This Row],[61-70]]/AF30_ByRubLot3[[Total Charge]:[Total Charge]])</f>
        <v>0.16666666666666666</v>
      </c>
      <c r="J121">
        <f>(AF30_ByRubLot[[#This Row],[71-80]]/AF30_ByRubLot3[[Total Charge]:[Total Charge]])</f>
        <v>0</v>
      </c>
      <c r="K121">
        <f>(AF30_ByRubLot[[#This Row],[81-90]]/AF30_ByRubLot3[[Total Charge]:[Total Charge]])</f>
        <v>0</v>
      </c>
      <c r="L121">
        <f>(AF30_ByRubLot[[#This Row],[91-100]]/AF30_ByRubLot3[[Total Charge]:[Total Charge]])</f>
        <v>0.33333333333333331</v>
      </c>
      <c r="M121">
        <f>(AF30_ByRubLot[[#This Row],[101-110]]/AF30_ByRubLot3[[Total Charge]:[Total Charge]])</f>
        <v>0.16666666666666666</v>
      </c>
      <c r="N121">
        <f>(AF30_ByRubLot[[#This Row],[111-120]]/AF30_ByRubLot3[[Total Charge]:[Total Charge]])</f>
        <v>0.16666666666666666</v>
      </c>
      <c r="O121">
        <f>(AF30_ByRubLot[[#This Row],[121-130]]/AF30_ByRubLot3[[Total Charge]:[Total Charge]])</f>
        <v>0</v>
      </c>
      <c r="P121">
        <f>(AF30_ByRubLot[[#This Row],[131-140]]/AF30_ByRubLot3[[Total Charge]:[Total Charge]])</f>
        <v>0</v>
      </c>
      <c r="Q121">
        <v>0</v>
      </c>
      <c r="R121">
        <v>0</v>
      </c>
      <c r="S121" t="s">
        <v>73</v>
      </c>
      <c r="T121">
        <v>6</v>
      </c>
      <c r="U121" s="112"/>
      <c r="V121">
        <v>1761.1111111111109</v>
      </c>
      <c r="W121">
        <v>1672</v>
      </c>
      <c r="X121">
        <f t="shared" ref="X121:X137" si="9">(W121/V121)*100</f>
        <v>94.940063091482656</v>
      </c>
      <c r="Y121">
        <f>SUM(AF30_ByRubLot3[[#This Row],[0-10]:[131-140]])</f>
        <v>0.99999999999999989</v>
      </c>
    </row>
    <row r="122" spans="1:25" x14ac:dyDescent="0.25">
      <c r="A122" t="s">
        <v>115</v>
      </c>
      <c r="B122" s="146" t="s">
        <v>257</v>
      </c>
      <c r="C122">
        <f>(AF30_ByRubLot[[#This Row],[0-10]]/AF30_ByRubLot3[[Total Charge]:[Total Charge]])</f>
        <v>0</v>
      </c>
      <c r="D122">
        <f>(AF30_ByRubLot[[#This Row],[11-20]]/AF30_ByRubLot3[[Total Charge]:[Total Charge]])</f>
        <v>0</v>
      </c>
      <c r="E122">
        <f>(AF30_ByRubLot[[#This Row],[21-30]]/AF30_ByRubLot3[[Total Charge]:[Total Charge]])</f>
        <v>0</v>
      </c>
      <c r="F122">
        <f>(AF30_ByRubLot[[#This Row],[31-40]]/AF30_ByRubLot3[[Total Charge]:[Total Charge]])</f>
        <v>0</v>
      </c>
      <c r="G122">
        <f>(AF30_ByRubLot[[#This Row],[41-50]]/AF30_ByRubLot3[[Total Charge]:[Total Charge]])</f>
        <v>0.16666666666666666</v>
      </c>
      <c r="H122">
        <f>(AF30_ByRubLot[[#This Row],[51-60]]/AF30_ByRubLot3[[Total Charge]:[Total Charge]])</f>
        <v>0</v>
      </c>
      <c r="I122">
        <f>(AF30_ByRubLot[[#This Row],[61-70]]/AF30_ByRubLot3[[Total Charge]:[Total Charge]])</f>
        <v>0.16666666666666666</v>
      </c>
      <c r="J122">
        <f>(AF30_ByRubLot[[#This Row],[71-80]]/AF30_ByRubLot3[[Total Charge]:[Total Charge]])</f>
        <v>0</v>
      </c>
      <c r="K122">
        <f>(AF30_ByRubLot[[#This Row],[81-90]]/AF30_ByRubLot3[[Total Charge]:[Total Charge]])</f>
        <v>0</v>
      </c>
      <c r="L122">
        <f>(AF30_ByRubLot[[#This Row],[91-100]]/AF30_ByRubLot3[[Total Charge]:[Total Charge]])</f>
        <v>0.33333333333333331</v>
      </c>
      <c r="M122">
        <f>(AF30_ByRubLot[[#This Row],[101-110]]/AF30_ByRubLot3[[Total Charge]:[Total Charge]])</f>
        <v>0.16666666666666666</v>
      </c>
      <c r="N122">
        <f>(AF30_ByRubLot[[#This Row],[111-120]]/AF30_ByRubLot3[[Total Charge]:[Total Charge]])</f>
        <v>0.16666666666666666</v>
      </c>
      <c r="O122">
        <f>(AF30_ByRubLot[[#This Row],[121-130]]/AF30_ByRubLot3[[Total Charge]:[Total Charge]])</f>
        <v>0</v>
      </c>
      <c r="P122">
        <f>(AF30_ByRubLot[[#This Row],[131-140]]/AF30_ByRubLot3[[Total Charge]:[Total Charge]])</f>
        <v>0</v>
      </c>
      <c r="Q122">
        <v>0</v>
      </c>
      <c r="R122">
        <v>0</v>
      </c>
      <c r="S122" t="s">
        <v>73</v>
      </c>
      <c r="T122">
        <v>6</v>
      </c>
      <c r="U122" s="112"/>
      <c r="V122">
        <v>2033.3333333333333</v>
      </c>
      <c r="W122">
        <v>1880</v>
      </c>
      <c r="X122">
        <f t="shared" si="9"/>
        <v>92.459016393442624</v>
      </c>
      <c r="Y122">
        <f>SUM(AF30_ByRubLot3[[#This Row],[0-10]:[131-140]])</f>
        <v>0.99999999999999989</v>
      </c>
    </row>
    <row r="123" spans="1:25" x14ac:dyDescent="0.25">
      <c r="A123" t="s">
        <v>115</v>
      </c>
      <c r="B123" s="146" t="s">
        <v>258</v>
      </c>
      <c r="C123">
        <f>(AF30_ByRubLot[[#This Row],[0-10]]/AF30_ByRubLot3[[Total Charge]:[Total Charge]])</f>
        <v>0</v>
      </c>
      <c r="D123">
        <f>(AF30_ByRubLot[[#This Row],[11-20]]/AF30_ByRubLot3[[Total Charge]:[Total Charge]])</f>
        <v>0</v>
      </c>
      <c r="E123">
        <f>(AF30_ByRubLot[[#This Row],[21-30]]/AF30_ByRubLot3[[Total Charge]:[Total Charge]])</f>
        <v>0</v>
      </c>
      <c r="F123">
        <f>(AF30_ByRubLot[[#This Row],[31-40]]/AF30_ByRubLot3[[Total Charge]:[Total Charge]])</f>
        <v>0</v>
      </c>
      <c r="G123">
        <f>(AF30_ByRubLot[[#This Row],[41-50]]/AF30_ByRubLot3[[Total Charge]:[Total Charge]])</f>
        <v>0.16666666666666666</v>
      </c>
      <c r="H123">
        <f>(AF30_ByRubLot[[#This Row],[51-60]]/AF30_ByRubLot3[[Total Charge]:[Total Charge]])</f>
        <v>0</v>
      </c>
      <c r="I123">
        <f>(AF30_ByRubLot[[#This Row],[61-70]]/AF30_ByRubLot3[[Total Charge]:[Total Charge]])</f>
        <v>0.16666666666666666</v>
      </c>
      <c r="J123">
        <f>(AF30_ByRubLot[[#This Row],[71-80]]/AF30_ByRubLot3[[Total Charge]:[Total Charge]])</f>
        <v>0</v>
      </c>
      <c r="K123">
        <f>(AF30_ByRubLot[[#This Row],[81-90]]/AF30_ByRubLot3[[Total Charge]:[Total Charge]])</f>
        <v>0</v>
      </c>
      <c r="L123">
        <f>(AF30_ByRubLot[[#This Row],[91-100]]/AF30_ByRubLot3[[Total Charge]:[Total Charge]])</f>
        <v>0.33333333333333331</v>
      </c>
      <c r="M123">
        <f>(AF30_ByRubLot[[#This Row],[101-110]]/AF30_ByRubLot3[[Total Charge]:[Total Charge]])</f>
        <v>0.16666666666666666</v>
      </c>
      <c r="N123">
        <f>(AF30_ByRubLot[[#This Row],[111-120]]/AF30_ByRubLot3[[Total Charge]:[Total Charge]])</f>
        <v>0.16666666666666666</v>
      </c>
      <c r="O123">
        <f>(AF30_ByRubLot[[#This Row],[121-130]]/AF30_ByRubLot3[[Total Charge]:[Total Charge]])</f>
        <v>0</v>
      </c>
      <c r="P123">
        <f>(AF30_ByRubLot[[#This Row],[131-140]]/AF30_ByRubLot3[[Total Charge]:[Total Charge]])</f>
        <v>0</v>
      </c>
      <c r="Q123">
        <v>0</v>
      </c>
      <c r="R123">
        <v>0</v>
      </c>
      <c r="S123" t="s">
        <v>73</v>
      </c>
      <c r="T123">
        <v>6</v>
      </c>
      <c r="U123" s="112"/>
      <c r="V123">
        <v>2030.5555555555557</v>
      </c>
      <c r="W123">
        <v>1872</v>
      </c>
      <c r="X123">
        <f t="shared" si="9"/>
        <v>92.191518467852248</v>
      </c>
      <c r="Y123">
        <f>SUM(AF30_ByRubLot3[[#This Row],[0-10]:[131-140]])</f>
        <v>0.99999999999999989</v>
      </c>
    </row>
    <row r="124" spans="1:25" x14ac:dyDescent="0.25">
      <c r="A124" t="s">
        <v>115</v>
      </c>
      <c r="B124" s="146" t="s">
        <v>259</v>
      </c>
      <c r="C124">
        <f>(AF30_ByRubLot[[#This Row],[0-10]]/AF30_ByRubLot3[[Total Charge]:[Total Charge]])</f>
        <v>0</v>
      </c>
      <c r="D124">
        <f>(AF30_ByRubLot[[#This Row],[11-20]]/AF30_ByRubLot3[[Total Charge]:[Total Charge]])</f>
        <v>0</v>
      </c>
      <c r="E124">
        <f>(AF30_ByRubLot[[#This Row],[21-30]]/AF30_ByRubLot3[[Total Charge]:[Total Charge]])</f>
        <v>0</v>
      </c>
      <c r="F124">
        <f>(AF30_ByRubLot[[#This Row],[31-40]]/AF30_ByRubLot3[[Total Charge]:[Total Charge]])</f>
        <v>0</v>
      </c>
      <c r="G124">
        <f>(AF30_ByRubLot[[#This Row],[41-50]]/AF30_ByRubLot3[[Total Charge]:[Total Charge]])</f>
        <v>0.16666666666666666</v>
      </c>
      <c r="H124">
        <f>(AF30_ByRubLot[[#This Row],[51-60]]/AF30_ByRubLot3[[Total Charge]:[Total Charge]])</f>
        <v>0</v>
      </c>
      <c r="I124">
        <f>(AF30_ByRubLot[[#This Row],[61-70]]/AF30_ByRubLot3[[Total Charge]:[Total Charge]])</f>
        <v>0.16666666666666666</v>
      </c>
      <c r="J124">
        <f>(AF30_ByRubLot[[#This Row],[71-80]]/AF30_ByRubLot3[[Total Charge]:[Total Charge]])</f>
        <v>0</v>
      </c>
      <c r="K124">
        <f>(AF30_ByRubLot[[#This Row],[81-90]]/AF30_ByRubLot3[[Total Charge]:[Total Charge]])</f>
        <v>0</v>
      </c>
      <c r="L124">
        <f>(AF30_ByRubLot[[#This Row],[91-100]]/AF30_ByRubLot3[[Total Charge]:[Total Charge]])</f>
        <v>0.33333333333333331</v>
      </c>
      <c r="M124">
        <f>(AF30_ByRubLot[[#This Row],[101-110]]/AF30_ByRubLot3[[Total Charge]:[Total Charge]])</f>
        <v>0.16666666666666666</v>
      </c>
      <c r="N124">
        <f>(AF30_ByRubLot[[#This Row],[111-120]]/AF30_ByRubLot3[[Total Charge]:[Total Charge]])</f>
        <v>0.16666666666666666</v>
      </c>
      <c r="O124">
        <f>(AF30_ByRubLot[[#This Row],[121-130]]/AF30_ByRubLot3[[Total Charge]:[Total Charge]])</f>
        <v>0</v>
      </c>
      <c r="P124">
        <f>(AF30_ByRubLot[[#This Row],[131-140]]/AF30_ByRubLot3[[Total Charge]:[Total Charge]])</f>
        <v>0</v>
      </c>
      <c r="Q124">
        <v>0</v>
      </c>
      <c r="R124">
        <v>0</v>
      </c>
      <c r="S124" t="s">
        <v>73</v>
      </c>
      <c r="T124">
        <v>6</v>
      </c>
      <c r="U124" s="112"/>
      <c r="V124">
        <v>1930.5555555555554</v>
      </c>
      <c r="W124">
        <v>960</v>
      </c>
      <c r="X124">
        <f t="shared" si="9"/>
        <v>49.726618705035975</v>
      </c>
      <c r="Y124">
        <f>SUM(AF30_ByRubLot3[[#This Row],[0-10]:[131-140]])</f>
        <v>0.99999999999999989</v>
      </c>
    </row>
    <row r="125" spans="1:25" x14ac:dyDescent="0.25">
      <c r="A125" t="s">
        <v>115</v>
      </c>
      <c r="B125" s="146" t="s">
        <v>260</v>
      </c>
      <c r="C125">
        <f>(AF30_ByRubLot[[#This Row],[0-10]]/AF30_ByRubLot3[[Total Charge]:[Total Charge]])</f>
        <v>0</v>
      </c>
      <c r="D125">
        <f>(AF30_ByRubLot[[#This Row],[11-20]]/AF30_ByRubLot3[[Total Charge]:[Total Charge]])</f>
        <v>0</v>
      </c>
      <c r="E125">
        <f>(AF30_ByRubLot[[#This Row],[21-30]]/AF30_ByRubLot3[[Total Charge]:[Total Charge]])</f>
        <v>0</v>
      </c>
      <c r="F125">
        <f>(AF30_ByRubLot[[#This Row],[31-40]]/AF30_ByRubLot3[[Total Charge]:[Total Charge]])</f>
        <v>0</v>
      </c>
      <c r="G125">
        <f>(AF30_ByRubLot[[#This Row],[41-50]]/AF30_ByRubLot3[[Total Charge]:[Total Charge]])</f>
        <v>0.16666666666666666</v>
      </c>
      <c r="H125">
        <f>(AF30_ByRubLot[[#This Row],[51-60]]/AF30_ByRubLot3[[Total Charge]:[Total Charge]])</f>
        <v>0</v>
      </c>
      <c r="I125">
        <f>(AF30_ByRubLot[[#This Row],[61-70]]/AF30_ByRubLot3[[Total Charge]:[Total Charge]])</f>
        <v>0.16666666666666666</v>
      </c>
      <c r="J125">
        <f>(AF30_ByRubLot[[#This Row],[71-80]]/AF30_ByRubLot3[[Total Charge]:[Total Charge]])</f>
        <v>0</v>
      </c>
      <c r="K125">
        <f>(AF30_ByRubLot[[#This Row],[81-90]]/AF30_ByRubLot3[[Total Charge]:[Total Charge]])</f>
        <v>0</v>
      </c>
      <c r="L125">
        <f>(AF30_ByRubLot[[#This Row],[91-100]]/AF30_ByRubLot3[[Total Charge]:[Total Charge]])</f>
        <v>0.33333333333333331</v>
      </c>
      <c r="M125">
        <f>(AF30_ByRubLot[[#This Row],[101-110]]/AF30_ByRubLot3[[Total Charge]:[Total Charge]])</f>
        <v>0.16666666666666666</v>
      </c>
      <c r="N125">
        <f>(AF30_ByRubLot[[#This Row],[111-120]]/AF30_ByRubLot3[[Total Charge]:[Total Charge]])</f>
        <v>0.16666666666666666</v>
      </c>
      <c r="O125">
        <f>(AF30_ByRubLot[[#This Row],[121-130]]/AF30_ByRubLot3[[Total Charge]:[Total Charge]])</f>
        <v>0</v>
      </c>
      <c r="P125">
        <f>(AF30_ByRubLot[[#This Row],[131-140]]/AF30_ByRubLot3[[Total Charge]:[Total Charge]])</f>
        <v>0</v>
      </c>
      <c r="Q125">
        <v>0</v>
      </c>
      <c r="R125">
        <v>0</v>
      </c>
      <c r="S125" t="s">
        <v>73</v>
      </c>
      <c r="T125">
        <v>6</v>
      </c>
      <c r="U125" s="112"/>
      <c r="V125">
        <v>1788.8888888888887</v>
      </c>
      <c r="W125">
        <v>1636</v>
      </c>
      <c r="X125">
        <f t="shared" si="9"/>
        <v>91.453416149068332</v>
      </c>
      <c r="Y125">
        <f>SUM(AF30_ByRubLot3[[#This Row],[0-10]:[131-140]])</f>
        <v>0.99999999999999989</v>
      </c>
    </row>
    <row r="126" spans="1:25" x14ac:dyDescent="0.25">
      <c r="A126" t="s">
        <v>115</v>
      </c>
      <c r="B126" s="146" t="s">
        <v>261</v>
      </c>
      <c r="C126">
        <f>(AF30_ByRubLot[[#This Row],[0-10]]/AF30_ByRubLot3[[Total Charge]:[Total Charge]])</f>
        <v>0</v>
      </c>
      <c r="D126">
        <f>(AF30_ByRubLot[[#This Row],[11-20]]/AF30_ByRubLot3[[Total Charge]:[Total Charge]])</f>
        <v>0</v>
      </c>
      <c r="E126">
        <f>(AF30_ByRubLot[[#This Row],[21-30]]/AF30_ByRubLot3[[Total Charge]:[Total Charge]])</f>
        <v>0</v>
      </c>
      <c r="F126">
        <f>(AF30_ByRubLot[[#This Row],[31-40]]/AF30_ByRubLot3[[Total Charge]:[Total Charge]])</f>
        <v>0</v>
      </c>
      <c r="G126">
        <f>(AF30_ByRubLot[[#This Row],[41-50]]/AF30_ByRubLot3[[Total Charge]:[Total Charge]])</f>
        <v>0.16666666666666666</v>
      </c>
      <c r="H126">
        <f>(AF30_ByRubLot[[#This Row],[51-60]]/AF30_ByRubLot3[[Total Charge]:[Total Charge]])</f>
        <v>0</v>
      </c>
      <c r="I126">
        <f>(AF30_ByRubLot[[#This Row],[61-70]]/AF30_ByRubLot3[[Total Charge]:[Total Charge]])</f>
        <v>0.16666666666666666</v>
      </c>
      <c r="J126">
        <f>(AF30_ByRubLot[[#This Row],[71-80]]/AF30_ByRubLot3[[Total Charge]:[Total Charge]])</f>
        <v>0</v>
      </c>
      <c r="K126">
        <f>(AF30_ByRubLot[[#This Row],[81-90]]/AF30_ByRubLot3[[Total Charge]:[Total Charge]])</f>
        <v>0</v>
      </c>
      <c r="L126">
        <f>(AF30_ByRubLot[[#This Row],[91-100]]/AF30_ByRubLot3[[Total Charge]:[Total Charge]])</f>
        <v>0.33333333333333331</v>
      </c>
      <c r="M126">
        <f>(AF30_ByRubLot[[#This Row],[101-110]]/AF30_ByRubLot3[[Total Charge]:[Total Charge]])</f>
        <v>0.16666666666666666</v>
      </c>
      <c r="N126">
        <f>(AF30_ByRubLot[[#This Row],[111-120]]/AF30_ByRubLot3[[Total Charge]:[Total Charge]])</f>
        <v>0.16666666666666666</v>
      </c>
      <c r="O126">
        <f>(AF30_ByRubLot[[#This Row],[121-130]]/AF30_ByRubLot3[[Total Charge]:[Total Charge]])</f>
        <v>0</v>
      </c>
      <c r="P126">
        <f>(AF30_ByRubLot[[#This Row],[131-140]]/AF30_ByRubLot3[[Total Charge]:[Total Charge]])</f>
        <v>0</v>
      </c>
      <c r="Q126">
        <v>0</v>
      </c>
      <c r="R126">
        <v>0</v>
      </c>
      <c r="S126" t="s">
        <v>73</v>
      </c>
      <c r="T126">
        <v>6</v>
      </c>
      <c r="U126" s="112"/>
      <c r="V126">
        <v>1188.8888888888887</v>
      </c>
      <c r="W126">
        <v>1081.9999600000001</v>
      </c>
      <c r="X126">
        <f t="shared" si="9"/>
        <v>91.009342429906567</v>
      </c>
      <c r="Y126">
        <f>SUM(AF30_ByRubLot3[[#This Row],[0-10]:[131-140]])</f>
        <v>0.99999999999999989</v>
      </c>
    </row>
    <row r="127" spans="1:25" x14ac:dyDescent="0.25">
      <c r="A127" t="s">
        <v>115</v>
      </c>
      <c r="B127" s="146" t="s">
        <v>262</v>
      </c>
      <c r="C127">
        <f>(AF30_ByRubLot[[#This Row],[0-10]]/AF30_ByRubLot3[[Total Charge]:[Total Charge]])</f>
        <v>0</v>
      </c>
      <c r="D127">
        <f>(AF30_ByRubLot[[#This Row],[11-20]]/AF30_ByRubLot3[[Total Charge]:[Total Charge]])</f>
        <v>0</v>
      </c>
      <c r="E127">
        <f>(AF30_ByRubLot[[#This Row],[21-30]]/AF30_ByRubLot3[[Total Charge]:[Total Charge]])</f>
        <v>0</v>
      </c>
      <c r="F127">
        <f>(AF30_ByRubLot[[#This Row],[31-40]]/AF30_ByRubLot3[[Total Charge]:[Total Charge]])</f>
        <v>0</v>
      </c>
      <c r="G127">
        <f>(AF30_ByRubLot[[#This Row],[41-50]]/AF30_ByRubLot3[[Total Charge]:[Total Charge]])</f>
        <v>0.16666666666666666</v>
      </c>
      <c r="H127">
        <f>(AF30_ByRubLot[[#This Row],[51-60]]/AF30_ByRubLot3[[Total Charge]:[Total Charge]])</f>
        <v>0</v>
      </c>
      <c r="I127">
        <f>(AF30_ByRubLot[[#This Row],[61-70]]/AF30_ByRubLot3[[Total Charge]:[Total Charge]])</f>
        <v>0.16666666666666666</v>
      </c>
      <c r="J127">
        <f>(AF30_ByRubLot[[#This Row],[71-80]]/AF30_ByRubLot3[[Total Charge]:[Total Charge]])</f>
        <v>0</v>
      </c>
      <c r="K127">
        <f>(AF30_ByRubLot[[#This Row],[81-90]]/AF30_ByRubLot3[[Total Charge]:[Total Charge]])</f>
        <v>0</v>
      </c>
      <c r="L127">
        <f>(AF30_ByRubLot[[#This Row],[91-100]]/AF30_ByRubLot3[[Total Charge]:[Total Charge]])</f>
        <v>0.33333333333333331</v>
      </c>
      <c r="M127">
        <f>(AF30_ByRubLot[[#This Row],[101-110]]/AF30_ByRubLot3[[Total Charge]:[Total Charge]])</f>
        <v>0.16666666666666666</v>
      </c>
      <c r="N127">
        <f>(AF30_ByRubLot[[#This Row],[111-120]]/AF30_ByRubLot3[[Total Charge]:[Total Charge]])</f>
        <v>0.16666666666666666</v>
      </c>
      <c r="O127">
        <f>(AF30_ByRubLot[[#This Row],[121-130]]/AF30_ByRubLot3[[Total Charge]:[Total Charge]])</f>
        <v>0</v>
      </c>
      <c r="P127">
        <f>(AF30_ByRubLot[[#This Row],[131-140]]/AF30_ByRubLot3[[Total Charge]:[Total Charge]])</f>
        <v>0</v>
      </c>
      <c r="Q127">
        <v>0</v>
      </c>
      <c r="R127">
        <v>0</v>
      </c>
      <c r="S127" t="s">
        <v>73</v>
      </c>
      <c r="T127">
        <v>6</v>
      </c>
      <c r="U127" s="112"/>
      <c r="V127">
        <v>2009.4444444444443</v>
      </c>
      <c r="W127">
        <v>1840</v>
      </c>
      <c r="X127">
        <f t="shared" si="9"/>
        <v>91.56759745645563</v>
      </c>
      <c r="Y127">
        <f>SUM(AF30_ByRubLot3[[#This Row],[0-10]:[131-140]])</f>
        <v>0.99999999999999989</v>
      </c>
    </row>
    <row r="128" spans="1:25" x14ac:dyDescent="0.25">
      <c r="A128" t="s">
        <v>115</v>
      </c>
      <c r="B128" s="146" t="s">
        <v>263</v>
      </c>
      <c r="C128">
        <f>(AF30_ByRubLot[[#This Row],[0-10]]/AF30_ByRubLot3[[Total Charge]:[Total Charge]])</f>
        <v>0</v>
      </c>
      <c r="D128">
        <f>(AF30_ByRubLot[[#This Row],[11-20]]/AF30_ByRubLot3[[Total Charge]:[Total Charge]])</f>
        <v>0</v>
      </c>
      <c r="E128">
        <f>(AF30_ByRubLot[[#This Row],[21-30]]/AF30_ByRubLot3[[Total Charge]:[Total Charge]])</f>
        <v>0</v>
      </c>
      <c r="F128">
        <f>(AF30_ByRubLot[[#This Row],[31-40]]/AF30_ByRubLot3[[Total Charge]:[Total Charge]])</f>
        <v>0</v>
      </c>
      <c r="G128">
        <f>(AF30_ByRubLot[[#This Row],[41-50]]/AF30_ByRubLot3[[Total Charge]:[Total Charge]])</f>
        <v>0.16666666666666666</v>
      </c>
      <c r="H128">
        <f>(AF30_ByRubLot[[#This Row],[51-60]]/AF30_ByRubLot3[[Total Charge]:[Total Charge]])</f>
        <v>0</v>
      </c>
      <c r="I128">
        <f>(AF30_ByRubLot[[#This Row],[61-70]]/AF30_ByRubLot3[[Total Charge]:[Total Charge]])</f>
        <v>0.16666666666666666</v>
      </c>
      <c r="J128">
        <f>(AF30_ByRubLot[[#This Row],[71-80]]/AF30_ByRubLot3[[Total Charge]:[Total Charge]])</f>
        <v>0</v>
      </c>
      <c r="K128">
        <f>(AF30_ByRubLot[[#This Row],[81-90]]/AF30_ByRubLot3[[Total Charge]:[Total Charge]])</f>
        <v>0</v>
      </c>
      <c r="L128">
        <f>(AF30_ByRubLot[[#This Row],[91-100]]/AF30_ByRubLot3[[Total Charge]:[Total Charge]])</f>
        <v>0.33333333333333331</v>
      </c>
      <c r="M128">
        <f>(AF30_ByRubLot[[#This Row],[101-110]]/AF30_ByRubLot3[[Total Charge]:[Total Charge]])</f>
        <v>0.16666666666666666</v>
      </c>
      <c r="N128">
        <f>(AF30_ByRubLot[[#This Row],[111-120]]/AF30_ByRubLot3[[Total Charge]:[Total Charge]])</f>
        <v>0.16666666666666666</v>
      </c>
      <c r="O128">
        <f>(AF30_ByRubLot[[#This Row],[121-130]]/AF30_ByRubLot3[[Total Charge]:[Total Charge]])</f>
        <v>0</v>
      </c>
      <c r="P128">
        <f>(AF30_ByRubLot[[#This Row],[131-140]]/AF30_ByRubLot3[[Total Charge]:[Total Charge]])</f>
        <v>0</v>
      </c>
      <c r="Q128">
        <v>0</v>
      </c>
      <c r="R128">
        <v>0</v>
      </c>
      <c r="S128" t="s">
        <v>73</v>
      </c>
      <c r="T128">
        <v>6</v>
      </c>
      <c r="U128" s="112"/>
      <c r="V128">
        <v>2033.3333333333333</v>
      </c>
      <c r="W128">
        <v>1595.3333200000002</v>
      </c>
      <c r="X128">
        <f t="shared" si="9"/>
        <v>78.459015737704931</v>
      </c>
      <c r="Y128">
        <f>SUM(AF30_ByRubLot3[[#This Row],[0-10]:[131-140]])</f>
        <v>0.99999999999999989</v>
      </c>
    </row>
    <row r="129" spans="1:25" x14ac:dyDescent="0.25">
      <c r="A129" t="s">
        <v>115</v>
      </c>
      <c r="B129" s="146" t="s">
        <v>264</v>
      </c>
      <c r="C129">
        <f>(AF30_ByRubLot[[#This Row],[0-10]]/AF30_ByRubLot3[[Total Charge]:[Total Charge]])</f>
        <v>0</v>
      </c>
      <c r="D129">
        <f>(AF30_ByRubLot[[#This Row],[11-20]]/AF30_ByRubLot3[[Total Charge]:[Total Charge]])</f>
        <v>0</v>
      </c>
      <c r="E129">
        <f>(AF30_ByRubLot[[#This Row],[21-30]]/AF30_ByRubLot3[[Total Charge]:[Total Charge]])</f>
        <v>0</v>
      </c>
      <c r="F129">
        <f>(AF30_ByRubLot[[#This Row],[31-40]]/AF30_ByRubLot3[[Total Charge]:[Total Charge]])</f>
        <v>0</v>
      </c>
      <c r="G129">
        <f>(AF30_ByRubLot[[#This Row],[41-50]]/AF30_ByRubLot3[[Total Charge]:[Total Charge]])</f>
        <v>0.16666666666666666</v>
      </c>
      <c r="H129">
        <f>(AF30_ByRubLot[[#This Row],[51-60]]/AF30_ByRubLot3[[Total Charge]:[Total Charge]])</f>
        <v>0</v>
      </c>
      <c r="I129">
        <f>(AF30_ByRubLot[[#This Row],[61-70]]/AF30_ByRubLot3[[Total Charge]:[Total Charge]])</f>
        <v>0.16666666666666666</v>
      </c>
      <c r="J129">
        <f>(AF30_ByRubLot[[#This Row],[71-80]]/AF30_ByRubLot3[[Total Charge]:[Total Charge]])</f>
        <v>0</v>
      </c>
      <c r="K129">
        <f>(AF30_ByRubLot[[#This Row],[81-90]]/AF30_ByRubLot3[[Total Charge]:[Total Charge]])</f>
        <v>0</v>
      </c>
      <c r="L129">
        <f>(AF30_ByRubLot[[#This Row],[91-100]]/AF30_ByRubLot3[[Total Charge]:[Total Charge]])</f>
        <v>0.33333333333333331</v>
      </c>
      <c r="M129">
        <f>(AF30_ByRubLot[[#This Row],[101-110]]/AF30_ByRubLot3[[Total Charge]:[Total Charge]])</f>
        <v>0.16666666666666666</v>
      </c>
      <c r="N129">
        <f>(AF30_ByRubLot[[#This Row],[111-120]]/AF30_ByRubLot3[[Total Charge]:[Total Charge]])</f>
        <v>0.16666666666666666</v>
      </c>
      <c r="O129">
        <f>(AF30_ByRubLot[[#This Row],[121-130]]/AF30_ByRubLot3[[Total Charge]:[Total Charge]])</f>
        <v>0</v>
      </c>
      <c r="P129">
        <f>(AF30_ByRubLot[[#This Row],[131-140]]/AF30_ByRubLot3[[Total Charge]:[Total Charge]])</f>
        <v>0</v>
      </c>
      <c r="Q129">
        <v>0</v>
      </c>
      <c r="R129">
        <v>0</v>
      </c>
      <c r="S129" t="s">
        <v>73</v>
      </c>
      <c r="T129">
        <v>6</v>
      </c>
      <c r="U129" s="112"/>
      <c r="V129">
        <v>2644.4444444444443</v>
      </c>
      <c r="W129">
        <v>2161.6666599999999</v>
      </c>
      <c r="X129">
        <f t="shared" si="9"/>
        <v>81.74369722689076</v>
      </c>
      <c r="Y129">
        <f>SUM(AF30_ByRubLot3[[#This Row],[0-10]:[131-140]])</f>
        <v>0.99999999999999989</v>
      </c>
    </row>
    <row r="130" spans="1:25" x14ac:dyDescent="0.25">
      <c r="A130" t="s">
        <v>115</v>
      </c>
      <c r="B130" s="146" t="s">
        <v>265</v>
      </c>
      <c r="C130">
        <f>(AF30_ByRubLot[[#This Row],[0-10]]/AF30_ByRubLot3[[Total Charge]:[Total Charge]])</f>
        <v>0</v>
      </c>
      <c r="D130">
        <f>(AF30_ByRubLot[[#This Row],[11-20]]/AF30_ByRubLot3[[Total Charge]:[Total Charge]])</f>
        <v>0</v>
      </c>
      <c r="E130">
        <f>(AF30_ByRubLot[[#This Row],[21-30]]/AF30_ByRubLot3[[Total Charge]:[Total Charge]])</f>
        <v>0</v>
      </c>
      <c r="F130">
        <f>(AF30_ByRubLot[[#This Row],[31-40]]/AF30_ByRubLot3[[Total Charge]:[Total Charge]])</f>
        <v>0</v>
      </c>
      <c r="G130">
        <f>(AF30_ByRubLot[[#This Row],[41-50]]/AF30_ByRubLot3[[Total Charge]:[Total Charge]])</f>
        <v>0.16666666666666666</v>
      </c>
      <c r="H130">
        <f>(AF30_ByRubLot[[#This Row],[51-60]]/AF30_ByRubLot3[[Total Charge]:[Total Charge]])</f>
        <v>0</v>
      </c>
      <c r="I130">
        <f>(AF30_ByRubLot[[#This Row],[61-70]]/AF30_ByRubLot3[[Total Charge]:[Total Charge]])</f>
        <v>0.16666666666666666</v>
      </c>
      <c r="J130">
        <f>(AF30_ByRubLot[[#This Row],[71-80]]/AF30_ByRubLot3[[Total Charge]:[Total Charge]])</f>
        <v>0</v>
      </c>
      <c r="K130">
        <f>(AF30_ByRubLot[[#This Row],[81-90]]/AF30_ByRubLot3[[Total Charge]:[Total Charge]])</f>
        <v>0</v>
      </c>
      <c r="L130">
        <f>(AF30_ByRubLot[[#This Row],[91-100]]/AF30_ByRubLot3[[Total Charge]:[Total Charge]])</f>
        <v>0.33333333333333331</v>
      </c>
      <c r="M130">
        <f>(AF30_ByRubLot[[#This Row],[101-110]]/AF30_ByRubLot3[[Total Charge]:[Total Charge]])</f>
        <v>0.16666666666666666</v>
      </c>
      <c r="N130">
        <f>(AF30_ByRubLot[[#This Row],[111-120]]/AF30_ByRubLot3[[Total Charge]:[Total Charge]])</f>
        <v>0.16666666666666666</v>
      </c>
      <c r="O130">
        <f>(AF30_ByRubLot[[#This Row],[121-130]]/AF30_ByRubLot3[[Total Charge]:[Total Charge]])</f>
        <v>0</v>
      </c>
      <c r="P130">
        <f>(AF30_ByRubLot[[#This Row],[131-140]]/AF30_ByRubLot3[[Total Charge]:[Total Charge]])</f>
        <v>0</v>
      </c>
      <c r="Q130">
        <v>0</v>
      </c>
      <c r="R130">
        <v>0</v>
      </c>
      <c r="S130" t="s">
        <v>73</v>
      </c>
      <c r="T130">
        <v>6</v>
      </c>
      <c r="U130" s="112"/>
      <c r="V130">
        <v>1888.8888888888889</v>
      </c>
      <c r="W130">
        <v>1606.6666399999999</v>
      </c>
      <c r="X130">
        <f t="shared" si="9"/>
        <v>85.058822117647054</v>
      </c>
      <c r="Y130">
        <f>SUM(AF30_ByRubLot3[[#This Row],[0-10]:[131-140]])</f>
        <v>0.99999999999999989</v>
      </c>
    </row>
    <row r="131" spans="1:25" x14ac:dyDescent="0.25">
      <c r="A131" t="s">
        <v>115</v>
      </c>
      <c r="B131" s="146" t="s">
        <v>266</v>
      </c>
      <c r="C131">
        <f>(AF30_ByRubLot[[#This Row],[0-10]]/AF30_ByRubLot3[[Total Charge]:[Total Charge]])</f>
        <v>0</v>
      </c>
      <c r="D131">
        <f>(AF30_ByRubLot[[#This Row],[11-20]]/AF30_ByRubLot3[[Total Charge]:[Total Charge]])</f>
        <v>0</v>
      </c>
      <c r="E131">
        <f>(AF30_ByRubLot[[#This Row],[21-30]]/AF30_ByRubLot3[[Total Charge]:[Total Charge]])</f>
        <v>0</v>
      </c>
      <c r="F131">
        <f>(AF30_ByRubLot[[#This Row],[31-40]]/AF30_ByRubLot3[[Total Charge]:[Total Charge]])</f>
        <v>0</v>
      </c>
      <c r="G131">
        <f>(AF30_ByRubLot[[#This Row],[41-50]]/AF30_ByRubLot3[[Total Charge]:[Total Charge]])</f>
        <v>0.16666666666666666</v>
      </c>
      <c r="H131">
        <f>(AF30_ByRubLot[[#This Row],[51-60]]/AF30_ByRubLot3[[Total Charge]:[Total Charge]])</f>
        <v>0</v>
      </c>
      <c r="I131">
        <f>(AF30_ByRubLot[[#This Row],[61-70]]/AF30_ByRubLot3[[Total Charge]:[Total Charge]])</f>
        <v>0.16666666666666666</v>
      </c>
      <c r="J131">
        <f>(AF30_ByRubLot[[#This Row],[71-80]]/AF30_ByRubLot3[[Total Charge]:[Total Charge]])</f>
        <v>0</v>
      </c>
      <c r="K131">
        <f>(AF30_ByRubLot[[#This Row],[81-90]]/AF30_ByRubLot3[[Total Charge]:[Total Charge]])</f>
        <v>0</v>
      </c>
      <c r="L131">
        <f>(AF30_ByRubLot[[#This Row],[91-100]]/AF30_ByRubLot3[[Total Charge]:[Total Charge]])</f>
        <v>0.33333333333333331</v>
      </c>
      <c r="M131">
        <f>(AF30_ByRubLot[[#This Row],[101-110]]/AF30_ByRubLot3[[Total Charge]:[Total Charge]])</f>
        <v>0.16666666666666666</v>
      </c>
      <c r="N131">
        <f>(AF30_ByRubLot[[#This Row],[111-120]]/AF30_ByRubLot3[[Total Charge]:[Total Charge]])</f>
        <v>0.16666666666666666</v>
      </c>
      <c r="O131">
        <f>(AF30_ByRubLot[[#This Row],[121-130]]/AF30_ByRubLot3[[Total Charge]:[Total Charge]])</f>
        <v>0</v>
      </c>
      <c r="P131">
        <f>(AF30_ByRubLot[[#This Row],[131-140]]/AF30_ByRubLot3[[Total Charge]:[Total Charge]])</f>
        <v>0</v>
      </c>
      <c r="Q131">
        <v>0</v>
      </c>
      <c r="R131">
        <v>0</v>
      </c>
      <c r="S131" t="s">
        <v>73</v>
      </c>
      <c r="T131">
        <v>6</v>
      </c>
      <c r="U131" s="112"/>
      <c r="V131">
        <v>1694.4444444444443</v>
      </c>
      <c r="W131">
        <v>1508</v>
      </c>
      <c r="X131">
        <f t="shared" si="9"/>
        <v>88.996721311475412</v>
      </c>
      <c r="Y131">
        <f>SUM(AF30_ByRubLot3[[#This Row],[0-10]:[131-140]])</f>
        <v>0.99999999999999989</v>
      </c>
    </row>
    <row r="132" spans="1:25" x14ac:dyDescent="0.25">
      <c r="A132" t="s">
        <v>115</v>
      </c>
      <c r="B132" s="146" t="s">
        <v>267</v>
      </c>
      <c r="C132">
        <f>(AF30_ByRubLot[[#This Row],[0-10]]/AF30_ByRubLot3[[Total Charge]:[Total Charge]])</f>
        <v>0</v>
      </c>
      <c r="D132">
        <f>(AF30_ByRubLot[[#This Row],[11-20]]/AF30_ByRubLot3[[Total Charge]:[Total Charge]])</f>
        <v>0</v>
      </c>
      <c r="E132">
        <f>(AF30_ByRubLot[[#This Row],[21-30]]/AF30_ByRubLot3[[Total Charge]:[Total Charge]])</f>
        <v>0</v>
      </c>
      <c r="F132">
        <f>(AF30_ByRubLot[[#This Row],[31-40]]/AF30_ByRubLot3[[Total Charge]:[Total Charge]])</f>
        <v>0</v>
      </c>
      <c r="G132">
        <f>(AF30_ByRubLot[[#This Row],[41-50]]/AF30_ByRubLot3[[Total Charge]:[Total Charge]])</f>
        <v>0.16666666666666666</v>
      </c>
      <c r="H132">
        <f>(AF30_ByRubLot[[#This Row],[51-60]]/AF30_ByRubLot3[[Total Charge]:[Total Charge]])</f>
        <v>0</v>
      </c>
      <c r="I132">
        <f>(AF30_ByRubLot[[#This Row],[61-70]]/AF30_ByRubLot3[[Total Charge]:[Total Charge]])</f>
        <v>0.16666666666666666</v>
      </c>
      <c r="J132">
        <f>(AF30_ByRubLot[[#This Row],[71-80]]/AF30_ByRubLot3[[Total Charge]:[Total Charge]])</f>
        <v>0</v>
      </c>
      <c r="K132">
        <f>(AF30_ByRubLot[[#This Row],[81-90]]/AF30_ByRubLot3[[Total Charge]:[Total Charge]])</f>
        <v>0</v>
      </c>
      <c r="L132">
        <f>(AF30_ByRubLot[[#This Row],[91-100]]/AF30_ByRubLot3[[Total Charge]:[Total Charge]])</f>
        <v>0.33333333333333331</v>
      </c>
      <c r="M132">
        <f>(AF30_ByRubLot[[#This Row],[101-110]]/AF30_ByRubLot3[[Total Charge]:[Total Charge]])</f>
        <v>0.16666666666666666</v>
      </c>
      <c r="N132">
        <f>(AF30_ByRubLot[[#This Row],[111-120]]/AF30_ByRubLot3[[Total Charge]:[Total Charge]])</f>
        <v>0.16666666666666666</v>
      </c>
      <c r="O132">
        <f>(AF30_ByRubLot[[#This Row],[121-130]]/AF30_ByRubLot3[[Total Charge]:[Total Charge]])</f>
        <v>0</v>
      </c>
      <c r="P132">
        <f>(AF30_ByRubLot[[#This Row],[131-140]]/AF30_ByRubLot3[[Total Charge]:[Total Charge]])</f>
        <v>0</v>
      </c>
      <c r="Q132">
        <v>0</v>
      </c>
      <c r="R132">
        <v>0</v>
      </c>
      <c r="S132" t="s">
        <v>73</v>
      </c>
      <c r="T132">
        <v>6</v>
      </c>
      <c r="U132" s="112"/>
      <c r="V132">
        <v>2641.666666666667</v>
      </c>
      <c r="W132">
        <v>2240</v>
      </c>
      <c r="X132">
        <f t="shared" si="9"/>
        <v>84.794952681387997</v>
      </c>
      <c r="Y132">
        <f>SUM(AF30_ByRubLot3[[#This Row],[0-10]:[131-140]])</f>
        <v>0.99999999999999989</v>
      </c>
    </row>
    <row r="133" spans="1:25" x14ac:dyDescent="0.25">
      <c r="A133" t="s">
        <v>115</v>
      </c>
      <c r="B133" s="146" t="s">
        <v>268</v>
      </c>
      <c r="C133">
        <f>(AF30_ByRubLot[[#This Row],[0-10]]/AF30_ByRubLot3[[Total Charge]:[Total Charge]])</f>
        <v>0</v>
      </c>
      <c r="D133">
        <f>(AF30_ByRubLot[[#This Row],[11-20]]/AF30_ByRubLot3[[Total Charge]:[Total Charge]])</f>
        <v>0</v>
      </c>
      <c r="E133">
        <f>(AF30_ByRubLot[[#This Row],[21-30]]/AF30_ByRubLot3[[Total Charge]:[Total Charge]])</f>
        <v>0</v>
      </c>
      <c r="F133">
        <f>(AF30_ByRubLot[[#This Row],[31-40]]/AF30_ByRubLot3[[Total Charge]:[Total Charge]])</f>
        <v>0</v>
      </c>
      <c r="G133">
        <f>(AF30_ByRubLot[[#This Row],[41-50]]/AF30_ByRubLot3[[Total Charge]:[Total Charge]])</f>
        <v>0.16666666666666666</v>
      </c>
      <c r="H133">
        <f>(AF30_ByRubLot[[#This Row],[51-60]]/AF30_ByRubLot3[[Total Charge]:[Total Charge]])</f>
        <v>0</v>
      </c>
      <c r="I133">
        <f>(AF30_ByRubLot[[#This Row],[61-70]]/AF30_ByRubLot3[[Total Charge]:[Total Charge]])</f>
        <v>0.16666666666666666</v>
      </c>
      <c r="J133">
        <f>(AF30_ByRubLot[[#This Row],[71-80]]/AF30_ByRubLot3[[Total Charge]:[Total Charge]])</f>
        <v>0</v>
      </c>
      <c r="K133">
        <f>(AF30_ByRubLot[[#This Row],[81-90]]/AF30_ByRubLot3[[Total Charge]:[Total Charge]])</f>
        <v>0</v>
      </c>
      <c r="L133">
        <f>(AF30_ByRubLot[[#This Row],[91-100]]/AF30_ByRubLot3[[Total Charge]:[Total Charge]])</f>
        <v>0.33333333333333331</v>
      </c>
      <c r="M133">
        <f>(AF30_ByRubLot[[#This Row],[101-110]]/AF30_ByRubLot3[[Total Charge]:[Total Charge]])</f>
        <v>0.16666666666666666</v>
      </c>
      <c r="N133">
        <f>(AF30_ByRubLot[[#This Row],[111-120]]/AF30_ByRubLot3[[Total Charge]:[Total Charge]])</f>
        <v>0.16666666666666666</v>
      </c>
      <c r="O133">
        <f>(AF30_ByRubLot[[#This Row],[121-130]]/AF30_ByRubLot3[[Total Charge]:[Total Charge]])</f>
        <v>0</v>
      </c>
      <c r="P133">
        <f>(AF30_ByRubLot[[#This Row],[131-140]]/AF30_ByRubLot3[[Total Charge]:[Total Charge]])</f>
        <v>0</v>
      </c>
      <c r="Q133">
        <v>0</v>
      </c>
      <c r="R133">
        <v>0</v>
      </c>
      <c r="S133" t="s">
        <v>73</v>
      </c>
      <c r="T133">
        <v>6</v>
      </c>
      <c r="U133" s="112"/>
      <c r="V133">
        <v>1986.1111111111109</v>
      </c>
      <c r="W133">
        <v>1793.6666599999999</v>
      </c>
      <c r="X133">
        <f t="shared" si="9"/>
        <v>90.310489174825179</v>
      </c>
      <c r="Y133">
        <f>SUM(AF30_ByRubLot3[[#This Row],[0-10]:[131-140]])</f>
        <v>0.99999999999999989</v>
      </c>
    </row>
    <row r="134" spans="1:25" x14ac:dyDescent="0.25">
      <c r="A134" t="s">
        <v>115</v>
      </c>
      <c r="B134" s="146" t="s">
        <v>269</v>
      </c>
      <c r="C134">
        <f>(AF30_ByRubLot[[#This Row],[0-10]]/AF30_ByRubLot3[[Total Charge]:[Total Charge]])</f>
        <v>0</v>
      </c>
      <c r="D134">
        <f>(AF30_ByRubLot[[#This Row],[11-20]]/AF30_ByRubLot3[[Total Charge]:[Total Charge]])</f>
        <v>0</v>
      </c>
      <c r="E134">
        <f>(AF30_ByRubLot[[#This Row],[21-30]]/AF30_ByRubLot3[[Total Charge]:[Total Charge]])</f>
        <v>0</v>
      </c>
      <c r="F134">
        <f>(AF30_ByRubLot[[#This Row],[31-40]]/AF30_ByRubLot3[[Total Charge]:[Total Charge]])</f>
        <v>0</v>
      </c>
      <c r="G134">
        <f>(AF30_ByRubLot[[#This Row],[41-50]]/AF30_ByRubLot3[[Total Charge]:[Total Charge]])</f>
        <v>0.16666666666666666</v>
      </c>
      <c r="H134">
        <f>(AF30_ByRubLot[[#This Row],[51-60]]/AF30_ByRubLot3[[Total Charge]:[Total Charge]])</f>
        <v>0</v>
      </c>
      <c r="I134">
        <f>(AF30_ByRubLot[[#This Row],[61-70]]/AF30_ByRubLot3[[Total Charge]:[Total Charge]])</f>
        <v>0.16666666666666666</v>
      </c>
      <c r="J134">
        <f>(AF30_ByRubLot[[#This Row],[71-80]]/AF30_ByRubLot3[[Total Charge]:[Total Charge]])</f>
        <v>0</v>
      </c>
      <c r="K134">
        <f>(AF30_ByRubLot[[#This Row],[81-90]]/AF30_ByRubLot3[[Total Charge]:[Total Charge]])</f>
        <v>0</v>
      </c>
      <c r="L134">
        <f>(AF30_ByRubLot[[#This Row],[91-100]]/AF30_ByRubLot3[[Total Charge]:[Total Charge]])</f>
        <v>0.33333333333333331</v>
      </c>
      <c r="M134">
        <f>(AF30_ByRubLot[[#This Row],[101-110]]/AF30_ByRubLot3[[Total Charge]:[Total Charge]])</f>
        <v>0.16666666666666666</v>
      </c>
      <c r="N134">
        <f>(AF30_ByRubLot[[#This Row],[111-120]]/AF30_ByRubLot3[[Total Charge]:[Total Charge]])</f>
        <v>0.16666666666666666</v>
      </c>
      <c r="O134">
        <f>(AF30_ByRubLot[[#This Row],[121-130]]/AF30_ByRubLot3[[Total Charge]:[Total Charge]])</f>
        <v>0</v>
      </c>
      <c r="P134">
        <f>(AF30_ByRubLot[[#This Row],[131-140]]/AF30_ByRubLot3[[Total Charge]:[Total Charge]])</f>
        <v>0</v>
      </c>
      <c r="Q134">
        <v>0</v>
      </c>
      <c r="R134">
        <v>0</v>
      </c>
      <c r="S134" t="s">
        <v>73</v>
      </c>
      <c r="T134">
        <v>6</v>
      </c>
      <c r="U134" s="112"/>
      <c r="V134">
        <v>1961.1111111111111</v>
      </c>
      <c r="W134">
        <v>1801.6666600000001</v>
      </c>
      <c r="X134">
        <f t="shared" si="9"/>
        <v>91.869688045325788</v>
      </c>
      <c r="Y134">
        <f>SUM(AF30_ByRubLot3[[#This Row],[0-10]:[131-140]])</f>
        <v>0.99999999999999989</v>
      </c>
    </row>
    <row r="135" spans="1:25" x14ac:dyDescent="0.25">
      <c r="A135" t="s">
        <v>115</v>
      </c>
      <c r="B135" s="146" t="s">
        <v>270</v>
      </c>
      <c r="C135">
        <f>(AF30_ByRubLot[[#This Row],[0-10]]/AF30_ByRubLot3[[Total Charge]:[Total Charge]])</f>
        <v>0</v>
      </c>
      <c r="D135">
        <f>(AF30_ByRubLot[[#This Row],[11-20]]/AF30_ByRubLot3[[Total Charge]:[Total Charge]])</f>
        <v>0</v>
      </c>
      <c r="E135">
        <f>(AF30_ByRubLot[[#This Row],[21-30]]/AF30_ByRubLot3[[Total Charge]:[Total Charge]])</f>
        <v>0</v>
      </c>
      <c r="F135">
        <f>(AF30_ByRubLot[[#This Row],[31-40]]/AF30_ByRubLot3[[Total Charge]:[Total Charge]])</f>
        <v>0</v>
      </c>
      <c r="G135">
        <f>(AF30_ByRubLot[[#This Row],[41-50]]/AF30_ByRubLot3[[Total Charge]:[Total Charge]])</f>
        <v>0.16666666666666666</v>
      </c>
      <c r="H135">
        <f>(AF30_ByRubLot[[#This Row],[51-60]]/AF30_ByRubLot3[[Total Charge]:[Total Charge]])</f>
        <v>0</v>
      </c>
      <c r="I135">
        <f>(AF30_ByRubLot[[#This Row],[61-70]]/AF30_ByRubLot3[[Total Charge]:[Total Charge]])</f>
        <v>0.16666666666666666</v>
      </c>
      <c r="J135">
        <f>(AF30_ByRubLot[[#This Row],[71-80]]/AF30_ByRubLot3[[Total Charge]:[Total Charge]])</f>
        <v>0</v>
      </c>
      <c r="K135">
        <f>(AF30_ByRubLot[[#This Row],[81-90]]/AF30_ByRubLot3[[Total Charge]:[Total Charge]])</f>
        <v>0</v>
      </c>
      <c r="L135">
        <f>(AF30_ByRubLot[[#This Row],[91-100]]/AF30_ByRubLot3[[Total Charge]:[Total Charge]])</f>
        <v>0.33333333333333331</v>
      </c>
      <c r="M135">
        <f>(AF30_ByRubLot[[#This Row],[101-110]]/AF30_ByRubLot3[[Total Charge]:[Total Charge]])</f>
        <v>0.16666666666666666</v>
      </c>
      <c r="N135">
        <f>(AF30_ByRubLot[[#This Row],[111-120]]/AF30_ByRubLot3[[Total Charge]:[Total Charge]])</f>
        <v>0.16666666666666666</v>
      </c>
      <c r="O135">
        <f>(AF30_ByRubLot[[#This Row],[121-130]]/AF30_ByRubLot3[[Total Charge]:[Total Charge]])</f>
        <v>0</v>
      </c>
      <c r="P135">
        <f>(AF30_ByRubLot[[#This Row],[131-140]]/AF30_ByRubLot3[[Total Charge]:[Total Charge]])</f>
        <v>0</v>
      </c>
      <c r="Q135">
        <v>0</v>
      </c>
      <c r="R135">
        <v>0</v>
      </c>
      <c r="S135" t="s">
        <v>73</v>
      </c>
      <c r="T135">
        <v>6</v>
      </c>
      <c r="U135" s="112"/>
      <c r="V135">
        <v>2713.8888888888887</v>
      </c>
      <c r="W135">
        <v>2552</v>
      </c>
      <c r="X135">
        <f t="shared" si="9"/>
        <v>94.03480040941659</v>
      </c>
      <c r="Y135">
        <f>SUM(AF30_ByRubLot3[[#This Row],[0-10]:[131-140]])</f>
        <v>0.99999999999999989</v>
      </c>
    </row>
    <row r="136" spans="1:25" x14ac:dyDescent="0.25">
      <c r="A136" t="s">
        <v>115</v>
      </c>
      <c r="B136" s="146" t="s">
        <v>271</v>
      </c>
      <c r="C136">
        <f>(AF30_ByRubLot[[#This Row],[0-10]]/AF30_ByRubLot3[[Total Charge]:[Total Charge]])</f>
        <v>0</v>
      </c>
      <c r="D136">
        <f>(AF30_ByRubLot[[#This Row],[11-20]]/AF30_ByRubLot3[[Total Charge]:[Total Charge]])</f>
        <v>0</v>
      </c>
      <c r="E136">
        <f>(AF30_ByRubLot[[#This Row],[21-30]]/AF30_ByRubLot3[[Total Charge]:[Total Charge]])</f>
        <v>0</v>
      </c>
      <c r="F136">
        <f>(AF30_ByRubLot[[#This Row],[31-40]]/AF30_ByRubLot3[[Total Charge]:[Total Charge]])</f>
        <v>0</v>
      </c>
      <c r="G136">
        <f>(AF30_ByRubLot[[#This Row],[41-50]]/AF30_ByRubLot3[[Total Charge]:[Total Charge]])</f>
        <v>0.16666666666666666</v>
      </c>
      <c r="H136">
        <f>(AF30_ByRubLot[[#This Row],[51-60]]/AF30_ByRubLot3[[Total Charge]:[Total Charge]])</f>
        <v>0</v>
      </c>
      <c r="I136">
        <f>(AF30_ByRubLot[[#This Row],[61-70]]/AF30_ByRubLot3[[Total Charge]:[Total Charge]])</f>
        <v>0.16666666666666666</v>
      </c>
      <c r="J136">
        <f>(AF30_ByRubLot[[#This Row],[71-80]]/AF30_ByRubLot3[[Total Charge]:[Total Charge]])</f>
        <v>0</v>
      </c>
      <c r="K136">
        <f>(AF30_ByRubLot[[#This Row],[81-90]]/AF30_ByRubLot3[[Total Charge]:[Total Charge]])</f>
        <v>0</v>
      </c>
      <c r="L136">
        <f>(AF30_ByRubLot[[#This Row],[91-100]]/AF30_ByRubLot3[[Total Charge]:[Total Charge]])</f>
        <v>0.33333333333333331</v>
      </c>
      <c r="M136">
        <f>(AF30_ByRubLot[[#This Row],[101-110]]/AF30_ByRubLot3[[Total Charge]:[Total Charge]])</f>
        <v>0.16666666666666666</v>
      </c>
      <c r="N136">
        <f>(AF30_ByRubLot[[#This Row],[111-120]]/AF30_ByRubLot3[[Total Charge]:[Total Charge]])</f>
        <v>0.16666666666666666</v>
      </c>
      <c r="O136">
        <f>(AF30_ByRubLot[[#This Row],[121-130]]/AF30_ByRubLot3[[Total Charge]:[Total Charge]])</f>
        <v>0</v>
      </c>
      <c r="P136">
        <f>(AF30_ByRubLot[[#This Row],[131-140]]/AF30_ByRubLot3[[Total Charge]:[Total Charge]])</f>
        <v>0</v>
      </c>
      <c r="Q136">
        <v>0</v>
      </c>
      <c r="R136">
        <v>0</v>
      </c>
      <c r="S136" t="s">
        <v>73</v>
      </c>
      <c r="T136">
        <v>6</v>
      </c>
      <c r="U136" s="112"/>
      <c r="V136">
        <v>2533.3333333333335</v>
      </c>
      <c r="W136">
        <v>2320</v>
      </c>
      <c r="X136">
        <f t="shared" si="9"/>
        <v>91.578947368421055</v>
      </c>
      <c r="Y136">
        <f>SUM(AF30_ByRubLot3[[#This Row],[0-10]:[131-140]])</f>
        <v>0.99999999999999989</v>
      </c>
    </row>
    <row r="137" spans="1:25" x14ac:dyDescent="0.25">
      <c r="A137" t="s">
        <v>115</v>
      </c>
      <c r="B137" s="146" t="s">
        <v>272</v>
      </c>
      <c r="C137">
        <f>(AF30_ByRubLot[[#This Row],[0-10]]/AF30_ByRubLot3[[Total Charge]:[Total Charge]])</f>
        <v>0</v>
      </c>
      <c r="D137">
        <f>(AF30_ByRubLot[[#This Row],[11-20]]/AF30_ByRubLot3[[Total Charge]:[Total Charge]])</f>
        <v>0</v>
      </c>
      <c r="E137">
        <f>(AF30_ByRubLot[[#This Row],[21-30]]/AF30_ByRubLot3[[Total Charge]:[Total Charge]])</f>
        <v>0</v>
      </c>
      <c r="F137">
        <f>(AF30_ByRubLot[[#This Row],[31-40]]/AF30_ByRubLot3[[Total Charge]:[Total Charge]])</f>
        <v>0</v>
      </c>
      <c r="G137">
        <f>(AF30_ByRubLot[[#This Row],[41-50]]/AF30_ByRubLot3[[Total Charge]:[Total Charge]])</f>
        <v>0.16666666666666666</v>
      </c>
      <c r="H137">
        <f>(AF30_ByRubLot[[#This Row],[51-60]]/AF30_ByRubLot3[[Total Charge]:[Total Charge]])</f>
        <v>0</v>
      </c>
      <c r="I137">
        <f>(AF30_ByRubLot[[#This Row],[61-70]]/AF30_ByRubLot3[[Total Charge]:[Total Charge]])</f>
        <v>0.16666666666666666</v>
      </c>
      <c r="J137">
        <f>(AF30_ByRubLot[[#This Row],[71-80]]/AF30_ByRubLot3[[Total Charge]:[Total Charge]])</f>
        <v>0</v>
      </c>
      <c r="K137">
        <f>(AF30_ByRubLot[[#This Row],[81-90]]/AF30_ByRubLot3[[Total Charge]:[Total Charge]])</f>
        <v>0</v>
      </c>
      <c r="L137">
        <f>(AF30_ByRubLot[[#This Row],[91-100]]/AF30_ByRubLot3[[Total Charge]:[Total Charge]])</f>
        <v>0.33333333333333331</v>
      </c>
      <c r="M137">
        <f>(AF30_ByRubLot[[#This Row],[101-110]]/AF30_ByRubLot3[[Total Charge]:[Total Charge]])</f>
        <v>0.16666666666666666</v>
      </c>
      <c r="N137">
        <f>(AF30_ByRubLot[[#This Row],[111-120]]/AF30_ByRubLot3[[Total Charge]:[Total Charge]])</f>
        <v>0.16666666666666666</v>
      </c>
      <c r="O137">
        <f>(AF30_ByRubLot[[#This Row],[121-130]]/AF30_ByRubLot3[[Total Charge]:[Total Charge]])</f>
        <v>0</v>
      </c>
      <c r="P137">
        <f>(AF30_ByRubLot[[#This Row],[131-140]]/AF30_ByRubLot3[[Total Charge]:[Total Charge]])</f>
        <v>0</v>
      </c>
      <c r="Q137">
        <v>0</v>
      </c>
      <c r="R137">
        <v>0</v>
      </c>
      <c r="S137" t="s">
        <v>73</v>
      </c>
      <c r="T137">
        <v>6</v>
      </c>
      <c r="U137" s="112"/>
      <c r="V137">
        <v>2033.3333333333333</v>
      </c>
      <c r="W137">
        <v>1876</v>
      </c>
      <c r="X137">
        <f t="shared" si="9"/>
        <v>92.26229508196721</v>
      </c>
      <c r="Y137">
        <f>SUM(AF30_ByRubLot3[[#This Row],[0-10]:[131-140]])</f>
        <v>0.99999999999999989</v>
      </c>
    </row>
    <row r="138" spans="1:25" x14ac:dyDescent="0.25">
      <c r="A138" t="s">
        <v>115</v>
      </c>
      <c r="B138" s="146" t="s">
        <v>273</v>
      </c>
      <c r="C138">
        <f>(AF30_ByRubLot[[#This Row],[0-10]]/AF30_ByRubLot3[[Total Charge]:[Total Charge]])</f>
        <v>0</v>
      </c>
      <c r="D138">
        <f>(AF30_ByRubLot[[#This Row],[11-20]]/AF30_ByRubLot3[[Total Charge]:[Total Charge]])</f>
        <v>0</v>
      </c>
      <c r="E138">
        <f>(AF30_ByRubLot[[#This Row],[21-30]]/AF30_ByRubLot3[[Total Charge]:[Total Charge]])</f>
        <v>0</v>
      </c>
      <c r="F138">
        <f>(AF30_ByRubLot[[#This Row],[31-40]]/AF30_ByRubLot3[[Total Charge]:[Total Charge]])</f>
        <v>0</v>
      </c>
      <c r="G138">
        <f>(AF30_ByRubLot[[#This Row],[41-50]]/AF30_ByRubLot3[[Total Charge]:[Total Charge]])</f>
        <v>0.16666666666666666</v>
      </c>
      <c r="H138">
        <f>(AF30_ByRubLot[[#This Row],[51-60]]/AF30_ByRubLot3[[Total Charge]:[Total Charge]])</f>
        <v>0</v>
      </c>
      <c r="I138">
        <f>(AF30_ByRubLot[[#This Row],[61-70]]/AF30_ByRubLot3[[Total Charge]:[Total Charge]])</f>
        <v>0.16666666666666666</v>
      </c>
      <c r="J138">
        <f>(AF30_ByRubLot[[#This Row],[71-80]]/AF30_ByRubLot3[[Total Charge]:[Total Charge]])</f>
        <v>0</v>
      </c>
      <c r="K138">
        <f>(AF30_ByRubLot[[#This Row],[81-90]]/AF30_ByRubLot3[[Total Charge]:[Total Charge]])</f>
        <v>0</v>
      </c>
      <c r="L138">
        <f>(AF30_ByRubLot[[#This Row],[91-100]]/AF30_ByRubLot3[[Total Charge]:[Total Charge]])</f>
        <v>0.33333333333333331</v>
      </c>
      <c r="M138">
        <f>(AF30_ByRubLot[[#This Row],[101-110]]/AF30_ByRubLot3[[Total Charge]:[Total Charge]])</f>
        <v>0.16666666666666666</v>
      </c>
      <c r="N138">
        <f>(AF30_ByRubLot[[#This Row],[111-120]]/AF30_ByRubLot3[[Total Charge]:[Total Charge]])</f>
        <v>0.16666666666666666</v>
      </c>
      <c r="O138">
        <f>(AF30_ByRubLot[[#This Row],[121-130]]/AF30_ByRubLot3[[Total Charge]:[Total Charge]])</f>
        <v>0</v>
      </c>
      <c r="P138">
        <f>(AF30_ByRubLot[[#This Row],[131-140]]/AF30_ByRubLot3[[Total Charge]:[Total Charge]])</f>
        <v>0</v>
      </c>
      <c r="Q138">
        <v>0</v>
      </c>
      <c r="R138">
        <v>0</v>
      </c>
      <c r="S138" t="s">
        <v>73</v>
      </c>
      <c r="T138">
        <v>6</v>
      </c>
      <c r="U138" s="112"/>
      <c r="V138">
        <v>2651.6666666666665</v>
      </c>
      <c r="W138">
        <v>2361.6666599999999</v>
      </c>
      <c r="X138">
        <f>(W138/V138)*100</f>
        <v>89.063481835323699</v>
      </c>
      <c r="Y138">
        <f>SUM(AF30_ByRubLot3[[#This Row],[0-10]:[131-140]])</f>
        <v>0.99999999999999989</v>
      </c>
    </row>
    <row r="139" spans="1:25" x14ac:dyDescent="0.25">
      <c r="A139" t="s">
        <v>115</v>
      </c>
      <c r="B139" s="146" t="s">
        <v>274</v>
      </c>
      <c r="C139">
        <f>(AF30_ByRubLot[[#This Row],[0-10]]/AF30_ByRubLot3[[Total Charge]:[Total Charge]])</f>
        <v>0</v>
      </c>
      <c r="D139">
        <f>(AF30_ByRubLot[[#This Row],[11-20]]/AF30_ByRubLot3[[Total Charge]:[Total Charge]])</f>
        <v>0</v>
      </c>
      <c r="E139">
        <f>(AF30_ByRubLot[[#This Row],[21-30]]/AF30_ByRubLot3[[Total Charge]:[Total Charge]])</f>
        <v>0</v>
      </c>
      <c r="F139">
        <f>(AF30_ByRubLot[[#This Row],[31-40]]/AF30_ByRubLot3[[Total Charge]:[Total Charge]])</f>
        <v>0</v>
      </c>
      <c r="G139">
        <f>(AF30_ByRubLot[[#This Row],[41-50]]/AF30_ByRubLot3[[Total Charge]:[Total Charge]])</f>
        <v>0.16666666666666666</v>
      </c>
      <c r="H139">
        <f>(AF30_ByRubLot[[#This Row],[51-60]]/AF30_ByRubLot3[[Total Charge]:[Total Charge]])</f>
        <v>0</v>
      </c>
      <c r="I139">
        <f>(AF30_ByRubLot[[#This Row],[61-70]]/AF30_ByRubLot3[[Total Charge]:[Total Charge]])</f>
        <v>0.16666666666666666</v>
      </c>
      <c r="J139">
        <f>(AF30_ByRubLot[[#This Row],[71-80]]/AF30_ByRubLot3[[Total Charge]:[Total Charge]])</f>
        <v>0</v>
      </c>
      <c r="K139">
        <f>(AF30_ByRubLot[[#This Row],[81-90]]/AF30_ByRubLot3[[Total Charge]:[Total Charge]])</f>
        <v>0</v>
      </c>
      <c r="L139">
        <f>(AF30_ByRubLot[[#This Row],[91-100]]/AF30_ByRubLot3[[Total Charge]:[Total Charge]])</f>
        <v>0.33333333333333331</v>
      </c>
      <c r="M139">
        <f>(AF30_ByRubLot[[#This Row],[101-110]]/AF30_ByRubLot3[[Total Charge]:[Total Charge]])</f>
        <v>0.16666666666666666</v>
      </c>
      <c r="N139">
        <f>(AF30_ByRubLot[[#This Row],[111-120]]/AF30_ByRubLot3[[Total Charge]:[Total Charge]])</f>
        <v>0.16666666666666666</v>
      </c>
      <c r="O139">
        <f>(AF30_ByRubLot[[#This Row],[121-130]]/AF30_ByRubLot3[[Total Charge]:[Total Charge]])</f>
        <v>0</v>
      </c>
      <c r="P139">
        <f>(AF30_ByRubLot[[#This Row],[131-140]]/AF30_ByRubLot3[[Total Charge]:[Total Charge]])</f>
        <v>0</v>
      </c>
      <c r="Q139">
        <v>0</v>
      </c>
      <c r="R139">
        <v>0</v>
      </c>
      <c r="S139" t="s">
        <v>73</v>
      </c>
      <c r="T139">
        <v>6</v>
      </c>
      <c r="U139" s="112"/>
      <c r="V139">
        <v>2639.4444444444448</v>
      </c>
      <c r="W139">
        <v>2348</v>
      </c>
      <c r="X139">
        <f t="shared" ref="X139:X140" si="10">(W139/V139)*100</f>
        <v>88.958114081246038</v>
      </c>
      <c r="Y139">
        <f>SUM(AF30_ByRubLot3[[#This Row],[0-10]:[131-140]])</f>
        <v>0.99999999999999989</v>
      </c>
    </row>
    <row r="140" spans="1:25" x14ac:dyDescent="0.25">
      <c r="A140" t="s">
        <v>115</v>
      </c>
      <c r="B140" s="146" t="s">
        <v>275</v>
      </c>
      <c r="C140">
        <f>(AF30_ByRubLot[[#This Row],[0-10]]/AF30_ByRubLot3[[Total Charge]:[Total Charge]])</f>
        <v>0</v>
      </c>
      <c r="D140">
        <f>(AF30_ByRubLot[[#This Row],[11-20]]/AF30_ByRubLot3[[Total Charge]:[Total Charge]])</f>
        <v>0</v>
      </c>
      <c r="E140">
        <f>(AF30_ByRubLot[[#This Row],[21-30]]/AF30_ByRubLot3[[Total Charge]:[Total Charge]])</f>
        <v>0</v>
      </c>
      <c r="F140">
        <f>(AF30_ByRubLot[[#This Row],[31-40]]/AF30_ByRubLot3[[Total Charge]:[Total Charge]])</f>
        <v>0</v>
      </c>
      <c r="G140">
        <f>(AF30_ByRubLot[[#This Row],[41-50]]/AF30_ByRubLot3[[Total Charge]:[Total Charge]])</f>
        <v>0.16666666666666666</v>
      </c>
      <c r="H140">
        <f>(AF30_ByRubLot[[#This Row],[51-60]]/AF30_ByRubLot3[[Total Charge]:[Total Charge]])</f>
        <v>0</v>
      </c>
      <c r="I140">
        <f>(AF30_ByRubLot[[#This Row],[61-70]]/AF30_ByRubLot3[[Total Charge]:[Total Charge]])</f>
        <v>0.16666666666666666</v>
      </c>
      <c r="J140">
        <f>(AF30_ByRubLot[[#This Row],[71-80]]/AF30_ByRubLot3[[Total Charge]:[Total Charge]])</f>
        <v>0</v>
      </c>
      <c r="K140">
        <f>(AF30_ByRubLot[[#This Row],[81-90]]/AF30_ByRubLot3[[Total Charge]:[Total Charge]])</f>
        <v>0</v>
      </c>
      <c r="L140">
        <f>(AF30_ByRubLot[[#This Row],[91-100]]/AF30_ByRubLot3[[Total Charge]:[Total Charge]])</f>
        <v>0.33333333333333331</v>
      </c>
      <c r="M140">
        <f>(AF30_ByRubLot[[#This Row],[101-110]]/AF30_ByRubLot3[[Total Charge]:[Total Charge]])</f>
        <v>0.16666666666666666</v>
      </c>
      <c r="N140">
        <f>(AF30_ByRubLot[[#This Row],[111-120]]/AF30_ByRubLot3[[Total Charge]:[Total Charge]])</f>
        <v>0.16666666666666666</v>
      </c>
      <c r="O140">
        <f>(AF30_ByRubLot[[#This Row],[121-130]]/AF30_ByRubLot3[[Total Charge]:[Total Charge]])</f>
        <v>0</v>
      </c>
      <c r="P140">
        <f>(AF30_ByRubLot[[#This Row],[131-140]]/AF30_ByRubLot3[[Total Charge]:[Total Charge]])</f>
        <v>0</v>
      </c>
      <c r="Q140">
        <v>0</v>
      </c>
      <c r="R140">
        <v>0</v>
      </c>
      <c r="S140" t="s">
        <v>73</v>
      </c>
      <c r="T140">
        <v>6</v>
      </c>
      <c r="U140" s="112"/>
      <c r="V140">
        <v>2155.5555555555557</v>
      </c>
      <c r="W140">
        <v>1840</v>
      </c>
      <c r="X140">
        <f t="shared" si="10"/>
        <v>85.360824742268036</v>
      </c>
      <c r="Y140">
        <f>SUM(AF30_ByRubLot3[[#This Row],[0-10]:[131-140]])</f>
        <v>0.99999999999999989</v>
      </c>
    </row>
    <row r="141" spans="1:25" x14ac:dyDescent="0.25">
      <c r="A141" t="s">
        <v>117</v>
      </c>
      <c r="B141" s="146" t="s">
        <v>277</v>
      </c>
      <c r="C141">
        <f>(AF30_ByRubLot[[#This Row],[0-10]]/AF30_ByRubLot3[[Total Charge]:[Total Charge]])</f>
        <v>0</v>
      </c>
      <c r="D141">
        <f>(AF30_ByRubLot[[#This Row],[11-20]]/AF30_ByRubLot3[[Total Charge]:[Total Charge]])</f>
        <v>0</v>
      </c>
      <c r="E141">
        <f>(AF30_ByRubLot[[#This Row],[21-30]]/AF30_ByRubLot3[[Total Charge]:[Total Charge]])</f>
        <v>0</v>
      </c>
      <c r="F141">
        <f>(AF30_ByRubLot[[#This Row],[31-40]]/AF30_ByRubLot3[[Total Charge]:[Total Charge]])</f>
        <v>0</v>
      </c>
      <c r="G141">
        <f>(AF30_ByRubLot[[#This Row],[41-50]]/AF30_ByRubLot3[[Total Charge]:[Total Charge]])</f>
        <v>0</v>
      </c>
      <c r="H141">
        <f>(AF30_ByRubLot[[#This Row],[51-60]]/AF30_ByRubLot3[[Total Charge]:[Total Charge]])</f>
        <v>8.3333333333333329E-2</v>
      </c>
      <c r="I141">
        <f>(AF30_ByRubLot[[#This Row],[61-70]]/AF30_ByRubLot3[[Total Charge]:[Total Charge]])</f>
        <v>0.16666666666666666</v>
      </c>
      <c r="J141">
        <f>(AF30_ByRubLot[[#This Row],[71-80]]/AF30_ByRubLot3[[Total Charge]:[Total Charge]])</f>
        <v>0.33333333333333331</v>
      </c>
      <c r="K141">
        <f>(AF30_ByRubLot[[#This Row],[81-90]]/AF30_ByRubLot3[[Total Charge]:[Total Charge]])</f>
        <v>8.3333333333333329E-2</v>
      </c>
      <c r="L141">
        <f>(AF30_ByRubLot[[#This Row],[91-100]]/AF30_ByRubLot3[[Total Charge]:[Total Charge]])</f>
        <v>0.25</v>
      </c>
      <c r="M141">
        <f>(AF30_ByRubLot[[#This Row],[101-110]]/AF30_ByRubLot3[[Total Charge]:[Total Charge]])</f>
        <v>8.3333333333333329E-2</v>
      </c>
      <c r="N141">
        <f>(AF30_ByRubLot[[#This Row],[111-120]]/AF30_ByRubLot3[[Total Charge]:[Total Charge]])</f>
        <v>0</v>
      </c>
      <c r="O141">
        <f>(AF30_ByRubLot[[#This Row],[121-130]]/AF30_ByRubLot3[[Total Charge]:[Total Charge]])</f>
        <v>0</v>
      </c>
      <c r="P141">
        <f>(AF30_ByRubLot[[#This Row],[131-140]]/AF30_ByRubLot3[[Total Charge]:[Total Charge]])</f>
        <v>0</v>
      </c>
      <c r="Q141">
        <v>0</v>
      </c>
      <c r="R141">
        <v>0</v>
      </c>
      <c r="S141" t="s">
        <v>98</v>
      </c>
      <c r="T141">
        <v>12</v>
      </c>
      <c r="U141" s="112"/>
      <c r="V141">
        <v>666.66666666666663</v>
      </c>
      <c r="W141">
        <v>600</v>
      </c>
      <c r="X141">
        <f>(W141/V141)*100</f>
        <v>90</v>
      </c>
      <c r="Y141">
        <f>SUM(AF30_ByRubLot3[[#This Row],[0-10]:[131-140]])</f>
        <v>1</v>
      </c>
    </row>
    <row r="142" spans="1:25" x14ac:dyDescent="0.25">
      <c r="A142" t="s">
        <v>120</v>
      </c>
      <c r="B142" s="146" t="s">
        <v>278</v>
      </c>
      <c r="C142">
        <f>(AF30_ByRubLot[[#This Row],[0-10]]/AF30_ByRubLot3[[Total Charge]:[Total Charge]])</f>
        <v>0</v>
      </c>
      <c r="D142">
        <f>(AF30_ByRubLot[[#This Row],[11-20]]/AF30_ByRubLot3[[Total Charge]:[Total Charge]])</f>
        <v>0</v>
      </c>
      <c r="E142">
        <f>(AF30_ByRubLot[[#This Row],[21-30]]/AF30_ByRubLot3[[Total Charge]:[Total Charge]])</f>
        <v>0</v>
      </c>
      <c r="F142">
        <f>(AF30_ByRubLot[[#This Row],[31-40]]/AF30_ByRubLot3[[Total Charge]:[Total Charge]])</f>
        <v>0</v>
      </c>
      <c r="G142">
        <f>(AF30_ByRubLot[[#This Row],[41-50]]/AF30_ByRubLot3[[Total Charge]:[Total Charge]])</f>
        <v>0</v>
      </c>
      <c r="H142">
        <f>(AF30_ByRubLot[[#This Row],[51-60]]/AF30_ByRubLot3[[Total Charge]:[Total Charge]])</f>
        <v>0.14285714285714285</v>
      </c>
      <c r="I142">
        <f>(AF30_ByRubLot[[#This Row],[61-70]]/AF30_ByRubLot3[[Total Charge]:[Total Charge]])</f>
        <v>0.14285714285714285</v>
      </c>
      <c r="J142">
        <f>(AF30_ByRubLot[[#This Row],[71-80]]/AF30_ByRubLot3[[Total Charge]:[Total Charge]])</f>
        <v>0.14285714285714285</v>
      </c>
      <c r="K142">
        <f>(AF30_ByRubLot[[#This Row],[81-90]]/AF30_ByRubLot3[[Total Charge]:[Total Charge]])</f>
        <v>0.14285714285714285</v>
      </c>
      <c r="L142">
        <f>(AF30_ByRubLot[[#This Row],[91-100]]/AF30_ByRubLot3[[Total Charge]:[Total Charge]])</f>
        <v>0.2857142857142857</v>
      </c>
      <c r="M142">
        <f>(AF30_ByRubLot[[#This Row],[101-110]]/AF30_ByRubLot3[[Total Charge]:[Total Charge]])</f>
        <v>0.14285714285714285</v>
      </c>
      <c r="N142">
        <f>(AF30_ByRubLot[[#This Row],[111-120]]/AF30_ByRubLot3[[Total Charge]:[Total Charge]])</f>
        <v>0</v>
      </c>
      <c r="O142">
        <f>(AF30_ByRubLot[[#This Row],[121-130]]/AF30_ByRubLot3[[Total Charge]:[Total Charge]])</f>
        <v>0</v>
      </c>
      <c r="P142">
        <f>(AF30_ByRubLot[[#This Row],[131-140]]/AF30_ByRubLot3[[Total Charge]:[Total Charge]])</f>
        <v>0</v>
      </c>
      <c r="T142">
        <v>7</v>
      </c>
      <c r="U142" s="112"/>
      <c r="V142">
        <v>2658.333333333333</v>
      </c>
      <c r="W142">
        <v>2400</v>
      </c>
      <c r="X142">
        <f>(W142/V142)*100</f>
        <v>90.282131661442008</v>
      </c>
      <c r="Y142">
        <f>SUM(AF30_ByRubLot3[[#This Row],[0-10]:[131-140]])</f>
        <v>1</v>
      </c>
    </row>
    <row r="143" spans="1:25" x14ac:dyDescent="0.25">
      <c r="A143" t="s">
        <v>120</v>
      </c>
      <c r="B143" s="146" t="s">
        <v>279</v>
      </c>
      <c r="C143">
        <f>(AF30_ByRubLot[[#This Row],[0-10]]/AF30_ByRubLot3[[Total Charge]:[Total Charge]])</f>
        <v>0</v>
      </c>
      <c r="D143">
        <f>(AF30_ByRubLot[[#This Row],[11-20]]/AF30_ByRubLot3[[Total Charge]:[Total Charge]])</f>
        <v>0</v>
      </c>
      <c r="E143">
        <f>(AF30_ByRubLot[[#This Row],[21-30]]/AF30_ByRubLot3[[Total Charge]:[Total Charge]])</f>
        <v>0</v>
      </c>
      <c r="F143">
        <f>(AF30_ByRubLot[[#This Row],[31-40]]/AF30_ByRubLot3[[Total Charge]:[Total Charge]])</f>
        <v>0</v>
      </c>
      <c r="G143">
        <f>(AF30_ByRubLot[[#This Row],[41-50]]/AF30_ByRubLot3[[Total Charge]:[Total Charge]])</f>
        <v>0</v>
      </c>
      <c r="H143">
        <f>(AF30_ByRubLot[[#This Row],[51-60]]/AF30_ByRubLot3[[Total Charge]:[Total Charge]])</f>
        <v>0.14285714285714285</v>
      </c>
      <c r="I143">
        <f>(AF30_ByRubLot[[#This Row],[61-70]]/AF30_ByRubLot3[[Total Charge]:[Total Charge]])</f>
        <v>0.14285714285714285</v>
      </c>
      <c r="J143">
        <f>(AF30_ByRubLot[[#This Row],[71-80]]/AF30_ByRubLot3[[Total Charge]:[Total Charge]])</f>
        <v>0.14285714285714285</v>
      </c>
      <c r="K143">
        <f>(AF30_ByRubLot[[#This Row],[81-90]]/AF30_ByRubLot3[[Total Charge]:[Total Charge]])</f>
        <v>0.14285714285714285</v>
      </c>
      <c r="L143">
        <f>(AF30_ByRubLot[[#This Row],[91-100]]/AF30_ByRubLot3[[Total Charge]:[Total Charge]])</f>
        <v>0.2857142857142857</v>
      </c>
      <c r="M143">
        <f>(AF30_ByRubLot[[#This Row],[101-110]]/AF30_ByRubLot3[[Total Charge]:[Total Charge]])</f>
        <v>0.14285714285714285</v>
      </c>
      <c r="N143">
        <f>(AF30_ByRubLot[[#This Row],[111-120]]/AF30_ByRubLot3[[Total Charge]:[Total Charge]])</f>
        <v>0</v>
      </c>
      <c r="O143">
        <f>(AF30_ByRubLot[[#This Row],[121-130]]/AF30_ByRubLot3[[Total Charge]:[Total Charge]])</f>
        <v>0</v>
      </c>
      <c r="P143">
        <f>(AF30_ByRubLot[[#This Row],[131-140]]/AF30_ByRubLot3[[Total Charge]:[Total Charge]])</f>
        <v>0</v>
      </c>
      <c r="T143">
        <v>7</v>
      </c>
      <c r="U143" s="112"/>
      <c r="V143">
        <v>2708.333333333333</v>
      </c>
      <c r="W143">
        <v>2352</v>
      </c>
      <c r="X143">
        <f>(W143/V143)*100</f>
        <v>86.843076923076936</v>
      </c>
      <c r="Y143">
        <f>SUM(AF30_ByRubLot3[[#This Row],[0-10]:[131-140]])</f>
        <v>1</v>
      </c>
    </row>
    <row r="144" spans="1:25" x14ac:dyDescent="0.25">
      <c r="A144" t="s">
        <v>120</v>
      </c>
      <c r="B144" s="146" t="s">
        <v>280</v>
      </c>
      <c r="C144">
        <f>(AF30_ByRubLot[[#This Row],[0-10]]/AF30_ByRubLot3[[Total Charge]:[Total Charge]])</f>
        <v>0</v>
      </c>
      <c r="D144">
        <f>(AF30_ByRubLot[[#This Row],[11-20]]/AF30_ByRubLot3[[Total Charge]:[Total Charge]])</f>
        <v>0</v>
      </c>
      <c r="E144">
        <f>(AF30_ByRubLot[[#This Row],[21-30]]/AF30_ByRubLot3[[Total Charge]:[Total Charge]])</f>
        <v>0</v>
      </c>
      <c r="F144">
        <f>(AF30_ByRubLot[[#This Row],[31-40]]/AF30_ByRubLot3[[Total Charge]:[Total Charge]])</f>
        <v>0</v>
      </c>
      <c r="G144">
        <f>(AF30_ByRubLot[[#This Row],[41-50]]/AF30_ByRubLot3[[Total Charge]:[Total Charge]])</f>
        <v>0</v>
      </c>
      <c r="H144">
        <f>(AF30_ByRubLot[[#This Row],[51-60]]/AF30_ByRubLot3[[Total Charge]:[Total Charge]])</f>
        <v>0.14285714285714285</v>
      </c>
      <c r="I144">
        <f>(AF30_ByRubLot[[#This Row],[61-70]]/AF30_ByRubLot3[[Total Charge]:[Total Charge]])</f>
        <v>0.14285714285714285</v>
      </c>
      <c r="J144">
        <f>(AF30_ByRubLot[[#This Row],[71-80]]/AF30_ByRubLot3[[Total Charge]:[Total Charge]])</f>
        <v>0.14285714285714285</v>
      </c>
      <c r="K144">
        <f>(AF30_ByRubLot[[#This Row],[81-90]]/AF30_ByRubLot3[[Total Charge]:[Total Charge]])</f>
        <v>0.14285714285714285</v>
      </c>
      <c r="L144">
        <f>(AF30_ByRubLot[[#This Row],[91-100]]/AF30_ByRubLot3[[Total Charge]:[Total Charge]])</f>
        <v>0.2857142857142857</v>
      </c>
      <c r="M144">
        <f>(AF30_ByRubLot[[#This Row],[101-110]]/AF30_ByRubLot3[[Total Charge]:[Total Charge]])</f>
        <v>0.14285714285714285</v>
      </c>
      <c r="N144">
        <f>(AF30_ByRubLot[[#This Row],[111-120]]/AF30_ByRubLot3[[Total Charge]:[Total Charge]])</f>
        <v>0</v>
      </c>
      <c r="O144">
        <f>(AF30_ByRubLot[[#This Row],[121-130]]/AF30_ByRubLot3[[Total Charge]:[Total Charge]])</f>
        <v>0</v>
      </c>
      <c r="P144">
        <f>(AF30_ByRubLot[[#This Row],[131-140]]/AF30_ByRubLot3[[Total Charge]:[Total Charge]])</f>
        <v>0</v>
      </c>
      <c r="T144">
        <v>7</v>
      </c>
      <c r="U144" s="112"/>
      <c r="V144">
        <v>300</v>
      </c>
      <c r="W144">
        <v>200</v>
      </c>
      <c r="X144">
        <f t="shared" ref="X144:X147" si="11">(W144/V144)*100</f>
        <v>66.666666666666657</v>
      </c>
      <c r="Y144">
        <f>SUM(AF30_ByRubLot3[[#This Row],[0-10]:[131-140]])</f>
        <v>1</v>
      </c>
    </row>
    <row r="145" spans="1:25" x14ac:dyDescent="0.25">
      <c r="A145" t="s">
        <v>120</v>
      </c>
      <c r="B145" s="146" t="s">
        <v>281</v>
      </c>
      <c r="C145">
        <f>(AF30_ByRubLot[[#This Row],[0-10]]/AF30_ByRubLot3[[Total Charge]:[Total Charge]])</f>
        <v>0</v>
      </c>
      <c r="D145">
        <f>(AF30_ByRubLot[[#This Row],[11-20]]/AF30_ByRubLot3[[Total Charge]:[Total Charge]])</f>
        <v>0</v>
      </c>
      <c r="E145">
        <f>(AF30_ByRubLot[[#This Row],[21-30]]/AF30_ByRubLot3[[Total Charge]:[Total Charge]])</f>
        <v>0</v>
      </c>
      <c r="F145">
        <f>(AF30_ByRubLot[[#This Row],[31-40]]/AF30_ByRubLot3[[Total Charge]:[Total Charge]])</f>
        <v>0</v>
      </c>
      <c r="G145">
        <f>(AF30_ByRubLot[[#This Row],[41-50]]/AF30_ByRubLot3[[Total Charge]:[Total Charge]])</f>
        <v>0</v>
      </c>
      <c r="H145">
        <f>(AF30_ByRubLot[[#This Row],[51-60]]/AF30_ByRubLot3[[Total Charge]:[Total Charge]])</f>
        <v>0.14285714285714285</v>
      </c>
      <c r="I145">
        <f>(AF30_ByRubLot[[#This Row],[61-70]]/AF30_ByRubLot3[[Total Charge]:[Total Charge]])</f>
        <v>0.14285714285714285</v>
      </c>
      <c r="J145">
        <f>(AF30_ByRubLot[[#This Row],[71-80]]/AF30_ByRubLot3[[Total Charge]:[Total Charge]])</f>
        <v>0.14285714285714285</v>
      </c>
      <c r="K145">
        <f>(AF30_ByRubLot[[#This Row],[81-90]]/AF30_ByRubLot3[[Total Charge]:[Total Charge]])</f>
        <v>0.14285714285714285</v>
      </c>
      <c r="L145">
        <f>(AF30_ByRubLot[[#This Row],[91-100]]/AF30_ByRubLot3[[Total Charge]:[Total Charge]])</f>
        <v>0.2857142857142857</v>
      </c>
      <c r="M145">
        <f>(AF30_ByRubLot[[#This Row],[101-110]]/AF30_ByRubLot3[[Total Charge]:[Total Charge]])</f>
        <v>0.14285714285714285</v>
      </c>
      <c r="N145">
        <f>(AF30_ByRubLot[[#This Row],[111-120]]/AF30_ByRubLot3[[Total Charge]:[Total Charge]])</f>
        <v>0</v>
      </c>
      <c r="O145">
        <f>(AF30_ByRubLot[[#This Row],[121-130]]/AF30_ByRubLot3[[Total Charge]:[Total Charge]])</f>
        <v>0</v>
      </c>
      <c r="P145">
        <f>(AF30_ByRubLot[[#This Row],[131-140]]/AF30_ByRubLot3[[Total Charge]:[Total Charge]])</f>
        <v>0</v>
      </c>
      <c r="T145">
        <v>7</v>
      </c>
      <c r="U145" s="112"/>
      <c r="V145">
        <v>1930.5555555555557</v>
      </c>
      <c r="W145">
        <v>836</v>
      </c>
      <c r="X145">
        <f t="shared" si="11"/>
        <v>43.303597122302158</v>
      </c>
      <c r="Y145">
        <f>SUM(AF30_ByRubLot3[[#This Row],[0-10]:[131-140]])</f>
        <v>1</v>
      </c>
    </row>
    <row r="146" spans="1:25" x14ac:dyDescent="0.25">
      <c r="A146" t="s">
        <v>120</v>
      </c>
      <c r="B146" s="146" t="s">
        <v>282</v>
      </c>
      <c r="C146">
        <f>(AF30_ByRubLot[[#This Row],[0-10]]/AF30_ByRubLot3[[Total Charge]:[Total Charge]])</f>
        <v>0</v>
      </c>
      <c r="D146">
        <f>(AF30_ByRubLot[[#This Row],[11-20]]/AF30_ByRubLot3[[Total Charge]:[Total Charge]])</f>
        <v>0</v>
      </c>
      <c r="E146">
        <f>(AF30_ByRubLot[[#This Row],[21-30]]/AF30_ByRubLot3[[Total Charge]:[Total Charge]])</f>
        <v>0</v>
      </c>
      <c r="F146">
        <f>(AF30_ByRubLot[[#This Row],[31-40]]/AF30_ByRubLot3[[Total Charge]:[Total Charge]])</f>
        <v>0</v>
      </c>
      <c r="G146">
        <f>(AF30_ByRubLot[[#This Row],[41-50]]/AF30_ByRubLot3[[Total Charge]:[Total Charge]])</f>
        <v>0</v>
      </c>
      <c r="H146">
        <f>(AF30_ByRubLot[[#This Row],[51-60]]/AF30_ByRubLot3[[Total Charge]:[Total Charge]])</f>
        <v>0.14285714285714285</v>
      </c>
      <c r="I146">
        <f>(AF30_ByRubLot[[#This Row],[61-70]]/AF30_ByRubLot3[[Total Charge]:[Total Charge]])</f>
        <v>0.14285714285714285</v>
      </c>
      <c r="J146">
        <f>(AF30_ByRubLot[[#This Row],[71-80]]/AF30_ByRubLot3[[Total Charge]:[Total Charge]])</f>
        <v>0.14285714285714285</v>
      </c>
      <c r="K146">
        <f>(AF30_ByRubLot[[#This Row],[81-90]]/AF30_ByRubLot3[[Total Charge]:[Total Charge]])</f>
        <v>0.14285714285714285</v>
      </c>
      <c r="L146">
        <f>(AF30_ByRubLot[[#This Row],[91-100]]/AF30_ByRubLot3[[Total Charge]:[Total Charge]])</f>
        <v>0.2857142857142857</v>
      </c>
      <c r="M146">
        <f>(AF30_ByRubLot[[#This Row],[101-110]]/AF30_ByRubLot3[[Total Charge]:[Total Charge]])</f>
        <v>0.14285714285714285</v>
      </c>
      <c r="N146">
        <f>(AF30_ByRubLot[[#This Row],[111-120]]/AF30_ByRubLot3[[Total Charge]:[Total Charge]])</f>
        <v>0</v>
      </c>
      <c r="O146">
        <f>(AF30_ByRubLot[[#This Row],[121-130]]/AF30_ByRubLot3[[Total Charge]:[Total Charge]])</f>
        <v>0</v>
      </c>
      <c r="P146">
        <f>(AF30_ByRubLot[[#This Row],[131-140]]/AF30_ByRubLot3[[Total Charge]:[Total Charge]])</f>
        <v>0</v>
      </c>
      <c r="T146">
        <v>7</v>
      </c>
      <c r="U146" s="112"/>
      <c r="V146">
        <v>2013.8888888888889</v>
      </c>
      <c r="W146">
        <v>1236</v>
      </c>
      <c r="X146">
        <f t="shared" si="11"/>
        <v>61.373793103448271</v>
      </c>
      <c r="Y146">
        <f>SUM(AF30_ByRubLot3[[#This Row],[0-10]:[131-140]])</f>
        <v>1</v>
      </c>
    </row>
    <row r="147" spans="1:25" x14ac:dyDescent="0.25">
      <c r="A147" t="s">
        <v>120</v>
      </c>
      <c r="B147" s="146" t="s">
        <v>283</v>
      </c>
      <c r="C147">
        <f>(AF30_ByRubLot[[#This Row],[0-10]]/AF30_ByRubLot3[[Total Charge]:[Total Charge]])</f>
        <v>0</v>
      </c>
      <c r="D147">
        <f>(AF30_ByRubLot[[#This Row],[11-20]]/AF30_ByRubLot3[[Total Charge]:[Total Charge]])</f>
        <v>0</v>
      </c>
      <c r="E147">
        <f>(AF30_ByRubLot[[#This Row],[21-30]]/AF30_ByRubLot3[[Total Charge]:[Total Charge]])</f>
        <v>0</v>
      </c>
      <c r="F147">
        <f>(AF30_ByRubLot[[#This Row],[31-40]]/AF30_ByRubLot3[[Total Charge]:[Total Charge]])</f>
        <v>0</v>
      </c>
      <c r="G147">
        <f>(AF30_ByRubLot[[#This Row],[41-50]]/AF30_ByRubLot3[[Total Charge]:[Total Charge]])</f>
        <v>0</v>
      </c>
      <c r="H147">
        <f>(AF30_ByRubLot[[#This Row],[51-60]]/AF30_ByRubLot3[[Total Charge]:[Total Charge]])</f>
        <v>0.14285714285714285</v>
      </c>
      <c r="I147">
        <f>(AF30_ByRubLot[[#This Row],[61-70]]/AF30_ByRubLot3[[Total Charge]:[Total Charge]])</f>
        <v>0.14285714285714285</v>
      </c>
      <c r="J147">
        <f>(AF30_ByRubLot[[#This Row],[71-80]]/AF30_ByRubLot3[[Total Charge]:[Total Charge]])</f>
        <v>0.14285714285714285</v>
      </c>
      <c r="K147">
        <f>(AF30_ByRubLot[[#This Row],[81-90]]/AF30_ByRubLot3[[Total Charge]:[Total Charge]])</f>
        <v>0.14285714285714285</v>
      </c>
      <c r="L147">
        <f>(AF30_ByRubLot[[#This Row],[91-100]]/AF30_ByRubLot3[[Total Charge]:[Total Charge]])</f>
        <v>0.2857142857142857</v>
      </c>
      <c r="M147">
        <f>(AF30_ByRubLot[[#This Row],[101-110]]/AF30_ByRubLot3[[Total Charge]:[Total Charge]])</f>
        <v>0.14285714285714285</v>
      </c>
      <c r="N147">
        <f>(AF30_ByRubLot[[#This Row],[111-120]]/AF30_ByRubLot3[[Total Charge]:[Total Charge]])</f>
        <v>0</v>
      </c>
      <c r="O147">
        <f>(AF30_ByRubLot[[#This Row],[121-130]]/AF30_ByRubLot3[[Total Charge]:[Total Charge]])</f>
        <v>0</v>
      </c>
      <c r="P147">
        <f>(AF30_ByRubLot[[#This Row],[131-140]]/AF30_ByRubLot3[[Total Charge]:[Total Charge]])</f>
        <v>0</v>
      </c>
      <c r="T147">
        <v>7</v>
      </c>
      <c r="U147" s="112"/>
      <c r="V147">
        <v>1999.9999999999998</v>
      </c>
      <c r="W147">
        <v>1756</v>
      </c>
      <c r="X147">
        <f t="shared" si="11"/>
        <v>87.800000000000011</v>
      </c>
      <c r="Y147">
        <f>SUM(AF30_ByRubLot3[[#This Row],[0-10]:[131-140]])</f>
        <v>1</v>
      </c>
    </row>
    <row r="148" spans="1:25" x14ac:dyDescent="0.25">
      <c r="A148" t="s">
        <v>122</v>
      </c>
      <c r="B148" s="146" t="s">
        <v>284</v>
      </c>
      <c r="C148">
        <f>(AF30_ByRubLot[[#This Row],[0-10]]/AF30_ByRubLot3[[Total Charge]:[Total Charge]])</f>
        <v>0</v>
      </c>
      <c r="D148">
        <f>(AF30_ByRubLot[[#This Row],[11-20]]/AF30_ByRubLot3[[Total Charge]:[Total Charge]])</f>
        <v>0</v>
      </c>
      <c r="E148">
        <f>(AF30_ByRubLot[[#This Row],[21-30]]/AF30_ByRubLot3[[Total Charge]:[Total Charge]])</f>
        <v>0</v>
      </c>
      <c r="F148">
        <f>(AF30_ByRubLot[[#This Row],[31-40]]/AF30_ByRubLot3[[Total Charge]:[Total Charge]])</f>
        <v>0</v>
      </c>
      <c r="G148">
        <f>(AF30_ByRubLot[[#This Row],[41-50]]/AF30_ByRubLot3[[Total Charge]:[Total Charge]])</f>
        <v>0.125</v>
      </c>
      <c r="H148">
        <f>(AF30_ByRubLot[[#This Row],[51-60]]/AF30_ByRubLot3[[Total Charge]:[Total Charge]])</f>
        <v>0</v>
      </c>
      <c r="I148">
        <f>(AF30_ByRubLot[[#This Row],[61-70]]/AF30_ByRubLot3[[Total Charge]:[Total Charge]])</f>
        <v>0.25</v>
      </c>
      <c r="J148">
        <f>(AF30_ByRubLot[[#This Row],[71-80]]/AF30_ByRubLot3[[Total Charge]:[Total Charge]])</f>
        <v>0.125</v>
      </c>
      <c r="K148">
        <f>(AF30_ByRubLot[[#This Row],[81-90]]/AF30_ByRubLot3[[Total Charge]:[Total Charge]])</f>
        <v>0.25</v>
      </c>
      <c r="L148">
        <f>(AF30_ByRubLot[[#This Row],[91-100]]/AF30_ByRubLot3[[Total Charge]:[Total Charge]])</f>
        <v>0.25</v>
      </c>
      <c r="M148">
        <f>(AF30_ByRubLot[[#This Row],[101-110]]/AF30_ByRubLot3[[Total Charge]:[Total Charge]])</f>
        <v>0</v>
      </c>
      <c r="N148">
        <f>(AF30_ByRubLot[[#This Row],[111-120]]/AF30_ByRubLot3[[Total Charge]:[Total Charge]])</f>
        <v>0</v>
      </c>
      <c r="O148">
        <f>(AF30_ByRubLot[[#This Row],[121-130]]/AF30_ByRubLot3[[Total Charge]:[Total Charge]])</f>
        <v>0</v>
      </c>
      <c r="P148">
        <f>(AF30_ByRubLot[[#This Row],[131-140]]/AF30_ByRubLot3[[Total Charge]:[Total Charge]])</f>
        <v>0</v>
      </c>
      <c r="T148">
        <v>8</v>
      </c>
      <c r="U148" s="112"/>
      <c r="V148">
        <v>2644.4444444444443</v>
      </c>
      <c r="W148">
        <v>2481.6666599999999</v>
      </c>
      <c r="X148">
        <f>(W148/V148)*100</f>
        <v>93.844537563025213</v>
      </c>
      <c r="Y148">
        <f>SUM(AF30_ByRubLot3[[#This Row],[0-10]:[131-140]])</f>
        <v>1</v>
      </c>
    </row>
    <row r="149" spans="1:25" x14ac:dyDescent="0.25">
      <c r="A149" t="s">
        <v>122</v>
      </c>
      <c r="B149" s="146" t="s">
        <v>285</v>
      </c>
      <c r="C149">
        <f>(AF30_ByRubLot[[#This Row],[0-10]]/AF30_ByRubLot3[[Total Charge]:[Total Charge]])</f>
        <v>0</v>
      </c>
      <c r="D149">
        <f>(AF30_ByRubLot[[#This Row],[11-20]]/AF30_ByRubLot3[[Total Charge]:[Total Charge]])</f>
        <v>0</v>
      </c>
      <c r="E149">
        <f>(AF30_ByRubLot[[#This Row],[21-30]]/AF30_ByRubLot3[[Total Charge]:[Total Charge]])</f>
        <v>0</v>
      </c>
      <c r="F149">
        <f>(AF30_ByRubLot[[#This Row],[31-40]]/AF30_ByRubLot3[[Total Charge]:[Total Charge]])</f>
        <v>0</v>
      </c>
      <c r="G149">
        <f>(AF30_ByRubLot[[#This Row],[41-50]]/AF30_ByRubLot3[[Total Charge]:[Total Charge]])</f>
        <v>0.125</v>
      </c>
      <c r="H149">
        <f>(AF30_ByRubLot[[#This Row],[51-60]]/AF30_ByRubLot3[[Total Charge]:[Total Charge]])</f>
        <v>0</v>
      </c>
      <c r="I149">
        <f>(AF30_ByRubLot[[#This Row],[61-70]]/AF30_ByRubLot3[[Total Charge]:[Total Charge]])</f>
        <v>0.25</v>
      </c>
      <c r="J149">
        <f>(AF30_ByRubLot[[#This Row],[71-80]]/AF30_ByRubLot3[[Total Charge]:[Total Charge]])</f>
        <v>0.125</v>
      </c>
      <c r="K149">
        <f>(AF30_ByRubLot[[#This Row],[81-90]]/AF30_ByRubLot3[[Total Charge]:[Total Charge]])</f>
        <v>0.25</v>
      </c>
      <c r="L149">
        <f>(AF30_ByRubLot[[#This Row],[91-100]]/AF30_ByRubLot3[[Total Charge]:[Total Charge]])</f>
        <v>0.25</v>
      </c>
      <c r="M149">
        <f>(AF30_ByRubLot[[#This Row],[101-110]]/AF30_ByRubLot3[[Total Charge]:[Total Charge]])</f>
        <v>0</v>
      </c>
      <c r="N149">
        <f>(AF30_ByRubLot[[#This Row],[111-120]]/AF30_ByRubLot3[[Total Charge]:[Total Charge]])</f>
        <v>0</v>
      </c>
      <c r="O149">
        <f>(AF30_ByRubLot[[#This Row],[121-130]]/AF30_ByRubLot3[[Total Charge]:[Total Charge]])</f>
        <v>0</v>
      </c>
      <c r="P149">
        <f>(AF30_ByRubLot[[#This Row],[131-140]]/AF30_ByRubLot3[[Total Charge]:[Total Charge]])</f>
        <v>0</v>
      </c>
      <c r="T149">
        <v>8</v>
      </c>
      <c r="U149" s="112"/>
      <c r="V149">
        <v>2472.2222222222222</v>
      </c>
      <c r="W149">
        <v>2152</v>
      </c>
      <c r="X149">
        <f>(W149/V149)*100</f>
        <v>87.047191011235952</v>
      </c>
      <c r="Y149">
        <f>SUM(AF30_ByRubLot3[[#This Row],[0-10]:[131-140]])</f>
        <v>1</v>
      </c>
    </row>
    <row r="150" spans="1:25" x14ac:dyDescent="0.25">
      <c r="A150" t="s">
        <v>122</v>
      </c>
      <c r="B150" s="146" t="s">
        <v>286</v>
      </c>
      <c r="C150">
        <f>(AF30_ByRubLot[[#This Row],[0-10]]/AF30_ByRubLot3[[Total Charge]:[Total Charge]])</f>
        <v>0</v>
      </c>
      <c r="D150">
        <f>(AF30_ByRubLot[[#This Row],[11-20]]/AF30_ByRubLot3[[Total Charge]:[Total Charge]])</f>
        <v>0</v>
      </c>
      <c r="E150">
        <f>(AF30_ByRubLot[[#This Row],[21-30]]/AF30_ByRubLot3[[Total Charge]:[Total Charge]])</f>
        <v>0</v>
      </c>
      <c r="F150">
        <f>(AF30_ByRubLot[[#This Row],[31-40]]/AF30_ByRubLot3[[Total Charge]:[Total Charge]])</f>
        <v>0</v>
      </c>
      <c r="G150">
        <f>(AF30_ByRubLot[[#This Row],[41-50]]/AF30_ByRubLot3[[Total Charge]:[Total Charge]])</f>
        <v>0.125</v>
      </c>
      <c r="H150">
        <f>(AF30_ByRubLot[[#This Row],[51-60]]/AF30_ByRubLot3[[Total Charge]:[Total Charge]])</f>
        <v>0</v>
      </c>
      <c r="I150">
        <f>(AF30_ByRubLot[[#This Row],[61-70]]/AF30_ByRubLot3[[Total Charge]:[Total Charge]])</f>
        <v>0.25</v>
      </c>
      <c r="J150">
        <f>(AF30_ByRubLot[[#This Row],[71-80]]/AF30_ByRubLot3[[Total Charge]:[Total Charge]])</f>
        <v>0.125</v>
      </c>
      <c r="K150">
        <f>(AF30_ByRubLot[[#This Row],[81-90]]/AF30_ByRubLot3[[Total Charge]:[Total Charge]])</f>
        <v>0.25</v>
      </c>
      <c r="L150">
        <f>(AF30_ByRubLot[[#This Row],[91-100]]/AF30_ByRubLot3[[Total Charge]:[Total Charge]])</f>
        <v>0.25</v>
      </c>
      <c r="M150">
        <f>(AF30_ByRubLot[[#This Row],[101-110]]/AF30_ByRubLot3[[Total Charge]:[Total Charge]])</f>
        <v>0</v>
      </c>
      <c r="N150">
        <f>(AF30_ByRubLot[[#This Row],[111-120]]/AF30_ByRubLot3[[Total Charge]:[Total Charge]])</f>
        <v>0</v>
      </c>
      <c r="O150">
        <f>(AF30_ByRubLot[[#This Row],[121-130]]/AF30_ByRubLot3[[Total Charge]:[Total Charge]])</f>
        <v>0</v>
      </c>
      <c r="P150">
        <f>(AF30_ByRubLot[[#This Row],[131-140]]/AF30_ByRubLot3[[Total Charge]:[Total Charge]])</f>
        <v>0</v>
      </c>
      <c r="T150">
        <v>8</v>
      </c>
      <c r="U150" s="112"/>
      <c r="V150">
        <v>2530.5555555555557</v>
      </c>
      <c r="W150">
        <v>2320</v>
      </c>
      <c r="X150">
        <f>(W150/V150)*100</f>
        <v>91.679473106476394</v>
      </c>
      <c r="Y150">
        <f>SUM(AF30_ByRubLot3[[#This Row],[0-10]:[131-140]])</f>
        <v>1</v>
      </c>
    </row>
    <row r="151" spans="1:25" x14ac:dyDescent="0.25">
      <c r="A151" t="s">
        <v>122</v>
      </c>
      <c r="B151" s="146" t="s">
        <v>287</v>
      </c>
      <c r="C151">
        <f>(AF30_ByRubLot[[#This Row],[0-10]]/AF30_ByRubLot3[[Total Charge]:[Total Charge]])</f>
        <v>0</v>
      </c>
      <c r="D151">
        <f>(AF30_ByRubLot[[#This Row],[11-20]]/AF30_ByRubLot3[[Total Charge]:[Total Charge]])</f>
        <v>0</v>
      </c>
      <c r="E151">
        <f>(AF30_ByRubLot[[#This Row],[21-30]]/AF30_ByRubLot3[[Total Charge]:[Total Charge]])</f>
        <v>0</v>
      </c>
      <c r="F151">
        <f>(AF30_ByRubLot[[#This Row],[31-40]]/AF30_ByRubLot3[[Total Charge]:[Total Charge]])</f>
        <v>0</v>
      </c>
      <c r="G151">
        <f>(AF30_ByRubLot[[#This Row],[41-50]]/AF30_ByRubLot3[[Total Charge]:[Total Charge]])</f>
        <v>0.125</v>
      </c>
      <c r="H151">
        <f>(AF30_ByRubLot[[#This Row],[51-60]]/AF30_ByRubLot3[[Total Charge]:[Total Charge]])</f>
        <v>0</v>
      </c>
      <c r="I151">
        <f>(AF30_ByRubLot[[#This Row],[61-70]]/AF30_ByRubLot3[[Total Charge]:[Total Charge]])</f>
        <v>0.25</v>
      </c>
      <c r="J151">
        <f>(AF30_ByRubLot[[#This Row],[71-80]]/AF30_ByRubLot3[[Total Charge]:[Total Charge]])</f>
        <v>0.125</v>
      </c>
      <c r="K151">
        <f>(AF30_ByRubLot[[#This Row],[81-90]]/AF30_ByRubLot3[[Total Charge]:[Total Charge]])</f>
        <v>0.25</v>
      </c>
      <c r="L151">
        <f>(AF30_ByRubLot[[#This Row],[91-100]]/AF30_ByRubLot3[[Total Charge]:[Total Charge]])</f>
        <v>0.25</v>
      </c>
      <c r="M151">
        <f>(AF30_ByRubLot[[#This Row],[101-110]]/AF30_ByRubLot3[[Total Charge]:[Total Charge]])</f>
        <v>0</v>
      </c>
      <c r="N151">
        <f>(AF30_ByRubLot[[#This Row],[111-120]]/AF30_ByRubLot3[[Total Charge]:[Total Charge]])</f>
        <v>0</v>
      </c>
      <c r="O151">
        <f>(AF30_ByRubLot[[#This Row],[121-130]]/AF30_ByRubLot3[[Total Charge]:[Total Charge]])</f>
        <v>0</v>
      </c>
      <c r="P151">
        <f>(AF30_ByRubLot[[#This Row],[131-140]]/AF30_ByRubLot3[[Total Charge]:[Total Charge]])</f>
        <v>0</v>
      </c>
      <c r="T151">
        <v>8</v>
      </c>
      <c r="U151" s="112"/>
      <c r="V151">
        <v>2380.5555555555557</v>
      </c>
      <c r="W151">
        <v>2003.33332</v>
      </c>
      <c r="X151">
        <f t="shared" ref="X151:X155" si="12">(W151/V151)*100</f>
        <v>84.154025110851805</v>
      </c>
      <c r="Y151">
        <f>SUM(AF30_ByRubLot3[[#This Row],[0-10]:[131-140]])</f>
        <v>1</v>
      </c>
    </row>
    <row r="152" spans="1:25" x14ac:dyDescent="0.25">
      <c r="A152" t="s">
        <v>122</v>
      </c>
      <c r="B152" s="146" t="s">
        <v>288</v>
      </c>
      <c r="C152">
        <f>(AF30_ByRubLot[[#This Row],[0-10]]/AF30_ByRubLot3[[Total Charge]:[Total Charge]])</f>
        <v>0</v>
      </c>
      <c r="D152">
        <f>(AF30_ByRubLot[[#This Row],[11-20]]/AF30_ByRubLot3[[Total Charge]:[Total Charge]])</f>
        <v>0</v>
      </c>
      <c r="E152">
        <f>(AF30_ByRubLot[[#This Row],[21-30]]/AF30_ByRubLot3[[Total Charge]:[Total Charge]])</f>
        <v>0</v>
      </c>
      <c r="F152">
        <f>(AF30_ByRubLot[[#This Row],[31-40]]/AF30_ByRubLot3[[Total Charge]:[Total Charge]])</f>
        <v>0</v>
      </c>
      <c r="G152">
        <f>(AF30_ByRubLot[[#This Row],[41-50]]/AF30_ByRubLot3[[Total Charge]:[Total Charge]])</f>
        <v>0.125</v>
      </c>
      <c r="H152">
        <f>(AF30_ByRubLot[[#This Row],[51-60]]/AF30_ByRubLot3[[Total Charge]:[Total Charge]])</f>
        <v>0</v>
      </c>
      <c r="I152">
        <f>(AF30_ByRubLot[[#This Row],[61-70]]/AF30_ByRubLot3[[Total Charge]:[Total Charge]])</f>
        <v>0.25</v>
      </c>
      <c r="J152">
        <f>(AF30_ByRubLot[[#This Row],[71-80]]/AF30_ByRubLot3[[Total Charge]:[Total Charge]])</f>
        <v>0.125</v>
      </c>
      <c r="K152">
        <f>(AF30_ByRubLot[[#This Row],[81-90]]/AF30_ByRubLot3[[Total Charge]:[Total Charge]])</f>
        <v>0.25</v>
      </c>
      <c r="L152">
        <f>(AF30_ByRubLot[[#This Row],[91-100]]/AF30_ByRubLot3[[Total Charge]:[Total Charge]])</f>
        <v>0.25</v>
      </c>
      <c r="M152">
        <f>(AF30_ByRubLot[[#This Row],[101-110]]/AF30_ByRubLot3[[Total Charge]:[Total Charge]])</f>
        <v>0</v>
      </c>
      <c r="N152">
        <f>(AF30_ByRubLot[[#This Row],[111-120]]/AF30_ByRubLot3[[Total Charge]:[Total Charge]])</f>
        <v>0</v>
      </c>
      <c r="O152">
        <f>(AF30_ByRubLot[[#This Row],[121-130]]/AF30_ByRubLot3[[Total Charge]:[Total Charge]])</f>
        <v>0</v>
      </c>
      <c r="P152">
        <f>(AF30_ByRubLot[[#This Row],[131-140]]/AF30_ByRubLot3[[Total Charge]:[Total Charge]])</f>
        <v>0</v>
      </c>
      <c r="T152">
        <v>8</v>
      </c>
      <c r="U152" s="112"/>
      <c r="V152">
        <v>2536.1111111111113</v>
      </c>
      <c r="W152">
        <v>2032.9999800000001</v>
      </c>
      <c r="X152">
        <f t="shared" si="12"/>
        <v>80.162102168674693</v>
      </c>
      <c r="Y152">
        <f>SUM(AF30_ByRubLot3[[#This Row],[0-10]:[131-140]])</f>
        <v>1</v>
      </c>
    </row>
    <row r="153" spans="1:25" x14ac:dyDescent="0.25">
      <c r="A153" t="s">
        <v>122</v>
      </c>
      <c r="B153" s="146" t="s">
        <v>289</v>
      </c>
      <c r="C153">
        <f>(AF30_ByRubLot[[#This Row],[0-10]]/AF30_ByRubLot3[[Total Charge]:[Total Charge]])</f>
        <v>0</v>
      </c>
      <c r="D153">
        <f>(AF30_ByRubLot[[#This Row],[11-20]]/AF30_ByRubLot3[[Total Charge]:[Total Charge]])</f>
        <v>0</v>
      </c>
      <c r="E153">
        <f>(AF30_ByRubLot[[#This Row],[21-30]]/AF30_ByRubLot3[[Total Charge]:[Total Charge]])</f>
        <v>0</v>
      </c>
      <c r="F153">
        <f>(AF30_ByRubLot[[#This Row],[31-40]]/AF30_ByRubLot3[[Total Charge]:[Total Charge]])</f>
        <v>0</v>
      </c>
      <c r="G153">
        <f>(AF30_ByRubLot[[#This Row],[41-50]]/AF30_ByRubLot3[[Total Charge]:[Total Charge]])</f>
        <v>0.125</v>
      </c>
      <c r="H153">
        <f>(AF30_ByRubLot[[#This Row],[51-60]]/AF30_ByRubLot3[[Total Charge]:[Total Charge]])</f>
        <v>0</v>
      </c>
      <c r="I153">
        <f>(AF30_ByRubLot[[#This Row],[61-70]]/AF30_ByRubLot3[[Total Charge]:[Total Charge]])</f>
        <v>0.25</v>
      </c>
      <c r="J153">
        <f>(AF30_ByRubLot[[#This Row],[71-80]]/AF30_ByRubLot3[[Total Charge]:[Total Charge]])</f>
        <v>0.125</v>
      </c>
      <c r="K153">
        <f>(AF30_ByRubLot[[#This Row],[81-90]]/AF30_ByRubLot3[[Total Charge]:[Total Charge]])</f>
        <v>0.25</v>
      </c>
      <c r="L153">
        <f>(AF30_ByRubLot[[#This Row],[91-100]]/AF30_ByRubLot3[[Total Charge]:[Total Charge]])</f>
        <v>0.25</v>
      </c>
      <c r="M153">
        <f>(AF30_ByRubLot[[#This Row],[101-110]]/AF30_ByRubLot3[[Total Charge]:[Total Charge]])</f>
        <v>0</v>
      </c>
      <c r="N153">
        <f>(AF30_ByRubLot[[#This Row],[111-120]]/AF30_ByRubLot3[[Total Charge]:[Total Charge]])</f>
        <v>0</v>
      </c>
      <c r="O153">
        <f>(AF30_ByRubLot[[#This Row],[121-130]]/AF30_ByRubLot3[[Total Charge]:[Total Charge]])</f>
        <v>0</v>
      </c>
      <c r="P153">
        <f>(AF30_ByRubLot[[#This Row],[131-140]]/AF30_ByRubLot3[[Total Charge]:[Total Charge]])</f>
        <v>0</v>
      </c>
      <c r="T153">
        <v>8</v>
      </c>
      <c r="U153" s="112"/>
      <c r="V153">
        <v>2713.8888888888887</v>
      </c>
      <c r="W153">
        <v>2120</v>
      </c>
      <c r="X153">
        <f t="shared" si="12"/>
        <v>78.116683725690891</v>
      </c>
      <c r="Y153">
        <f>SUM(AF30_ByRubLot3[[#This Row],[0-10]:[131-140]])</f>
        <v>1</v>
      </c>
    </row>
    <row r="154" spans="1:25" x14ac:dyDescent="0.25">
      <c r="A154" t="s">
        <v>122</v>
      </c>
      <c r="B154" s="146" t="s">
        <v>290</v>
      </c>
      <c r="C154">
        <f>(AF30_ByRubLot[[#This Row],[0-10]]/AF30_ByRubLot3[[Total Charge]:[Total Charge]])</f>
        <v>0</v>
      </c>
      <c r="D154">
        <f>(AF30_ByRubLot[[#This Row],[11-20]]/AF30_ByRubLot3[[Total Charge]:[Total Charge]])</f>
        <v>0</v>
      </c>
      <c r="E154">
        <f>(AF30_ByRubLot[[#This Row],[21-30]]/AF30_ByRubLot3[[Total Charge]:[Total Charge]])</f>
        <v>0</v>
      </c>
      <c r="F154">
        <f>(AF30_ByRubLot[[#This Row],[31-40]]/AF30_ByRubLot3[[Total Charge]:[Total Charge]])</f>
        <v>0</v>
      </c>
      <c r="G154">
        <f>(AF30_ByRubLot[[#This Row],[41-50]]/AF30_ByRubLot3[[Total Charge]:[Total Charge]])</f>
        <v>0.125</v>
      </c>
      <c r="H154">
        <f>(AF30_ByRubLot[[#This Row],[51-60]]/AF30_ByRubLot3[[Total Charge]:[Total Charge]])</f>
        <v>0</v>
      </c>
      <c r="I154">
        <f>(AF30_ByRubLot[[#This Row],[61-70]]/AF30_ByRubLot3[[Total Charge]:[Total Charge]])</f>
        <v>0.25</v>
      </c>
      <c r="J154">
        <f>(AF30_ByRubLot[[#This Row],[71-80]]/AF30_ByRubLot3[[Total Charge]:[Total Charge]])</f>
        <v>0.125</v>
      </c>
      <c r="K154">
        <f>(AF30_ByRubLot[[#This Row],[81-90]]/AF30_ByRubLot3[[Total Charge]:[Total Charge]])</f>
        <v>0.25</v>
      </c>
      <c r="L154">
        <f>(AF30_ByRubLot[[#This Row],[91-100]]/AF30_ByRubLot3[[Total Charge]:[Total Charge]])</f>
        <v>0.25</v>
      </c>
      <c r="M154">
        <f>(AF30_ByRubLot[[#This Row],[101-110]]/AF30_ByRubLot3[[Total Charge]:[Total Charge]])</f>
        <v>0</v>
      </c>
      <c r="N154">
        <f>(AF30_ByRubLot[[#This Row],[111-120]]/AF30_ByRubLot3[[Total Charge]:[Total Charge]])</f>
        <v>0</v>
      </c>
      <c r="O154">
        <f>(AF30_ByRubLot[[#This Row],[121-130]]/AF30_ByRubLot3[[Total Charge]:[Total Charge]])</f>
        <v>0</v>
      </c>
      <c r="P154">
        <f>(AF30_ByRubLot[[#This Row],[131-140]]/AF30_ByRubLot3[[Total Charge]:[Total Charge]])</f>
        <v>0</v>
      </c>
      <c r="T154">
        <v>8</v>
      </c>
      <c r="U154" s="112"/>
      <c r="V154">
        <v>2750</v>
      </c>
      <c r="W154">
        <v>2240</v>
      </c>
      <c r="X154">
        <f t="shared" si="12"/>
        <v>81.454545454545453</v>
      </c>
      <c r="Y154">
        <f>SUM(AF30_ByRubLot3[[#This Row],[0-10]:[131-140]])</f>
        <v>1</v>
      </c>
    </row>
    <row r="155" spans="1:25" x14ac:dyDescent="0.25">
      <c r="A155" t="s">
        <v>122</v>
      </c>
      <c r="B155" s="146" t="s">
        <v>291</v>
      </c>
      <c r="C155">
        <f>(AF30_ByRubLot[[#This Row],[0-10]]/AF30_ByRubLot3[[Total Charge]:[Total Charge]])</f>
        <v>0</v>
      </c>
      <c r="D155">
        <f>(AF30_ByRubLot[[#This Row],[11-20]]/AF30_ByRubLot3[[Total Charge]:[Total Charge]])</f>
        <v>0</v>
      </c>
      <c r="E155">
        <f>(AF30_ByRubLot[[#This Row],[21-30]]/AF30_ByRubLot3[[Total Charge]:[Total Charge]])</f>
        <v>0</v>
      </c>
      <c r="F155">
        <f>(AF30_ByRubLot[[#This Row],[31-40]]/AF30_ByRubLot3[[Total Charge]:[Total Charge]])</f>
        <v>0</v>
      </c>
      <c r="G155">
        <f>(AF30_ByRubLot[[#This Row],[41-50]]/AF30_ByRubLot3[[Total Charge]:[Total Charge]])</f>
        <v>0.125</v>
      </c>
      <c r="H155">
        <f>(AF30_ByRubLot[[#This Row],[51-60]]/AF30_ByRubLot3[[Total Charge]:[Total Charge]])</f>
        <v>0</v>
      </c>
      <c r="I155">
        <f>(AF30_ByRubLot[[#This Row],[61-70]]/AF30_ByRubLot3[[Total Charge]:[Total Charge]])</f>
        <v>0.25</v>
      </c>
      <c r="J155">
        <f>(AF30_ByRubLot[[#This Row],[71-80]]/AF30_ByRubLot3[[Total Charge]:[Total Charge]])</f>
        <v>0.125</v>
      </c>
      <c r="K155">
        <f>(AF30_ByRubLot[[#This Row],[81-90]]/AF30_ByRubLot3[[Total Charge]:[Total Charge]])</f>
        <v>0.25</v>
      </c>
      <c r="L155">
        <f>(AF30_ByRubLot[[#This Row],[91-100]]/AF30_ByRubLot3[[Total Charge]:[Total Charge]])</f>
        <v>0.25</v>
      </c>
      <c r="M155">
        <f>(AF30_ByRubLot[[#This Row],[101-110]]/AF30_ByRubLot3[[Total Charge]:[Total Charge]])</f>
        <v>0</v>
      </c>
      <c r="N155">
        <f>(AF30_ByRubLot[[#This Row],[111-120]]/AF30_ByRubLot3[[Total Charge]:[Total Charge]])</f>
        <v>0</v>
      </c>
      <c r="O155">
        <f>(AF30_ByRubLot[[#This Row],[121-130]]/AF30_ByRubLot3[[Total Charge]:[Total Charge]])</f>
        <v>0</v>
      </c>
      <c r="P155">
        <f>(AF30_ByRubLot[[#This Row],[131-140]]/AF30_ByRubLot3[[Total Charge]:[Total Charge]])</f>
        <v>0</v>
      </c>
      <c r="T155">
        <v>8</v>
      </c>
      <c r="U155" s="112"/>
      <c r="V155">
        <v>1277.7777777777778</v>
      </c>
      <c r="W155">
        <v>1152</v>
      </c>
      <c r="X155">
        <f t="shared" si="12"/>
        <v>90.15652173913044</v>
      </c>
      <c r="Y155">
        <f>SUM(AF30_ByRubLot3[[#This Row],[0-10]:[131-140]])</f>
        <v>1</v>
      </c>
    </row>
    <row r="156" spans="1:25" x14ac:dyDescent="0.25">
      <c r="A156" t="s">
        <v>122</v>
      </c>
      <c r="B156" s="146" t="s">
        <v>292</v>
      </c>
      <c r="C156">
        <f>(AF30_ByRubLot[[#This Row],[0-10]]/AF30_ByRubLot3[[Total Charge]:[Total Charge]])</f>
        <v>0</v>
      </c>
      <c r="D156">
        <f>(AF30_ByRubLot[[#This Row],[11-20]]/AF30_ByRubLot3[[Total Charge]:[Total Charge]])</f>
        <v>0</v>
      </c>
      <c r="E156">
        <f>(AF30_ByRubLot[[#This Row],[21-30]]/AF30_ByRubLot3[[Total Charge]:[Total Charge]])</f>
        <v>0</v>
      </c>
      <c r="F156">
        <f>(AF30_ByRubLot[[#This Row],[31-40]]/AF30_ByRubLot3[[Total Charge]:[Total Charge]])</f>
        <v>0</v>
      </c>
      <c r="G156">
        <f>(AF30_ByRubLot[[#This Row],[41-50]]/AF30_ByRubLot3[[Total Charge]:[Total Charge]])</f>
        <v>0.125</v>
      </c>
      <c r="H156">
        <f>(AF30_ByRubLot[[#This Row],[51-60]]/AF30_ByRubLot3[[Total Charge]:[Total Charge]])</f>
        <v>0</v>
      </c>
      <c r="I156">
        <f>(AF30_ByRubLot[[#This Row],[61-70]]/AF30_ByRubLot3[[Total Charge]:[Total Charge]])</f>
        <v>0.25</v>
      </c>
      <c r="J156">
        <f>(AF30_ByRubLot[[#This Row],[71-80]]/AF30_ByRubLot3[[Total Charge]:[Total Charge]])</f>
        <v>0.125</v>
      </c>
      <c r="K156">
        <f>(AF30_ByRubLot[[#This Row],[81-90]]/AF30_ByRubLot3[[Total Charge]:[Total Charge]])</f>
        <v>0.25</v>
      </c>
      <c r="L156">
        <f>(AF30_ByRubLot[[#This Row],[91-100]]/AF30_ByRubLot3[[Total Charge]:[Total Charge]])</f>
        <v>0.25</v>
      </c>
      <c r="M156">
        <f>(AF30_ByRubLot[[#This Row],[101-110]]/AF30_ByRubLot3[[Total Charge]:[Total Charge]])</f>
        <v>0</v>
      </c>
      <c r="N156">
        <f>(AF30_ByRubLot[[#This Row],[111-120]]/AF30_ByRubLot3[[Total Charge]:[Total Charge]])</f>
        <v>0</v>
      </c>
      <c r="O156">
        <f>(AF30_ByRubLot[[#This Row],[121-130]]/AF30_ByRubLot3[[Total Charge]:[Total Charge]])</f>
        <v>0</v>
      </c>
      <c r="P156">
        <f>(AF30_ByRubLot[[#This Row],[131-140]]/AF30_ByRubLot3[[Total Charge]:[Total Charge]])</f>
        <v>0</v>
      </c>
      <c r="T156">
        <v>8</v>
      </c>
      <c r="U156" s="112"/>
      <c r="V156">
        <v>1019.4444444444445</v>
      </c>
      <c r="W156">
        <v>0</v>
      </c>
      <c r="X156">
        <f>(W156/V156)*100</f>
        <v>0</v>
      </c>
      <c r="Y156">
        <f>SUM(AF30_ByRubLot3[[#This Row],[0-10]:[131-140]])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6"/>
  <sheetViews>
    <sheetView workbookViewId="0">
      <selection activeCell="E17" sqref="E17"/>
    </sheetView>
  </sheetViews>
  <sheetFormatPr defaultRowHeight="15" x14ac:dyDescent="0.25"/>
  <cols>
    <col min="2" max="2" width="11.28515625" customWidth="1"/>
    <col min="3" max="3" width="20.140625" style="148" customWidth="1"/>
    <col min="4" max="4" width="30" style="151" bestFit="1" customWidth="1"/>
    <col min="5" max="5" width="30" style="151" customWidth="1"/>
    <col min="16" max="19" width="9.85546875" customWidth="1"/>
    <col min="20" max="20" width="11.85546875" customWidth="1"/>
    <col min="21" max="21" width="10.85546875" customWidth="1"/>
    <col min="22" max="22" width="12.7109375" customWidth="1"/>
    <col min="23" max="23" width="14.140625" customWidth="1"/>
    <col min="24" max="24" width="13.7109375" customWidth="1"/>
    <col min="25" max="25" width="13.5703125" customWidth="1"/>
    <col min="26" max="26" width="16.85546875" customWidth="1"/>
    <col min="27" max="27" width="12.5703125" customWidth="1"/>
  </cols>
  <sheetData>
    <row r="1" spans="1:28" x14ac:dyDescent="0.25">
      <c r="A1" s="144" t="s">
        <v>207</v>
      </c>
      <c r="B1" s="144" t="s">
        <v>126</v>
      </c>
      <c r="C1" s="152" t="s">
        <v>294</v>
      </c>
      <c r="D1" s="150" t="s">
        <v>295</v>
      </c>
      <c r="E1" s="150" t="s">
        <v>296</v>
      </c>
      <c r="F1" s="144" t="s">
        <v>80</v>
      </c>
      <c r="G1" s="144" t="s">
        <v>94</v>
      </c>
      <c r="H1" s="144" t="s">
        <v>81</v>
      </c>
      <c r="I1" s="144" t="s">
        <v>82</v>
      </c>
      <c r="J1" s="144" t="s">
        <v>83</v>
      </c>
      <c r="K1" s="144" t="s">
        <v>84</v>
      </c>
      <c r="L1" s="144" t="s">
        <v>85</v>
      </c>
      <c r="M1" s="144" t="s">
        <v>86</v>
      </c>
      <c r="N1" s="144" t="s">
        <v>87</v>
      </c>
      <c r="O1" s="144" t="s">
        <v>88</v>
      </c>
      <c r="P1" s="144" t="s">
        <v>89</v>
      </c>
      <c r="Q1" s="144" t="s">
        <v>90</v>
      </c>
      <c r="R1" s="144" t="s">
        <v>91</v>
      </c>
      <c r="S1" s="144" t="s">
        <v>92</v>
      </c>
      <c r="T1" s="144" t="s">
        <v>38</v>
      </c>
      <c r="U1" s="144" t="s">
        <v>93</v>
      </c>
      <c r="V1" s="144" t="s">
        <v>59</v>
      </c>
      <c r="W1" s="144" t="s">
        <v>95</v>
      </c>
      <c r="X1" s="144" t="s">
        <v>96</v>
      </c>
      <c r="Y1" s="144" t="s">
        <v>155</v>
      </c>
      <c r="Z1" s="144" t="s">
        <v>156</v>
      </c>
      <c r="AA1" s="144" t="s">
        <v>124</v>
      </c>
      <c r="AB1" s="144" t="s">
        <v>293</v>
      </c>
    </row>
    <row r="2" spans="1:28" x14ac:dyDescent="0.25">
      <c r="A2" t="s">
        <v>157</v>
      </c>
      <c r="B2" s="146" t="s">
        <v>163</v>
      </c>
      <c r="C2" s="148">
        <v>2007</v>
      </c>
      <c r="D2" s="151" t="str">
        <f>MID(AF30_ByRubLot34[[#This Row],[AF-30 Lot]],3,3)</f>
        <v>110</v>
      </c>
      <c r="E2" s="151" t="str">
        <f>CONCATENATE(RIGHT(AF30_ByRubLot34[[#This Row],[Year of Production]],2),AF30_ByRubLot34[[#This Row],[Julian Date Jumbo Production]])</f>
        <v>07110</v>
      </c>
      <c r="F2">
        <f>(AF30_ByRubLot[[#This Row],[0-10]]/AF30_ByRubLot34[[Total Charge]:[Total Charge]])</f>
        <v>0</v>
      </c>
      <c r="G2">
        <f>(AF30_ByRubLot[[#This Row],[11-20]]/AF30_ByRubLot34[[Total Charge]:[Total Charge]])</f>
        <v>0</v>
      </c>
      <c r="H2">
        <f>(AF30_ByRubLot[[#This Row],[21-30]]/AF30_ByRubLot34[[Total Charge]:[Total Charge]])</f>
        <v>0</v>
      </c>
      <c r="I2">
        <f>(AF30_ByRubLot[[#This Row],[31-40]]/AF30_ByRubLot34[[Total Charge]:[Total Charge]])</f>
        <v>0.16666666666666666</v>
      </c>
      <c r="J2">
        <f>(AF30_ByRubLot[[#This Row],[41-50]]/AF30_ByRubLot34[[Total Charge]:[Total Charge]])</f>
        <v>0.33333333333333331</v>
      </c>
      <c r="K2">
        <f>(AF30_ByRubLot[[#This Row],[51-60]]/AF30_ByRubLot34[[Total Charge]:[Total Charge]])</f>
        <v>0.33333333333333331</v>
      </c>
      <c r="L2">
        <f>(AF30_ByRubLot[[#This Row],[61-70]]/AF30_ByRubLot34[[Total Charge]:[Total Charge]])</f>
        <v>0.16666666666666666</v>
      </c>
      <c r="M2">
        <f>(AF30_ByRubLot[[#This Row],[71-80]]/AF30_ByRubLot34[[Total Charge]:[Total Charge]])</f>
        <v>0.16666666666666666</v>
      </c>
      <c r="N2">
        <f>(AF30_ByRubLot[[#This Row],[81-90]]/AF30_ByRubLot34[[Total Charge]:[Total Charge]])</f>
        <v>0</v>
      </c>
      <c r="O2">
        <f>(AF30_ByRubLot[[#This Row],[91-100]]/AF30_ByRubLot34[[Total Charge]:[Total Charge]])</f>
        <v>0.33333333333333331</v>
      </c>
      <c r="P2">
        <f>(AF30_ByRubLot[[#This Row],[101-110]]/AF30_ByRubLot34[[Total Charge]:[Total Charge]])</f>
        <v>0.16666666666666666</v>
      </c>
      <c r="Q2">
        <f>(AF30_ByRubLot[[#This Row],[111-120]]/AF30_ByRubLot34[[Total Charge]:[Total Charge]])</f>
        <v>0.5</v>
      </c>
      <c r="R2">
        <f>(AF30_ByRubLot[[#This Row],[121-130]]/AF30_ByRubLot34[[Total Charge]:[Total Charge]])</f>
        <v>0</v>
      </c>
      <c r="S2">
        <f>(AF30_ByRubLot[[#This Row],[131-140]]/AF30_ByRubLot34[[Total Charge]:[Total Charge]])</f>
        <v>0</v>
      </c>
      <c r="T2">
        <v>0</v>
      </c>
      <c r="U2">
        <v>0</v>
      </c>
      <c r="V2" t="s">
        <v>6</v>
      </c>
      <c r="W2">
        <v>6</v>
      </c>
      <c r="X2" s="112"/>
      <c r="Y2">
        <v>2113.8888888888887</v>
      </c>
      <c r="Z2">
        <v>560</v>
      </c>
      <c r="AA2">
        <f t="shared" ref="AA2:AA33" si="0">(Z2/Y2)*100</f>
        <v>26.491458607095929</v>
      </c>
      <c r="AB2">
        <f>SUM(AF30_ByRubLot34[[#This Row],[0-10]:[131-140]])</f>
        <v>2.1666666666666665</v>
      </c>
    </row>
    <row r="3" spans="1:28" x14ac:dyDescent="0.25">
      <c r="A3" t="s">
        <v>157</v>
      </c>
      <c r="B3" s="146" t="s">
        <v>162</v>
      </c>
      <c r="C3" s="148">
        <v>2007</v>
      </c>
      <c r="D3" s="151" t="str">
        <f>MID(AF30_ByRubLot34[[#This Row],[AF-30 Lot]],3,3)</f>
        <v>111</v>
      </c>
      <c r="E3" s="151" t="str">
        <f>CONCATENATE(RIGHT(AF30_ByRubLot34[[#This Row],[Year of Production]],2),AF30_ByRubLot34[[#This Row],[Julian Date Jumbo Production]])</f>
        <v>07111</v>
      </c>
      <c r="F3">
        <f>(AF30_ByRubLot[[#This Row],[0-10]]/AF30_ByRubLot34[[Total Charge]:[Total Charge]])</f>
        <v>0</v>
      </c>
      <c r="G3">
        <f>(AF30_ByRubLot[[#This Row],[11-20]]/AF30_ByRubLot34[[Total Charge]:[Total Charge]])</f>
        <v>0</v>
      </c>
      <c r="H3">
        <f>(AF30_ByRubLot[[#This Row],[21-30]]/AF30_ByRubLot34[[Total Charge]:[Total Charge]])</f>
        <v>0</v>
      </c>
      <c r="I3">
        <f>(AF30_ByRubLot[[#This Row],[31-40]]/AF30_ByRubLot34[[Total Charge]:[Total Charge]])</f>
        <v>0.16666666666666666</v>
      </c>
      <c r="J3">
        <f>(AF30_ByRubLot[[#This Row],[41-50]]/AF30_ByRubLot34[[Total Charge]:[Total Charge]])</f>
        <v>0.33333333333333331</v>
      </c>
      <c r="K3">
        <f>(AF30_ByRubLot[[#This Row],[51-60]]/AF30_ByRubLot34[[Total Charge]:[Total Charge]])</f>
        <v>0.33333333333333331</v>
      </c>
      <c r="L3">
        <f>(AF30_ByRubLot[[#This Row],[61-70]]/AF30_ByRubLot34[[Total Charge]:[Total Charge]])</f>
        <v>0.16666666666666666</v>
      </c>
      <c r="M3">
        <f>(AF30_ByRubLot[[#This Row],[71-80]]/AF30_ByRubLot34[[Total Charge]:[Total Charge]])</f>
        <v>0.16666666666666666</v>
      </c>
      <c r="N3">
        <f>(AF30_ByRubLot[[#This Row],[81-90]]/AF30_ByRubLot34[[Total Charge]:[Total Charge]])</f>
        <v>0</v>
      </c>
      <c r="O3">
        <f>(AF30_ByRubLot[[#This Row],[91-100]]/AF30_ByRubLot34[[Total Charge]:[Total Charge]])</f>
        <v>0.33333333333333331</v>
      </c>
      <c r="P3">
        <f>(AF30_ByRubLot[[#This Row],[101-110]]/AF30_ByRubLot34[[Total Charge]:[Total Charge]])</f>
        <v>0.16666666666666666</v>
      </c>
      <c r="Q3">
        <f>(AF30_ByRubLot[[#This Row],[111-120]]/AF30_ByRubLot34[[Total Charge]:[Total Charge]])</f>
        <v>0.5</v>
      </c>
      <c r="R3">
        <f>(AF30_ByRubLot[[#This Row],[121-130]]/AF30_ByRubLot34[[Total Charge]:[Total Charge]])</f>
        <v>0</v>
      </c>
      <c r="S3">
        <f>(AF30_ByRubLot[[#This Row],[131-140]]/AF30_ByRubLot34[[Total Charge]:[Total Charge]])</f>
        <v>0</v>
      </c>
      <c r="T3">
        <v>0</v>
      </c>
      <c r="U3">
        <v>0</v>
      </c>
      <c r="V3" t="s">
        <v>6</v>
      </c>
      <c r="W3">
        <v>6</v>
      </c>
      <c r="X3" s="112"/>
      <c r="Y3">
        <v>1953.3333333333335</v>
      </c>
      <c r="Z3">
        <v>1121.6666599999999</v>
      </c>
      <c r="AA3">
        <f t="shared" si="0"/>
        <v>57.423207849829339</v>
      </c>
      <c r="AB3">
        <f>SUM(AF30_ByRubLot34[[#This Row],[0-10]:[131-140]])</f>
        <v>2.1666666666666665</v>
      </c>
    </row>
    <row r="4" spans="1:28" x14ac:dyDescent="0.25">
      <c r="A4" t="s">
        <v>157</v>
      </c>
      <c r="B4" s="146" t="s">
        <v>161</v>
      </c>
      <c r="C4" s="148">
        <v>2007</v>
      </c>
      <c r="D4" s="151" t="str">
        <f>MID(AF30_ByRubLot34[[#This Row],[AF-30 Lot]],3,3)</f>
        <v>112</v>
      </c>
      <c r="E4" s="151" t="str">
        <f>CONCATENATE(RIGHT(AF30_ByRubLot34[[#This Row],[Year of Production]],2),AF30_ByRubLot34[[#This Row],[Julian Date Jumbo Production]])</f>
        <v>07112</v>
      </c>
      <c r="F4">
        <f>(AF30_ByRubLot[[#This Row],[0-10]]/AF30_ByRubLot34[[Total Charge]:[Total Charge]])</f>
        <v>0</v>
      </c>
      <c r="G4">
        <f>(AF30_ByRubLot[[#This Row],[11-20]]/AF30_ByRubLot34[[Total Charge]:[Total Charge]])</f>
        <v>0</v>
      </c>
      <c r="H4">
        <f>(AF30_ByRubLot[[#This Row],[21-30]]/AF30_ByRubLot34[[Total Charge]:[Total Charge]])</f>
        <v>0</v>
      </c>
      <c r="I4">
        <f>(AF30_ByRubLot[[#This Row],[31-40]]/AF30_ByRubLot34[[Total Charge]:[Total Charge]])</f>
        <v>0.16666666666666666</v>
      </c>
      <c r="J4">
        <f>(AF30_ByRubLot[[#This Row],[41-50]]/AF30_ByRubLot34[[Total Charge]:[Total Charge]])</f>
        <v>0.33333333333333331</v>
      </c>
      <c r="K4">
        <f>(AF30_ByRubLot[[#This Row],[51-60]]/AF30_ByRubLot34[[Total Charge]:[Total Charge]])</f>
        <v>0.33333333333333331</v>
      </c>
      <c r="L4">
        <f>(AF30_ByRubLot[[#This Row],[61-70]]/AF30_ByRubLot34[[Total Charge]:[Total Charge]])</f>
        <v>0.16666666666666666</v>
      </c>
      <c r="M4">
        <f>(AF30_ByRubLot[[#This Row],[71-80]]/AF30_ByRubLot34[[Total Charge]:[Total Charge]])</f>
        <v>0.16666666666666666</v>
      </c>
      <c r="N4">
        <f>(AF30_ByRubLot[[#This Row],[81-90]]/AF30_ByRubLot34[[Total Charge]:[Total Charge]])</f>
        <v>0</v>
      </c>
      <c r="O4">
        <f>(AF30_ByRubLot[[#This Row],[91-100]]/AF30_ByRubLot34[[Total Charge]:[Total Charge]])</f>
        <v>0.33333333333333331</v>
      </c>
      <c r="P4">
        <f>(AF30_ByRubLot[[#This Row],[101-110]]/AF30_ByRubLot34[[Total Charge]:[Total Charge]])</f>
        <v>0.16666666666666666</v>
      </c>
      <c r="Q4">
        <f>(AF30_ByRubLot[[#This Row],[111-120]]/AF30_ByRubLot34[[Total Charge]:[Total Charge]])</f>
        <v>0.5</v>
      </c>
      <c r="R4">
        <f>(AF30_ByRubLot[[#This Row],[121-130]]/AF30_ByRubLot34[[Total Charge]:[Total Charge]])</f>
        <v>0</v>
      </c>
      <c r="S4">
        <f>(AF30_ByRubLot[[#This Row],[131-140]]/AF30_ByRubLot34[[Total Charge]:[Total Charge]])</f>
        <v>0</v>
      </c>
      <c r="T4">
        <v>0</v>
      </c>
      <c r="U4">
        <v>0</v>
      </c>
      <c r="V4" t="s">
        <v>6</v>
      </c>
      <c r="W4">
        <v>6</v>
      </c>
      <c r="X4" s="112"/>
      <c r="Y4">
        <v>645</v>
      </c>
      <c r="Z4">
        <v>440</v>
      </c>
      <c r="AA4">
        <f t="shared" si="0"/>
        <v>68.217054263565885</v>
      </c>
      <c r="AB4">
        <f>SUM(AF30_ByRubLot34[[#This Row],[0-10]:[131-140]])</f>
        <v>2.1666666666666665</v>
      </c>
    </row>
    <row r="5" spans="1:28" x14ac:dyDescent="0.25">
      <c r="A5" t="s">
        <v>157</v>
      </c>
      <c r="B5" s="146" t="s">
        <v>160</v>
      </c>
      <c r="C5" s="148">
        <v>2007</v>
      </c>
      <c r="D5" s="151" t="str">
        <f>MID(AF30_ByRubLot34[[#This Row],[AF-30 Lot]],3,3)</f>
        <v>113</v>
      </c>
      <c r="E5" s="151" t="str">
        <f>CONCATENATE(RIGHT(AF30_ByRubLot34[[#This Row],[Year of Production]],2),AF30_ByRubLot34[[#This Row],[Julian Date Jumbo Production]])</f>
        <v>07113</v>
      </c>
      <c r="F5">
        <f>(AF30_ByRubLot[[#This Row],[0-10]]/AF30_ByRubLot34[[Total Charge]:[Total Charge]])</f>
        <v>0</v>
      </c>
      <c r="G5">
        <f>(AF30_ByRubLot[[#This Row],[11-20]]/AF30_ByRubLot34[[Total Charge]:[Total Charge]])</f>
        <v>0</v>
      </c>
      <c r="H5">
        <f>(AF30_ByRubLot[[#This Row],[21-30]]/AF30_ByRubLot34[[Total Charge]:[Total Charge]])</f>
        <v>0</v>
      </c>
      <c r="I5">
        <f>(AF30_ByRubLot[[#This Row],[31-40]]/AF30_ByRubLot34[[Total Charge]:[Total Charge]])</f>
        <v>0.16666666666666666</v>
      </c>
      <c r="J5">
        <f>(AF30_ByRubLot[[#This Row],[41-50]]/AF30_ByRubLot34[[Total Charge]:[Total Charge]])</f>
        <v>0.33333333333333331</v>
      </c>
      <c r="K5">
        <f>(AF30_ByRubLot[[#This Row],[51-60]]/AF30_ByRubLot34[[Total Charge]:[Total Charge]])</f>
        <v>0.33333333333333331</v>
      </c>
      <c r="L5">
        <f>(AF30_ByRubLot[[#This Row],[61-70]]/AF30_ByRubLot34[[Total Charge]:[Total Charge]])</f>
        <v>0.16666666666666666</v>
      </c>
      <c r="M5">
        <f>(AF30_ByRubLot[[#This Row],[71-80]]/AF30_ByRubLot34[[Total Charge]:[Total Charge]])</f>
        <v>0.16666666666666666</v>
      </c>
      <c r="N5">
        <f>(AF30_ByRubLot[[#This Row],[81-90]]/AF30_ByRubLot34[[Total Charge]:[Total Charge]])</f>
        <v>0</v>
      </c>
      <c r="O5">
        <f>(AF30_ByRubLot[[#This Row],[91-100]]/AF30_ByRubLot34[[Total Charge]:[Total Charge]])</f>
        <v>0.33333333333333331</v>
      </c>
      <c r="P5">
        <f>(AF30_ByRubLot[[#This Row],[101-110]]/AF30_ByRubLot34[[Total Charge]:[Total Charge]])</f>
        <v>0.16666666666666666</v>
      </c>
      <c r="Q5">
        <f>(AF30_ByRubLot[[#This Row],[111-120]]/AF30_ByRubLot34[[Total Charge]:[Total Charge]])</f>
        <v>0.5</v>
      </c>
      <c r="R5">
        <f>(AF30_ByRubLot[[#This Row],[121-130]]/AF30_ByRubLot34[[Total Charge]:[Total Charge]])</f>
        <v>0</v>
      </c>
      <c r="S5">
        <f>(AF30_ByRubLot[[#This Row],[131-140]]/AF30_ByRubLot34[[Total Charge]:[Total Charge]])</f>
        <v>0</v>
      </c>
      <c r="T5">
        <v>0</v>
      </c>
      <c r="U5">
        <v>0</v>
      </c>
      <c r="V5" t="s">
        <v>6</v>
      </c>
      <c r="W5">
        <v>6</v>
      </c>
      <c r="X5" s="112"/>
      <c r="Y5">
        <v>1047.2222222222222</v>
      </c>
      <c r="Z5">
        <v>520</v>
      </c>
      <c r="AA5">
        <f t="shared" si="0"/>
        <v>49.65517241379311</v>
      </c>
      <c r="AB5">
        <f>SUM(AF30_ByRubLot34[[#This Row],[0-10]:[131-140]])</f>
        <v>2.1666666666666665</v>
      </c>
    </row>
    <row r="6" spans="1:28" x14ac:dyDescent="0.25">
      <c r="A6" t="s">
        <v>157</v>
      </c>
      <c r="B6" s="146" t="s">
        <v>159</v>
      </c>
      <c r="C6" s="148">
        <v>2007</v>
      </c>
      <c r="D6" s="151" t="str">
        <f>MID(AF30_ByRubLot34[[#This Row],[AF-30 Lot]],3,3)</f>
        <v>114</v>
      </c>
      <c r="E6" s="151" t="str">
        <f>CONCATENATE(RIGHT(AF30_ByRubLot34[[#This Row],[Year of Production]],2),AF30_ByRubLot34[[#This Row],[Julian Date Jumbo Production]])</f>
        <v>07114</v>
      </c>
      <c r="F6">
        <f>(AF30_ByRubLot[[#This Row],[0-10]]/AF30_ByRubLot34[[Total Charge]:[Total Charge]])</f>
        <v>0</v>
      </c>
      <c r="G6">
        <f>(AF30_ByRubLot[[#This Row],[11-20]]/AF30_ByRubLot34[[Total Charge]:[Total Charge]])</f>
        <v>0</v>
      </c>
      <c r="H6">
        <f>(AF30_ByRubLot[[#This Row],[21-30]]/AF30_ByRubLot34[[Total Charge]:[Total Charge]])</f>
        <v>0</v>
      </c>
      <c r="I6">
        <f>(AF30_ByRubLot[[#This Row],[31-40]]/AF30_ByRubLot34[[Total Charge]:[Total Charge]])</f>
        <v>0.16666666666666666</v>
      </c>
      <c r="J6">
        <f>(AF30_ByRubLot[[#This Row],[41-50]]/AF30_ByRubLot34[[Total Charge]:[Total Charge]])</f>
        <v>0.33333333333333331</v>
      </c>
      <c r="K6">
        <f>(AF30_ByRubLot[[#This Row],[51-60]]/AF30_ByRubLot34[[Total Charge]:[Total Charge]])</f>
        <v>0.33333333333333331</v>
      </c>
      <c r="L6">
        <f>(AF30_ByRubLot[[#This Row],[61-70]]/AF30_ByRubLot34[[Total Charge]:[Total Charge]])</f>
        <v>0.16666666666666666</v>
      </c>
      <c r="M6">
        <f>(AF30_ByRubLot[[#This Row],[71-80]]/AF30_ByRubLot34[[Total Charge]:[Total Charge]])</f>
        <v>0.16666666666666666</v>
      </c>
      <c r="N6">
        <f>(AF30_ByRubLot[[#This Row],[81-90]]/AF30_ByRubLot34[[Total Charge]:[Total Charge]])</f>
        <v>0</v>
      </c>
      <c r="O6">
        <f>(AF30_ByRubLot[[#This Row],[91-100]]/AF30_ByRubLot34[[Total Charge]:[Total Charge]])</f>
        <v>0.33333333333333331</v>
      </c>
      <c r="P6">
        <f>(AF30_ByRubLot[[#This Row],[101-110]]/AF30_ByRubLot34[[Total Charge]:[Total Charge]])</f>
        <v>0.16666666666666666</v>
      </c>
      <c r="Q6">
        <f>(AF30_ByRubLot[[#This Row],[111-120]]/AF30_ByRubLot34[[Total Charge]:[Total Charge]])</f>
        <v>0.5</v>
      </c>
      <c r="R6">
        <f>(AF30_ByRubLot[[#This Row],[121-130]]/AF30_ByRubLot34[[Total Charge]:[Total Charge]])</f>
        <v>0</v>
      </c>
      <c r="S6">
        <f>(AF30_ByRubLot[[#This Row],[131-140]]/AF30_ByRubLot34[[Total Charge]:[Total Charge]])</f>
        <v>0</v>
      </c>
      <c r="T6">
        <v>0</v>
      </c>
      <c r="U6">
        <v>0</v>
      </c>
      <c r="V6" t="s">
        <v>6</v>
      </c>
      <c r="W6">
        <v>6</v>
      </c>
      <c r="X6" s="112"/>
      <c r="Y6">
        <v>673.88888888888891</v>
      </c>
      <c r="Z6">
        <v>0</v>
      </c>
      <c r="AA6">
        <f t="shared" si="0"/>
        <v>0</v>
      </c>
      <c r="AB6">
        <f>SUM(AF30_ByRubLot34[[#This Row],[0-10]:[131-140]])</f>
        <v>2.1666666666666665</v>
      </c>
    </row>
    <row r="7" spans="1:28" x14ac:dyDescent="0.25">
      <c r="A7" t="s">
        <v>5</v>
      </c>
      <c r="B7" s="146" t="s">
        <v>154</v>
      </c>
      <c r="C7" s="148">
        <v>2007</v>
      </c>
      <c r="D7" s="151" t="str">
        <f>MID(AF30_ByRubLot34[[#This Row],[AF-30 Lot]],3,3)</f>
        <v>115</v>
      </c>
      <c r="E7" s="151" t="str">
        <f>CONCATENATE(RIGHT(AF30_ByRubLot34[[#This Row],[Year of Production]],2),AF30_ByRubLot34[[#This Row],[Julian Date Jumbo Production]])</f>
        <v>07115</v>
      </c>
      <c r="F7">
        <f>(AF30_ByRubLot[[#This Row],[0-10]]/AF30_ByRubLot34[[Total Charge]:[Total Charge]])</f>
        <v>0</v>
      </c>
      <c r="G7">
        <f>(AF30_ByRubLot[[#This Row],[11-20]]/AF30_ByRubLot34[[Total Charge]:[Total Charge]])</f>
        <v>0</v>
      </c>
      <c r="H7">
        <f>(AF30_ByRubLot[[#This Row],[21-30]]/AF30_ByRubLot34[[Total Charge]:[Total Charge]])</f>
        <v>0</v>
      </c>
      <c r="I7">
        <f>(AF30_ByRubLot[[#This Row],[31-40]]/AF30_ByRubLot34[[Total Charge]:[Total Charge]])</f>
        <v>7.6923076923076927E-2</v>
      </c>
      <c r="J7">
        <f>(AF30_ByRubLot[[#This Row],[41-50]]/AF30_ByRubLot34[[Total Charge]:[Total Charge]])</f>
        <v>0.15384615384615385</v>
      </c>
      <c r="K7">
        <f>(AF30_ByRubLot[[#This Row],[51-60]]/AF30_ByRubLot34[[Total Charge]:[Total Charge]])</f>
        <v>0.15384615384615385</v>
      </c>
      <c r="L7">
        <f>(AF30_ByRubLot[[#This Row],[61-70]]/AF30_ByRubLot34[[Total Charge]:[Total Charge]])</f>
        <v>7.6923076923076927E-2</v>
      </c>
      <c r="M7">
        <f>(AF30_ByRubLot[[#This Row],[71-80]]/AF30_ByRubLot34[[Total Charge]:[Total Charge]])</f>
        <v>7.6923076923076927E-2</v>
      </c>
      <c r="N7">
        <f>(AF30_ByRubLot[[#This Row],[81-90]]/AF30_ByRubLot34[[Total Charge]:[Total Charge]])</f>
        <v>0</v>
      </c>
      <c r="O7">
        <f>(AF30_ByRubLot[[#This Row],[91-100]]/AF30_ByRubLot34[[Total Charge]:[Total Charge]])</f>
        <v>0.15384615384615385</v>
      </c>
      <c r="P7">
        <f>(AF30_ByRubLot[[#This Row],[101-110]]/AF30_ByRubLot34[[Total Charge]:[Total Charge]])</f>
        <v>7.6923076923076927E-2</v>
      </c>
      <c r="Q7">
        <f>(AF30_ByRubLot[[#This Row],[111-120]]/AF30_ByRubLot34[[Total Charge]:[Total Charge]])</f>
        <v>0.23076923076923078</v>
      </c>
      <c r="R7">
        <f>(AF30_ByRubLot[[#This Row],[121-130]]/AF30_ByRubLot34[[Total Charge]:[Total Charge]])</f>
        <v>0</v>
      </c>
      <c r="S7">
        <f>(AF30_ByRubLot[[#This Row],[131-140]]/AF30_ByRubLot34[[Total Charge]:[Total Charge]])</f>
        <v>0</v>
      </c>
      <c r="T7">
        <v>0</v>
      </c>
      <c r="U7">
        <v>0</v>
      </c>
      <c r="V7" t="s">
        <v>6</v>
      </c>
      <c r="W7">
        <v>13</v>
      </c>
      <c r="X7" s="112"/>
      <c r="Y7">
        <v>964.44444444444434</v>
      </c>
      <c r="Z7">
        <v>0</v>
      </c>
      <c r="AA7">
        <f t="shared" si="0"/>
        <v>0</v>
      </c>
      <c r="AB7">
        <f>SUM(AF30_ByRubLot34[[#This Row],[0-10]:[131-140]])</f>
        <v>1.0000000000000002</v>
      </c>
    </row>
    <row r="8" spans="1:28" x14ac:dyDescent="0.25">
      <c r="A8" t="s">
        <v>5</v>
      </c>
      <c r="B8" s="146" t="s">
        <v>153</v>
      </c>
      <c r="C8" s="148">
        <v>2007</v>
      </c>
      <c r="D8" s="151" t="str">
        <f>MID(AF30_ByRubLot34[[#This Row],[AF-30 Lot]],3,3)</f>
        <v>116</v>
      </c>
      <c r="E8" s="151" t="str">
        <f>CONCATENATE(RIGHT(AF30_ByRubLot34[[#This Row],[Year of Production]],2),AF30_ByRubLot34[[#This Row],[Julian Date Jumbo Production]])</f>
        <v>07116</v>
      </c>
      <c r="F8">
        <f>(AF30_ByRubLot[[#This Row],[0-10]]/AF30_ByRubLot34[[Total Charge]:[Total Charge]])</f>
        <v>0</v>
      </c>
      <c r="G8">
        <f>(AF30_ByRubLot[[#This Row],[11-20]]/AF30_ByRubLot34[[Total Charge]:[Total Charge]])</f>
        <v>0</v>
      </c>
      <c r="H8">
        <f>(AF30_ByRubLot[[#This Row],[21-30]]/AF30_ByRubLot34[[Total Charge]:[Total Charge]])</f>
        <v>0</v>
      </c>
      <c r="I8">
        <f>(AF30_ByRubLot[[#This Row],[31-40]]/AF30_ByRubLot34[[Total Charge]:[Total Charge]])</f>
        <v>7.6923076923076927E-2</v>
      </c>
      <c r="J8">
        <f>(AF30_ByRubLot[[#This Row],[41-50]]/AF30_ByRubLot34[[Total Charge]:[Total Charge]])</f>
        <v>0.15384615384615385</v>
      </c>
      <c r="K8">
        <f>(AF30_ByRubLot[[#This Row],[51-60]]/AF30_ByRubLot34[[Total Charge]:[Total Charge]])</f>
        <v>0.15384615384615385</v>
      </c>
      <c r="L8">
        <f>(AF30_ByRubLot[[#This Row],[61-70]]/AF30_ByRubLot34[[Total Charge]:[Total Charge]])</f>
        <v>7.6923076923076927E-2</v>
      </c>
      <c r="M8">
        <f>(AF30_ByRubLot[[#This Row],[71-80]]/AF30_ByRubLot34[[Total Charge]:[Total Charge]])</f>
        <v>7.6923076923076927E-2</v>
      </c>
      <c r="N8">
        <f>(AF30_ByRubLot[[#This Row],[81-90]]/AF30_ByRubLot34[[Total Charge]:[Total Charge]])</f>
        <v>0</v>
      </c>
      <c r="O8">
        <f>(AF30_ByRubLot[[#This Row],[91-100]]/AF30_ByRubLot34[[Total Charge]:[Total Charge]])</f>
        <v>0.15384615384615385</v>
      </c>
      <c r="P8">
        <f>(AF30_ByRubLot[[#This Row],[101-110]]/AF30_ByRubLot34[[Total Charge]:[Total Charge]])</f>
        <v>7.6923076923076927E-2</v>
      </c>
      <c r="Q8">
        <f>(AF30_ByRubLot[[#This Row],[111-120]]/AF30_ByRubLot34[[Total Charge]:[Total Charge]])</f>
        <v>0.23076923076923078</v>
      </c>
      <c r="R8">
        <f>(AF30_ByRubLot[[#This Row],[121-130]]/AF30_ByRubLot34[[Total Charge]:[Total Charge]])</f>
        <v>0</v>
      </c>
      <c r="S8">
        <f>(AF30_ByRubLot[[#This Row],[131-140]]/AF30_ByRubLot34[[Total Charge]:[Total Charge]])</f>
        <v>0</v>
      </c>
      <c r="T8">
        <v>0</v>
      </c>
      <c r="U8">
        <v>0</v>
      </c>
      <c r="V8" t="s">
        <v>6</v>
      </c>
      <c r="W8">
        <v>13</v>
      </c>
      <c r="X8" s="112"/>
      <c r="Y8">
        <v>1976.6666666666667</v>
      </c>
      <c r="Z8">
        <v>480</v>
      </c>
      <c r="AA8">
        <f t="shared" si="0"/>
        <v>24.283305227655987</v>
      </c>
      <c r="AB8">
        <f>SUM(AF30_ByRubLot34[[#This Row],[0-10]:[131-140]])</f>
        <v>1.0000000000000002</v>
      </c>
    </row>
    <row r="9" spans="1:28" x14ac:dyDescent="0.25">
      <c r="A9" t="s">
        <v>5</v>
      </c>
      <c r="B9" s="146" t="s">
        <v>152</v>
      </c>
      <c r="C9" s="148">
        <v>2007</v>
      </c>
      <c r="D9" s="151" t="str">
        <f>MID(AF30_ByRubLot34[[#This Row],[AF-30 Lot]],3,3)</f>
        <v>118</v>
      </c>
      <c r="E9" s="151" t="str">
        <f>CONCATENATE(RIGHT(AF30_ByRubLot34[[#This Row],[Year of Production]],2),AF30_ByRubLot34[[#This Row],[Julian Date Jumbo Production]])</f>
        <v>07118</v>
      </c>
      <c r="F9">
        <f>(AF30_ByRubLot[[#This Row],[0-10]]/AF30_ByRubLot34[[Total Charge]:[Total Charge]])</f>
        <v>0</v>
      </c>
      <c r="G9">
        <f>(AF30_ByRubLot[[#This Row],[11-20]]/AF30_ByRubLot34[[Total Charge]:[Total Charge]])</f>
        <v>0</v>
      </c>
      <c r="H9">
        <f>(AF30_ByRubLot[[#This Row],[21-30]]/AF30_ByRubLot34[[Total Charge]:[Total Charge]])</f>
        <v>0</v>
      </c>
      <c r="I9">
        <f>(AF30_ByRubLot[[#This Row],[31-40]]/AF30_ByRubLot34[[Total Charge]:[Total Charge]])</f>
        <v>7.6923076923076927E-2</v>
      </c>
      <c r="J9">
        <f>(AF30_ByRubLot[[#This Row],[41-50]]/AF30_ByRubLot34[[Total Charge]:[Total Charge]])</f>
        <v>0.15384615384615385</v>
      </c>
      <c r="K9">
        <f>(AF30_ByRubLot[[#This Row],[51-60]]/AF30_ByRubLot34[[Total Charge]:[Total Charge]])</f>
        <v>0.15384615384615385</v>
      </c>
      <c r="L9">
        <f>(AF30_ByRubLot[[#This Row],[61-70]]/AF30_ByRubLot34[[Total Charge]:[Total Charge]])</f>
        <v>7.6923076923076927E-2</v>
      </c>
      <c r="M9">
        <f>(AF30_ByRubLot[[#This Row],[71-80]]/AF30_ByRubLot34[[Total Charge]:[Total Charge]])</f>
        <v>7.6923076923076927E-2</v>
      </c>
      <c r="N9">
        <f>(AF30_ByRubLot[[#This Row],[81-90]]/AF30_ByRubLot34[[Total Charge]:[Total Charge]])</f>
        <v>0</v>
      </c>
      <c r="O9">
        <f>(AF30_ByRubLot[[#This Row],[91-100]]/AF30_ByRubLot34[[Total Charge]:[Total Charge]])</f>
        <v>0.15384615384615385</v>
      </c>
      <c r="P9">
        <f>(AF30_ByRubLot[[#This Row],[101-110]]/AF30_ByRubLot34[[Total Charge]:[Total Charge]])</f>
        <v>7.6923076923076927E-2</v>
      </c>
      <c r="Q9">
        <f>(AF30_ByRubLot[[#This Row],[111-120]]/AF30_ByRubLot34[[Total Charge]:[Total Charge]])</f>
        <v>0.23076923076923078</v>
      </c>
      <c r="R9">
        <f>(AF30_ByRubLot[[#This Row],[121-130]]/AF30_ByRubLot34[[Total Charge]:[Total Charge]])</f>
        <v>0</v>
      </c>
      <c r="S9">
        <f>(AF30_ByRubLot[[#This Row],[131-140]]/AF30_ByRubLot34[[Total Charge]:[Total Charge]])</f>
        <v>0</v>
      </c>
      <c r="T9">
        <v>0</v>
      </c>
      <c r="U9">
        <v>0</v>
      </c>
      <c r="V9" t="s">
        <v>6</v>
      </c>
      <c r="W9">
        <v>13</v>
      </c>
      <c r="X9" s="112"/>
      <c r="Y9">
        <v>1008.3333333333334</v>
      </c>
      <c r="Z9">
        <v>0</v>
      </c>
      <c r="AA9">
        <f t="shared" si="0"/>
        <v>0</v>
      </c>
      <c r="AB9">
        <f>SUM(AF30_ByRubLot34[[#This Row],[0-10]:[131-140]])</f>
        <v>1.0000000000000002</v>
      </c>
    </row>
    <row r="10" spans="1:28" x14ac:dyDescent="0.25">
      <c r="A10" t="s">
        <v>5</v>
      </c>
      <c r="B10" s="146" t="s">
        <v>151</v>
      </c>
      <c r="C10" s="148">
        <v>2007</v>
      </c>
      <c r="D10" s="151" t="str">
        <f>MID(AF30_ByRubLot34[[#This Row],[AF-30 Lot]],3,3)</f>
        <v>119</v>
      </c>
      <c r="E10" s="151" t="str">
        <f>CONCATENATE(RIGHT(AF30_ByRubLot34[[#This Row],[Year of Production]],2),AF30_ByRubLot34[[#This Row],[Julian Date Jumbo Production]])</f>
        <v>07119</v>
      </c>
      <c r="F10">
        <f>(AF30_ByRubLot[[#This Row],[0-10]]/AF30_ByRubLot34[[Total Charge]:[Total Charge]])</f>
        <v>0</v>
      </c>
      <c r="G10">
        <f>(AF30_ByRubLot[[#This Row],[11-20]]/AF30_ByRubLot34[[Total Charge]:[Total Charge]])</f>
        <v>0</v>
      </c>
      <c r="H10">
        <f>(AF30_ByRubLot[[#This Row],[21-30]]/AF30_ByRubLot34[[Total Charge]:[Total Charge]])</f>
        <v>0</v>
      </c>
      <c r="I10">
        <f>(AF30_ByRubLot[[#This Row],[31-40]]/AF30_ByRubLot34[[Total Charge]:[Total Charge]])</f>
        <v>7.6923076923076927E-2</v>
      </c>
      <c r="J10">
        <f>(AF30_ByRubLot[[#This Row],[41-50]]/AF30_ByRubLot34[[Total Charge]:[Total Charge]])</f>
        <v>0.15384615384615385</v>
      </c>
      <c r="K10">
        <f>(AF30_ByRubLot[[#This Row],[51-60]]/AF30_ByRubLot34[[Total Charge]:[Total Charge]])</f>
        <v>0.15384615384615385</v>
      </c>
      <c r="L10">
        <f>(AF30_ByRubLot[[#This Row],[61-70]]/AF30_ByRubLot34[[Total Charge]:[Total Charge]])</f>
        <v>7.6923076923076927E-2</v>
      </c>
      <c r="M10">
        <f>(AF30_ByRubLot[[#This Row],[71-80]]/AF30_ByRubLot34[[Total Charge]:[Total Charge]])</f>
        <v>7.6923076923076927E-2</v>
      </c>
      <c r="N10">
        <f>(AF30_ByRubLot[[#This Row],[81-90]]/AF30_ByRubLot34[[Total Charge]:[Total Charge]])</f>
        <v>0</v>
      </c>
      <c r="O10">
        <f>(AF30_ByRubLot[[#This Row],[91-100]]/AF30_ByRubLot34[[Total Charge]:[Total Charge]])</f>
        <v>0.15384615384615385</v>
      </c>
      <c r="P10">
        <f>(AF30_ByRubLot[[#This Row],[101-110]]/AF30_ByRubLot34[[Total Charge]:[Total Charge]])</f>
        <v>7.6923076923076927E-2</v>
      </c>
      <c r="Q10">
        <f>(AF30_ByRubLot[[#This Row],[111-120]]/AF30_ByRubLot34[[Total Charge]:[Total Charge]])</f>
        <v>0.23076923076923078</v>
      </c>
      <c r="R10">
        <f>(AF30_ByRubLot[[#This Row],[121-130]]/AF30_ByRubLot34[[Total Charge]:[Total Charge]])</f>
        <v>0</v>
      </c>
      <c r="S10">
        <f>(AF30_ByRubLot[[#This Row],[131-140]]/AF30_ByRubLot34[[Total Charge]:[Total Charge]])</f>
        <v>0</v>
      </c>
      <c r="T10">
        <v>0</v>
      </c>
      <c r="U10">
        <v>0</v>
      </c>
      <c r="V10" t="s">
        <v>6</v>
      </c>
      <c r="W10">
        <v>13</v>
      </c>
      <c r="X10" s="112"/>
      <c r="Y10">
        <v>1044.4444444444446</v>
      </c>
      <c r="Z10">
        <v>480</v>
      </c>
      <c r="AA10">
        <f t="shared" si="0"/>
        <v>45.957446808510632</v>
      </c>
      <c r="AB10">
        <f>SUM(AF30_ByRubLot34[[#This Row],[0-10]:[131-140]])</f>
        <v>1.0000000000000002</v>
      </c>
    </row>
    <row r="11" spans="1:28" x14ac:dyDescent="0.25">
      <c r="A11" t="s">
        <v>5</v>
      </c>
      <c r="B11" s="146" t="s">
        <v>150</v>
      </c>
      <c r="C11" s="148">
        <v>2007</v>
      </c>
      <c r="D11" s="151" t="str">
        <f>MID(AF30_ByRubLot34[[#This Row],[AF-30 Lot]],3,3)</f>
        <v>120</v>
      </c>
      <c r="E11" s="151" t="str">
        <f>CONCATENATE(RIGHT(AF30_ByRubLot34[[#This Row],[Year of Production]],2),AF30_ByRubLot34[[#This Row],[Julian Date Jumbo Production]])</f>
        <v>07120</v>
      </c>
      <c r="F11">
        <f>(AF30_ByRubLot[[#This Row],[0-10]]/AF30_ByRubLot34[[Total Charge]:[Total Charge]])</f>
        <v>0</v>
      </c>
      <c r="G11">
        <f>(AF30_ByRubLot[[#This Row],[11-20]]/AF30_ByRubLot34[[Total Charge]:[Total Charge]])</f>
        <v>0</v>
      </c>
      <c r="H11">
        <f>(AF30_ByRubLot[[#This Row],[21-30]]/AF30_ByRubLot34[[Total Charge]:[Total Charge]])</f>
        <v>0</v>
      </c>
      <c r="I11">
        <f>(AF30_ByRubLot[[#This Row],[31-40]]/AF30_ByRubLot34[[Total Charge]:[Total Charge]])</f>
        <v>7.6923076923076927E-2</v>
      </c>
      <c r="J11">
        <f>(AF30_ByRubLot[[#This Row],[41-50]]/AF30_ByRubLot34[[Total Charge]:[Total Charge]])</f>
        <v>0.15384615384615385</v>
      </c>
      <c r="K11">
        <f>(AF30_ByRubLot[[#This Row],[51-60]]/AF30_ByRubLot34[[Total Charge]:[Total Charge]])</f>
        <v>0.15384615384615385</v>
      </c>
      <c r="L11">
        <f>(AF30_ByRubLot[[#This Row],[61-70]]/AF30_ByRubLot34[[Total Charge]:[Total Charge]])</f>
        <v>7.6923076923076927E-2</v>
      </c>
      <c r="M11">
        <f>(AF30_ByRubLot[[#This Row],[71-80]]/AF30_ByRubLot34[[Total Charge]:[Total Charge]])</f>
        <v>7.6923076923076927E-2</v>
      </c>
      <c r="N11">
        <f>(AF30_ByRubLot[[#This Row],[81-90]]/AF30_ByRubLot34[[Total Charge]:[Total Charge]])</f>
        <v>0</v>
      </c>
      <c r="O11">
        <f>(AF30_ByRubLot[[#This Row],[91-100]]/AF30_ByRubLot34[[Total Charge]:[Total Charge]])</f>
        <v>0.15384615384615385</v>
      </c>
      <c r="P11">
        <f>(AF30_ByRubLot[[#This Row],[101-110]]/AF30_ByRubLot34[[Total Charge]:[Total Charge]])</f>
        <v>7.6923076923076927E-2</v>
      </c>
      <c r="Q11">
        <f>(AF30_ByRubLot[[#This Row],[111-120]]/AF30_ByRubLot34[[Total Charge]:[Total Charge]])</f>
        <v>0.23076923076923078</v>
      </c>
      <c r="R11">
        <f>(AF30_ByRubLot[[#This Row],[121-130]]/AF30_ByRubLot34[[Total Charge]:[Total Charge]])</f>
        <v>0</v>
      </c>
      <c r="S11">
        <f>(AF30_ByRubLot[[#This Row],[131-140]]/AF30_ByRubLot34[[Total Charge]:[Total Charge]])</f>
        <v>0</v>
      </c>
      <c r="T11">
        <v>0</v>
      </c>
      <c r="U11">
        <v>0</v>
      </c>
      <c r="V11" t="s">
        <v>6</v>
      </c>
      <c r="W11">
        <v>13</v>
      </c>
      <c r="X11" s="112"/>
      <c r="Y11">
        <v>1084.4444444444443</v>
      </c>
      <c r="Z11">
        <v>0</v>
      </c>
      <c r="AA11">
        <f t="shared" si="0"/>
        <v>0</v>
      </c>
      <c r="AB11">
        <f>SUM(AF30_ByRubLot34[[#This Row],[0-10]:[131-140]])</f>
        <v>1.0000000000000002</v>
      </c>
    </row>
    <row r="12" spans="1:28" x14ac:dyDescent="0.25">
      <c r="A12" t="s">
        <v>5</v>
      </c>
      <c r="B12" s="146" t="s">
        <v>149</v>
      </c>
      <c r="C12" s="148">
        <v>2007</v>
      </c>
      <c r="D12" s="151" t="str">
        <f>MID(AF30_ByRubLot34[[#This Row],[AF-30 Lot]],3,3)</f>
        <v>121</v>
      </c>
      <c r="E12" s="151" t="str">
        <f>CONCATENATE(RIGHT(AF30_ByRubLot34[[#This Row],[Year of Production]],2),AF30_ByRubLot34[[#This Row],[Julian Date Jumbo Production]])</f>
        <v>07121</v>
      </c>
      <c r="F12">
        <f>(AF30_ByRubLot[[#This Row],[0-10]]/AF30_ByRubLot34[[Total Charge]:[Total Charge]])</f>
        <v>0</v>
      </c>
      <c r="G12">
        <f>(AF30_ByRubLot[[#This Row],[11-20]]/AF30_ByRubLot34[[Total Charge]:[Total Charge]])</f>
        <v>0</v>
      </c>
      <c r="H12">
        <f>(AF30_ByRubLot[[#This Row],[21-30]]/AF30_ByRubLot34[[Total Charge]:[Total Charge]])</f>
        <v>0</v>
      </c>
      <c r="I12">
        <f>(AF30_ByRubLot[[#This Row],[31-40]]/AF30_ByRubLot34[[Total Charge]:[Total Charge]])</f>
        <v>7.6923076923076927E-2</v>
      </c>
      <c r="J12">
        <f>(AF30_ByRubLot[[#This Row],[41-50]]/AF30_ByRubLot34[[Total Charge]:[Total Charge]])</f>
        <v>0.15384615384615385</v>
      </c>
      <c r="K12">
        <f>(AF30_ByRubLot[[#This Row],[51-60]]/AF30_ByRubLot34[[Total Charge]:[Total Charge]])</f>
        <v>0.15384615384615385</v>
      </c>
      <c r="L12">
        <f>(AF30_ByRubLot[[#This Row],[61-70]]/AF30_ByRubLot34[[Total Charge]:[Total Charge]])</f>
        <v>7.6923076923076927E-2</v>
      </c>
      <c r="M12">
        <f>(AF30_ByRubLot[[#This Row],[71-80]]/AF30_ByRubLot34[[Total Charge]:[Total Charge]])</f>
        <v>7.6923076923076927E-2</v>
      </c>
      <c r="N12">
        <f>(AF30_ByRubLot[[#This Row],[81-90]]/AF30_ByRubLot34[[Total Charge]:[Total Charge]])</f>
        <v>0</v>
      </c>
      <c r="O12">
        <f>(AF30_ByRubLot[[#This Row],[91-100]]/AF30_ByRubLot34[[Total Charge]:[Total Charge]])</f>
        <v>0.15384615384615385</v>
      </c>
      <c r="P12">
        <f>(AF30_ByRubLot[[#This Row],[101-110]]/AF30_ByRubLot34[[Total Charge]:[Total Charge]])</f>
        <v>7.6923076923076927E-2</v>
      </c>
      <c r="Q12">
        <f>(AF30_ByRubLot[[#This Row],[111-120]]/AF30_ByRubLot34[[Total Charge]:[Total Charge]])</f>
        <v>0.23076923076923078</v>
      </c>
      <c r="R12">
        <f>(AF30_ByRubLot[[#This Row],[121-130]]/AF30_ByRubLot34[[Total Charge]:[Total Charge]])</f>
        <v>0</v>
      </c>
      <c r="S12">
        <f>(AF30_ByRubLot[[#This Row],[131-140]]/AF30_ByRubLot34[[Total Charge]:[Total Charge]])</f>
        <v>0</v>
      </c>
      <c r="T12">
        <v>0</v>
      </c>
      <c r="U12">
        <v>0</v>
      </c>
      <c r="V12" t="s">
        <v>6</v>
      </c>
      <c r="W12">
        <v>13</v>
      </c>
      <c r="X12" s="112"/>
      <c r="Y12">
        <v>769.44444444444446</v>
      </c>
      <c r="Z12">
        <v>0</v>
      </c>
      <c r="AA12">
        <f t="shared" si="0"/>
        <v>0</v>
      </c>
      <c r="AB12">
        <f>SUM(AF30_ByRubLot34[[#This Row],[0-10]:[131-140]])</f>
        <v>1.0000000000000002</v>
      </c>
    </row>
    <row r="13" spans="1:28" x14ac:dyDescent="0.25">
      <c r="A13" t="s">
        <v>5</v>
      </c>
      <c r="B13" s="146" t="s">
        <v>148</v>
      </c>
      <c r="C13" s="148">
        <v>2007</v>
      </c>
      <c r="D13" s="151" t="str">
        <f>MID(AF30_ByRubLot34[[#This Row],[AF-30 Lot]],3,3)</f>
        <v>122</v>
      </c>
      <c r="E13" s="151" t="str">
        <f>CONCATENATE(RIGHT(AF30_ByRubLot34[[#This Row],[Year of Production]],2),AF30_ByRubLot34[[#This Row],[Julian Date Jumbo Production]])</f>
        <v>07122</v>
      </c>
      <c r="F13">
        <f>(AF30_ByRubLot[[#This Row],[0-10]]/AF30_ByRubLot34[[Total Charge]:[Total Charge]])</f>
        <v>0</v>
      </c>
      <c r="G13">
        <f>(AF30_ByRubLot[[#This Row],[11-20]]/AF30_ByRubLot34[[Total Charge]:[Total Charge]])</f>
        <v>0</v>
      </c>
      <c r="H13">
        <f>(AF30_ByRubLot[[#This Row],[21-30]]/AF30_ByRubLot34[[Total Charge]:[Total Charge]])</f>
        <v>0</v>
      </c>
      <c r="I13">
        <f>(AF30_ByRubLot[[#This Row],[31-40]]/AF30_ByRubLot34[[Total Charge]:[Total Charge]])</f>
        <v>7.6923076923076927E-2</v>
      </c>
      <c r="J13">
        <f>(AF30_ByRubLot[[#This Row],[41-50]]/AF30_ByRubLot34[[Total Charge]:[Total Charge]])</f>
        <v>0.15384615384615385</v>
      </c>
      <c r="K13">
        <f>(AF30_ByRubLot[[#This Row],[51-60]]/AF30_ByRubLot34[[Total Charge]:[Total Charge]])</f>
        <v>0.15384615384615385</v>
      </c>
      <c r="L13">
        <f>(AF30_ByRubLot[[#This Row],[61-70]]/AF30_ByRubLot34[[Total Charge]:[Total Charge]])</f>
        <v>7.6923076923076927E-2</v>
      </c>
      <c r="M13">
        <f>(AF30_ByRubLot[[#This Row],[71-80]]/AF30_ByRubLot34[[Total Charge]:[Total Charge]])</f>
        <v>7.6923076923076927E-2</v>
      </c>
      <c r="N13">
        <f>(AF30_ByRubLot[[#This Row],[81-90]]/AF30_ByRubLot34[[Total Charge]:[Total Charge]])</f>
        <v>0</v>
      </c>
      <c r="O13">
        <f>(AF30_ByRubLot[[#This Row],[91-100]]/AF30_ByRubLot34[[Total Charge]:[Total Charge]])</f>
        <v>0.15384615384615385</v>
      </c>
      <c r="P13">
        <f>(AF30_ByRubLot[[#This Row],[101-110]]/AF30_ByRubLot34[[Total Charge]:[Total Charge]])</f>
        <v>7.6923076923076927E-2</v>
      </c>
      <c r="Q13">
        <f>(AF30_ByRubLot[[#This Row],[111-120]]/AF30_ByRubLot34[[Total Charge]:[Total Charge]])</f>
        <v>0.23076923076923078</v>
      </c>
      <c r="R13">
        <f>(AF30_ByRubLot[[#This Row],[121-130]]/AF30_ByRubLot34[[Total Charge]:[Total Charge]])</f>
        <v>0</v>
      </c>
      <c r="S13">
        <f>(AF30_ByRubLot[[#This Row],[131-140]]/AF30_ByRubLot34[[Total Charge]:[Total Charge]])</f>
        <v>0</v>
      </c>
      <c r="T13">
        <v>0</v>
      </c>
      <c r="U13">
        <v>0</v>
      </c>
      <c r="V13" t="s">
        <v>6</v>
      </c>
      <c r="W13">
        <v>13</v>
      </c>
      <c r="X13" s="112"/>
      <c r="Y13">
        <v>811.11111111111109</v>
      </c>
      <c r="Z13">
        <v>0</v>
      </c>
      <c r="AA13">
        <f t="shared" si="0"/>
        <v>0</v>
      </c>
      <c r="AB13">
        <f>SUM(AF30_ByRubLot34[[#This Row],[0-10]:[131-140]])</f>
        <v>1.0000000000000002</v>
      </c>
    </row>
    <row r="14" spans="1:28" x14ac:dyDescent="0.25">
      <c r="A14" t="s">
        <v>5</v>
      </c>
      <c r="B14" s="146" t="s">
        <v>147</v>
      </c>
      <c r="C14" s="148">
        <v>2007</v>
      </c>
      <c r="D14" s="151" t="str">
        <f>MID(AF30_ByRubLot34[[#This Row],[AF-30 Lot]],3,3)</f>
        <v>123</v>
      </c>
      <c r="E14" s="151" t="str">
        <f>CONCATENATE(RIGHT(AF30_ByRubLot34[[#This Row],[Year of Production]],2),AF30_ByRubLot34[[#This Row],[Julian Date Jumbo Production]])</f>
        <v>07123</v>
      </c>
      <c r="F14">
        <f>(AF30_ByRubLot[[#This Row],[0-10]]/AF30_ByRubLot34[[Total Charge]:[Total Charge]])</f>
        <v>0</v>
      </c>
      <c r="G14">
        <f>(AF30_ByRubLot[[#This Row],[11-20]]/AF30_ByRubLot34[[Total Charge]:[Total Charge]])</f>
        <v>0</v>
      </c>
      <c r="H14">
        <f>(AF30_ByRubLot[[#This Row],[21-30]]/AF30_ByRubLot34[[Total Charge]:[Total Charge]])</f>
        <v>0</v>
      </c>
      <c r="I14">
        <f>(AF30_ByRubLot[[#This Row],[31-40]]/AF30_ByRubLot34[[Total Charge]:[Total Charge]])</f>
        <v>7.6923076923076927E-2</v>
      </c>
      <c r="J14">
        <f>(AF30_ByRubLot[[#This Row],[41-50]]/AF30_ByRubLot34[[Total Charge]:[Total Charge]])</f>
        <v>0.15384615384615385</v>
      </c>
      <c r="K14">
        <f>(AF30_ByRubLot[[#This Row],[51-60]]/AF30_ByRubLot34[[Total Charge]:[Total Charge]])</f>
        <v>0.15384615384615385</v>
      </c>
      <c r="L14">
        <f>(AF30_ByRubLot[[#This Row],[61-70]]/AF30_ByRubLot34[[Total Charge]:[Total Charge]])</f>
        <v>7.6923076923076927E-2</v>
      </c>
      <c r="M14">
        <f>(AF30_ByRubLot[[#This Row],[71-80]]/AF30_ByRubLot34[[Total Charge]:[Total Charge]])</f>
        <v>7.6923076923076927E-2</v>
      </c>
      <c r="N14">
        <f>(AF30_ByRubLot[[#This Row],[81-90]]/AF30_ByRubLot34[[Total Charge]:[Total Charge]])</f>
        <v>0</v>
      </c>
      <c r="O14">
        <f>(AF30_ByRubLot[[#This Row],[91-100]]/AF30_ByRubLot34[[Total Charge]:[Total Charge]])</f>
        <v>0.15384615384615385</v>
      </c>
      <c r="P14">
        <f>(AF30_ByRubLot[[#This Row],[101-110]]/AF30_ByRubLot34[[Total Charge]:[Total Charge]])</f>
        <v>7.6923076923076927E-2</v>
      </c>
      <c r="Q14">
        <f>(AF30_ByRubLot[[#This Row],[111-120]]/AF30_ByRubLot34[[Total Charge]:[Total Charge]])</f>
        <v>0.23076923076923078</v>
      </c>
      <c r="R14">
        <f>(AF30_ByRubLot[[#This Row],[121-130]]/AF30_ByRubLot34[[Total Charge]:[Total Charge]])</f>
        <v>0</v>
      </c>
      <c r="S14">
        <f>(AF30_ByRubLot[[#This Row],[131-140]]/AF30_ByRubLot34[[Total Charge]:[Total Charge]])</f>
        <v>0</v>
      </c>
      <c r="T14">
        <v>0</v>
      </c>
      <c r="U14">
        <v>0</v>
      </c>
      <c r="V14" t="s">
        <v>6</v>
      </c>
      <c r="W14">
        <v>13</v>
      </c>
      <c r="X14" s="112"/>
      <c r="Y14">
        <v>766.66666666666674</v>
      </c>
      <c r="Z14">
        <v>320</v>
      </c>
      <c r="AA14">
        <f t="shared" si="0"/>
        <v>41.739130434782609</v>
      </c>
      <c r="AB14">
        <f>SUM(AF30_ByRubLot34[[#This Row],[0-10]:[131-140]])</f>
        <v>1.0000000000000002</v>
      </c>
    </row>
    <row r="15" spans="1:28" x14ac:dyDescent="0.25">
      <c r="A15" t="s">
        <v>5</v>
      </c>
      <c r="B15" s="146" t="s">
        <v>146</v>
      </c>
      <c r="C15" s="148">
        <v>2007</v>
      </c>
      <c r="D15" s="151" t="str">
        <f>MID(AF30_ByRubLot34[[#This Row],[AF-30 Lot]],3,3)</f>
        <v>124</v>
      </c>
      <c r="E15" s="151" t="str">
        <f>CONCATENATE(RIGHT(AF30_ByRubLot34[[#This Row],[Year of Production]],2),AF30_ByRubLot34[[#This Row],[Julian Date Jumbo Production]])</f>
        <v>07124</v>
      </c>
      <c r="F15">
        <f>(AF30_ByRubLot[[#This Row],[0-10]]/AF30_ByRubLot34[[Total Charge]:[Total Charge]])</f>
        <v>0</v>
      </c>
      <c r="G15">
        <f>(AF30_ByRubLot[[#This Row],[11-20]]/AF30_ByRubLot34[[Total Charge]:[Total Charge]])</f>
        <v>0</v>
      </c>
      <c r="H15">
        <f>(AF30_ByRubLot[[#This Row],[21-30]]/AF30_ByRubLot34[[Total Charge]:[Total Charge]])</f>
        <v>0</v>
      </c>
      <c r="I15">
        <f>(AF30_ByRubLot[[#This Row],[31-40]]/AF30_ByRubLot34[[Total Charge]:[Total Charge]])</f>
        <v>7.6923076923076927E-2</v>
      </c>
      <c r="J15">
        <f>(AF30_ByRubLot[[#This Row],[41-50]]/AF30_ByRubLot34[[Total Charge]:[Total Charge]])</f>
        <v>0.15384615384615385</v>
      </c>
      <c r="K15">
        <f>(AF30_ByRubLot[[#This Row],[51-60]]/AF30_ByRubLot34[[Total Charge]:[Total Charge]])</f>
        <v>0.15384615384615385</v>
      </c>
      <c r="L15">
        <f>(AF30_ByRubLot[[#This Row],[61-70]]/AF30_ByRubLot34[[Total Charge]:[Total Charge]])</f>
        <v>7.6923076923076927E-2</v>
      </c>
      <c r="M15">
        <f>(AF30_ByRubLot[[#This Row],[71-80]]/AF30_ByRubLot34[[Total Charge]:[Total Charge]])</f>
        <v>7.6923076923076927E-2</v>
      </c>
      <c r="N15">
        <f>(AF30_ByRubLot[[#This Row],[81-90]]/AF30_ByRubLot34[[Total Charge]:[Total Charge]])</f>
        <v>0</v>
      </c>
      <c r="O15">
        <f>(AF30_ByRubLot[[#This Row],[91-100]]/AF30_ByRubLot34[[Total Charge]:[Total Charge]])</f>
        <v>0.15384615384615385</v>
      </c>
      <c r="P15">
        <f>(AF30_ByRubLot[[#This Row],[101-110]]/AF30_ByRubLot34[[Total Charge]:[Total Charge]])</f>
        <v>7.6923076923076927E-2</v>
      </c>
      <c r="Q15">
        <f>(AF30_ByRubLot[[#This Row],[111-120]]/AF30_ByRubLot34[[Total Charge]:[Total Charge]])</f>
        <v>0.23076923076923078</v>
      </c>
      <c r="R15">
        <f>(AF30_ByRubLot[[#This Row],[121-130]]/AF30_ByRubLot34[[Total Charge]:[Total Charge]])</f>
        <v>0</v>
      </c>
      <c r="S15">
        <f>(AF30_ByRubLot[[#This Row],[131-140]]/AF30_ByRubLot34[[Total Charge]:[Total Charge]])</f>
        <v>0</v>
      </c>
      <c r="T15">
        <v>0</v>
      </c>
      <c r="U15">
        <v>0</v>
      </c>
      <c r="V15" t="s">
        <v>6</v>
      </c>
      <c r="W15">
        <v>13</v>
      </c>
      <c r="X15" s="112"/>
      <c r="Y15">
        <v>1707.2222222222224</v>
      </c>
      <c r="Z15">
        <v>1555.3333200000002</v>
      </c>
      <c r="AA15">
        <f t="shared" si="0"/>
        <v>91.103155743573055</v>
      </c>
      <c r="AB15">
        <f>SUM(AF30_ByRubLot34[[#This Row],[0-10]:[131-140]])</f>
        <v>1.0000000000000002</v>
      </c>
    </row>
    <row r="16" spans="1:28" x14ac:dyDescent="0.25">
      <c r="A16" t="s">
        <v>5</v>
      </c>
      <c r="B16" s="146" t="s">
        <v>145</v>
      </c>
      <c r="C16" s="148">
        <v>2007</v>
      </c>
      <c r="D16" s="151" t="str">
        <f>MID(AF30_ByRubLot34[[#This Row],[AF-30 Lot]],3,3)</f>
        <v>125</v>
      </c>
      <c r="E16" s="151" t="str">
        <f>CONCATENATE(RIGHT(AF30_ByRubLot34[[#This Row],[Year of Production]],2),AF30_ByRubLot34[[#This Row],[Julian Date Jumbo Production]])</f>
        <v>07125</v>
      </c>
      <c r="F16">
        <f>(AF30_ByRubLot[[#This Row],[0-10]]/AF30_ByRubLot34[[Total Charge]:[Total Charge]])</f>
        <v>0</v>
      </c>
      <c r="G16">
        <f>(AF30_ByRubLot[[#This Row],[11-20]]/AF30_ByRubLot34[[Total Charge]:[Total Charge]])</f>
        <v>0</v>
      </c>
      <c r="H16">
        <f>(AF30_ByRubLot[[#This Row],[21-30]]/AF30_ByRubLot34[[Total Charge]:[Total Charge]])</f>
        <v>0</v>
      </c>
      <c r="I16">
        <f>(AF30_ByRubLot[[#This Row],[31-40]]/AF30_ByRubLot34[[Total Charge]:[Total Charge]])</f>
        <v>7.6923076923076927E-2</v>
      </c>
      <c r="J16">
        <f>(AF30_ByRubLot[[#This Row],[41-50]]/AF30_ByRubLot34[[Total Charge]:[Total Charge]])</f>
        <v>0.15384615384615385</v>
      </c>
      <c r="K16">
        <f>(AF30_ByRubLot[[#This Row],[51-60]]/AF30_ByRubLot34[[Total Charge]:[Total Charge]])</f>
        <v>0.15384615384615385</v>
      </c>
      <c r="L16">
        <f>(AF30_ByRubLot[[#This Row],[61-70]]/AF30_ByRubLot34[[Total Charge]:[Total Charge]])</f>
        <v>7.6923076923076927E-2</v>
      </c>
      <c r="M16">
        <f>(AF30_ByRubLot[[#This Row],[71-80]]/AF30_ByRubLot34[[Total Charge]:[Total Charge]])</f>
        <v>7.6923076923076927E-2</v>
      </c>
      <c r="N16">
        <f>(AF30_ByRubLot[[#This Row],[81-90]]/AF30_ByRubLot34[[Total Charge]:[Total Charge]])</f>
        <v>0</v>
      </c>
      <c r="O16">
        <f>(AF30_ByRubLot[[#This Row],[91-100]]/AF30_ByRubLot34[[Total Charge]:[Total Charge]])</f>
        <v>0.15384615384615385</v>
      </c>
      <c r="P16">
        <f>(AF30_ByRubLot[[#This Row],[101-110]]/AF30_ByRubLot34[[Total Charge]:[Total Charge]])</f>
        <v>7.6923076923076927E-2</v>
      </c>
      <c r="Q16">
        <f>(AF30_ByRubLot[[#This Row],[111-120]]/AF30_ByRubLot34[[Total Charge]:[Total Charge]])</f>
        <v>0.23076923076923078</v>
      </c>
      <c r="R16">
        <f>(AF30_ByRubLot[[#This Row],[121-130]]/AF30_ByRubLot34[[Total Charge]:[Total Charge]])</f>
        <v>0</v>
      </c>
      <c r="S16">
        <f>(AF30_ByRubLot[[#This Row],[131-140]]/AF30_ByRubLot34[[Total Charge]:[Total Charge]])</f>
        <v>0</v>
      </c>
      <c r="T16">
        <v>0</v>
      </c>
      <c r="U16">
        <v>0</v>
      </c>
      <c r="V16" t="s">
        <v>6</v>
      </c>
      <c r="W16">
        <v>13</v>
      </c>
      <c r="X16" s="112"/>
      <c r="Y16">
        <v>916.66666666666663</v>
      </c>
      <c r="Z16">
        <v>0</v>
      </c>
      <c r="AA16">
        <f t="shared" si="0"/>
        <v>0</v>
      </c>
      <c r="AB16">
        <f>SUM(AF30_ByRubLot34[[#This Row],[0-10]:[131-140]])</f>
        <v>1.0000000000000002</v>
      </c>
    </row>
    <row r="17" spans="1:28" x14ac:dyDescent="0.25">
      <c r="A17" t="s">
        <v>5</v>
      </c>
      <c r="B17" s="146" t="s">
        <v>144</v>
      </c>
      <c r="C17" s="148">
        <v>2007</v>
      </c>
      <c r="D17" s="151" t="str">
        <f>MID(AF30_ByRubLot34[[#This Row],[AF-30 Lot]],3,3)</f>
        <v>127</v>
      </c>
      <c r="E17" s="151" t="str">
        <f>CONCATENATE(RIGHT(AF30_ByRubLot34[[#This Row],[Year of Production]],2),AF30_ByRubLot34[[#This Row],[Julian Date Jumbo Production]])</f>
        <v>07127</v>
      </c>
      <c r="F17">
        <f>(AF30_ByRubLot[[#This Row],[0-10]]/AF30_ByRubLot34[[Total Charge]:[Total Charge]])</f>
        <v>0</v>
      </c>
      <c r="G17">
        <f>(AF30_ByRubLot[[#This Row],[11-20]]/AF30_ByRubLot34[[Total Charge]:[Total Charge]])</f>
        <v>0</v>
      </c>
      <c r="H17">
        <f>(AF30_ByRubLot[[#This Row],[21-30]]/AF30_ByRubLot34[[Total Charge]:[Total Charge]])</f>
        <v>0</v>
      </c>
      <c r="I17">
        <f>(AF30_ByRubLot[[#This Row],[31-40]]/AF30_ByRubLot34[[Total Charge]:[Total Charge]])</f>
        <v>7.6923076923076927E-2</v>
      </c>
      <c r="J17">
        <f>(AF30_ByRubLot[[#This Row],[41-50]]/AF30_ByRubLot34[[Total Charge]:[Total Charge]])</f>
        <v>0.15384615384615385</v>
      </c>
      <c r="K17">
        <f>(AF30_ByRubLot[[#This Row],[51-60]]/AF30_ByRubLot34[[Total Charge]:[Total Charge]])</f>
        <v>0.15384615384615385</v>
      </c>
      <c r="L17">
        <f>(AF30_ByRubLot[[#This Row],[61-70]]/AF30_ByRubLot34[[Total Charge]:[Total Charge]])</f>
        <v>7.6923076923076927E-2</v>
      </c>
      <c r="M17">
        <f>(AF30_ByRubLot[[#This Row],[71-80]]/AF30_ByRubLot34[[Total Charge]:[Total Charge]])</f>
        <v>7.6923076923076927E-2</v>
      </c>
      <c r="N17">
        <f>(AF30_ByRubLot[[#This Row],[81-90]]/AF30_ByRubLot34[[Total Charge]:[Total Charge]])</f>
        <v>0</v>
      </c>
      <c r="O17">
        <f>(AF30_ByRubLot[[#This Row],[91-100]]/AF30_ByRubLot34[[Total Charge]:[Total Charge]])</f>
        <v>0.15384615384615385</v>
      </c>
      <c r="P17">
        <f>(AF30_ByRubLot[[#This Row],[101-110]]/AF30_ByRubLot34[[Total Charge]:[Total Charge]])</f>
        <v>7.6923076923076927E-2</v>
      </c>
      <c r="Q17">
        <f>(AF30_ByRubLot[[#This Row],[111-120]]/AF30_ByRubLot34[[Total Charge]:[Total Charge]])</f>
        <v>0.23076923076923078</v>
      </c>
      <c r="R17">
        <f>(AF30_ByRubLot[[#This Row],[121-130]]/AF30_ByRubLot34[[Total Charge]:[Total Charge]])</f>
        <v>0</v>
      </c>
      <c r="S17">
        <f>(AF30_ByRubLot[[#This Row],[131-140]]/AF30_ByRubLot34[[Total Charge]:[Total Charge]])</f>
        <v>0</v>
      </c>
      <c r="T17">
        <v>0</v>
      </c>
      <c r="U17">
        <v>0</v>
      </c>
      <c r="V17" t="s">
        <v>6</v>
      </c>
      <c r="W17">
        <v>13</v>
      </c>
      <c r="X17" s="112"/>
      <c r="Y17">
        <v>661.66666666666663</v>
      </c>
      <c r="Z17">
        <v>359.83329999999995</v>
      </c>
      <c r="AA17">
        <f t="shared" si="0"/>
        <v>54.382866498740547</v>
      </c>
      <c r="AB17">
        <f>SUM(AF30_ByRubLot34[[#This Row],[0-10]:[131-140]])</f>
        <v>1.0000000000000002</v>
      </c>
    </row>
    <row r="18" spans="1:28" x14ac:dyDescent="0.25">
      <c r="A18" t="s">
        <v>5</v>
      </c>
      <c r="B18" s="146" t="s">
        <v>143</v>
      </c>
      <c r="C18" s="148">
        <v>2007</v>
      </c>
      <c r="D18" s="151" t="str">
        <f>MID(AF30_ByRubLot34[[#This Row],[AF-30 Lot]],3,3)</f>
        <v>128</v>
      </c>
      <c r="E18" s="151" t="str">
        <f>CONCATENATE(RIGHT(AF30_ByRubLot34[[#This Row],[Year of Production]],2),AF30_ByRubLot34[[#This Row],[Julian Date Jumbo Production]])</f>
        <v>07128</v>
      </c>
      <c r="F18">
        <f>(AF30_ByRubLot[[#This Row],[0-10]]/AF30_ByRubLot34[[Total Charge]:[Total Charge]])</f>
        <v>0</v>
      </c>
      <c r="G18">
        <f>(AF30_ByRubLot[[#This Row],[11-20]]/AF30_ByRubLot34[[Total Charge]:[Total Charge]])</f>
        <v>0</v>
      </c>
      <c r="H18">
        <f>(AF30_ByRubLot[[#This Row],[21-30]]/AF30_ByRubLot34[[Total Charge]:[Total Charge]])</f>
        <v>0</v>
      </c>
      <c r="I18">
        <f>(AF30_ByRubLot[[#This Row],[31-40]]/AF30_ByRubLot34[[Total Charge]:[Total Charge]])</f>
        <v>7.6923076923076927E-2</v>
      </c>
      <c r="J18">
        <f>(AF30_ByRubLot[[#This Row],[41-50]]/AF30_ByRubLot34[[Total Charge]:[Total Charge]])</f>
        <v>0.15384615384615385</v>
      </c>
      <c r="K18">
        <f>(AF30_ByRubLot[[#This Row],[51-60]]/AF30_ByRubLot34[[Total Charge]:[Total Charge]])</f>
        <v>0.15384615384615385</v>
      </c>
      <c r="L18">
        <f>(AF30_ByRubLot[[#This Row],[61-70]]/AF30_ByRubLot34[[Total Charge]:[Total Charge]])</f>
        <v>7.6923076923076927E-2</v>
      </c>
      <c r="M18">
        <f>(AF30_ByRubLot[[#This Row],[71-80]]/AF30_ByRubLot34[[Total Charge]:[Total Charge]])</f>
        <v>7.6923076923076927E-2</v>
      </c>
      <c r="N18">
        <f>(AF30_ByRubLot[[#This Row],[81-90]]/AF30_ByRubLot34[[Total Charge]:[Total Charge]])</f>
        <v>0</v>
      </c>
      <c r="O18">
        <f>(AF30_ByRubLot[[#This Row],[91-100]]/AF30_ByRubLot34[[Total Charge]:[Total Charge]])</f>
        <v>0.15384615384615385</v>
      </c>
      <c r="P18">
        <f>(AF30_ByRubLot[[#This Row],[101-110]]/AF30_ByRubLot34[[Total Charge]:[Total Charge]])</f>
        <v>7.6923076923076927E-2</v>
      </c>
      <c r="Q18">
        <f>(AF30_ByRubLot[[#This Row],[111-120]]/AF30_ByRubLot34[[Total Charge]:[Total Charge]])</f>
        <v>0.23076923076923078</v>
      </c>
      <c r="R18">
        <f>(AF30_ByRubLot[[#This Row],[121-130]]/AF30_ByRubLot34[[Total Charge]:[Total Charge]])</f>
        <v>0</v>
      </c>
      <c r="S18">
        <f>(AF30_ByRubLot[[#This Row],[131-140]]/AF30_ByRubLot34[[Total Charge]:[Total Charge]])</f>
        <v>0</v>
      </c>
      <c r="T18">
        <v>0</v>
      </c>
      <c r="U18">
        <v>0</v>
      </c>
      <c r="V18" t="s">
        <v>6</v>
      </c>
      <c r="W18">
        <v>13</v>
      </c>
      <c r="X18" s="112"/>
      <c r="Y18">
        <v>1684.4444444444443</v>
      </c>
      <c r="Z18">
        <v>0</v>
      </c>
      <c r="AA18">
        <f t="shared" si="0"/>
        <v>0</v>
      </c>
      <c r="AB18">
        <f>SUM(AF30_ByRubLot34[[#This Row],[0-10]:[131-140]])</f>
        <v>1.0000000000000002</v>
      </c>
    </row>
    <row r="19" spans="1:28" x14ac:dyDescent="0.25">
      <c r="A19" t="s">
        <v>5</v>
      </c>
      <c r="B19" s="146" t="s">
        <v>142</v>
      </c>
      <c r="C19" s="148">
        <v>2008</v>
      </c>
      <c r="D19" s="151" t="str">
        <f>MID(AF30_ByRubLot34[[#This Row],[AF-30 Lot]],3,3)</f>
        <v>129</v>
      </c>
      <c r="E19" s="151" t="str">
        <f>CONCATENATE(RIGHT(AF30_ByRubLot34[[#This Row],[Year of Production]],2),AF30_ByRubLot34[[#This Row],[Julian Date Jumbo Production]])</f>
        <v>08129</v>
      </c>
      <c r="F19">
        <f>(AF30_ByRubLot[[#This Row],[0-10]]/AF30_ByRubLot34[[Total Charge]:[Total Charge]])</f>
        <v>0</v>
      </c>
      <c r="G19">
        <f>(AF30_ByRubLot[[#This Row],[11-20]]/AF30_ByRubLot34[[Total Charge]:[Total Charge]])</f>
        <v>0</v>
      </c>
      <c r="H19">
        <f>(AF30_ByRubLot[[#This Row],[21-30]]/AF30_ByRubLot34[[Total Charge]:[Total Charge]])</f>
        <v>0</v>
      </c>
      <c r="I19">
        <f>(AF30_ByRubLot[[#This Row],[31-40]]/AF30_ByRubLot34[[Total Charge]:[Total Charge]])</f>
        <v>7.6923076923076927E-2</v>
      </c>
      <c r="J19">
        <f>(AF30_ByRubLot[[#This Row],[41-50]]/AF30_ByRubLot34[[Total Charge]:[Total Charge]])</f>
        <v>0.15384615384615385</v>
      </c>
      <c r="K19">
        <f>(AF30_ByRubLot[[#This Row],[51-60]]/AF30_ByRubLot34[[Total Charge]:[Total Charge]])</f>
        <v>0.15384615384615385</v>
      </c>
      <c r="L19">
        <f>(AF30_ByRubLot[[#This Row],[61-70]]/AF30_ByRubLot34[[Total Charge]:[Total Charge]])</f>
        <v>7.6923076923076927E-2</v>
      </c>
      <c r="M19">
        <f>(AF30_ByRubLot[[#This Row],[71-80]]/AF30_ByRubLot34[[Total Charge]:[Total Charge]])</f>
        <v>7.6923076923076927E-2</v>
      </c>
      <c r="N19">
        <f>(AF30_ByRubLot[[#This Row],[81-90]]/AF30_ByRubLot34[[Total Charge]:[Total Charge]])</f>
        <v>0</v>
      </c>
      <c r="O19">
        <f>(AF30_ByRubLot[[#This Row],[91-100]]/AF30_ByRubLot34[[Total Charge]:[Total Charge]])</f>
        <v>0.15384615384615385</v>
      </c>
      <c r="P19">
        <f>(AF30_ByRubLot[[#This Row],[101-110]]/AF30_ByRubLot34[[Total Charge]:[Total Charge]])</f>
        <v>7.6923076923076927E-2</v>
      </c>
      <c r="Q19">
        <f>(AF30_ByRubLot[[#This Row],[111-120]]/AF30_ByRubLot34[[Total Charge]:[Total Charge]])</f>
        <v>0.23076923076923078</v>
      </c>
      <c r="R19">
        <f>(AF30_ByRubLot[[#This Row],[121-130]]/AF30_ByRubLot34[[Total Charge]:[Total Charge]])</f>
        <v>0</v>
      </c>
      <c r="S19">
        <f>(AF30_ByRubLot[[#This Row],[131-140]]/AF30_ByRubLot34[[Total Charge]:[Total Charge]])</f>
        <v>0</v>
      </c>
      <c r="T19">
        <v>0</v>
      </c>
      <c r="U19">
        <v>0</v>
      </c>
      <c r="V19" t="s">
        <v>6</v>
      </c>
      <c r="W19">
        <v>13</v>
      </c>
      <c r="X19" s="112"/>
      <c r="Y19">
        <v>1660</v>
      </c>
      <c r="Z19">
        <v>600</v>
      </c>
      <c r="AA19">
        <f t="shared" si="0"/>
        <v>36.144578313253014</v>
      </c>
      <c r="AB19">
        <f>SUM(AF30_ByRubLot34[[#This Row],[0-10]:[131-140]])</f>
        <v>1.0000000000000002</v>
      </c>
    </row>
    <row r="20" spans="1:28" x14ac:dyDescent="0.25">
      <c r="A20" t="s">
        <v>5</v>
      </c>
      <c r="B20" s="146" t="s">
        <v>141</v>
      </c>
      <c r="C20" s="148">
        <v>2008</v>
      </c>
      <c r="D20" s="151" t="str">
        <f>MID(AF30_ByRubLot34[[#This Row],[AF-30 Lot]],3,3)</f>
        <v>130</v>
      </c>
      <c r="E20" s="151" t="str">
        <f>CONCATENATE(RIGHT(AF30_ByRubLot34[[#This Row],[Year of Production]],2),AF30_ByRubLot34[[#This Row],[Julian Date Jumbo Production]])</f>
        <v>08130</v>
      </c>
      <c r="F20">
        <f>(AF30_ByRubLot[[#This Row],[0-10]]/AF30_ByRubLot34[[Total Charge]:[Total Charge]])</f>
        <v>0</v>
      </c>
      <c r="G20">
        <f>(AF30_ByRubLot[[#This Row],[11-20]]/AF30_ByRubLot34[[Total Charge]:[Total Charge]])</f>
        <v>0</v>
      </c>
      <c r="H20">
        <f>(AF30_ByRubLot[[#This Row],[21-30]]/AF30_ByRubLot34[[Total Charge]:[Total Charge]])</f>
        <v>0</v>
      </c>
      <c r="I20">
        <f>(AF30_ByRubLot[[#This Row],[31-40]]/AF30_ByRubLot34[[Total Charge]:[Total Charge]])</f>
        <v>7.6923076923076927E-2</v>
      </c>
      <c r="J20">
        <f>(AF30_ByRubLot[[#This Row],[41-50]]/AF30_ByRubLot34[[Total Charge]:[Total Charge]])</f>
        <v>0.15384615384615385</v>
      </c>
      <c r="K20">
        <f>(AF30_ByRubLot[[#This Row],[51-60]]/AF30_ByRubLot34[[Total Charge]:[Total Charge]])</f>
        <v>0.15384615384615385</v>
      </c>
      <c r="L20">
        <f>(AF30_ByRubLot[[#This Row],[61-70]]/AF30_ByRubLot34[[Total Charge]:[Total Charge]])</f>
        <v>7.6923076923076927E-2</v>
      </c>
      <c r="M20">
        <f>(AF30_ByRubLot[[#This Row],[71-80]]/AF30_ByRubLot34[[Total Charge]:[Total Charge]])</f>
        <v>7.6923076923076927E-2</v>
      </c>
      <c r="N20">
        <f>(AF30_ByRubLot[[#This Row],[81-90]]/AF30_ByRubLot34[[Total Charge]:[Total Charge]])</f>
        <v>0</v>
      </c>
      <c r="O20">
        <f>(AF30_ByRubLot[[#This Row],[91-100]]/AF30_ByRubLot34[[Total Charge]:[Total Charge]])</f>
        <v>0.15384615384615385</v>
      </c>
      <c r="P20">
        <f>(AF30_ByRubLot[[#This Row],[101-110]]/AF30_ByRubLot34[[Total Charge]:[Total Charge]])</f>
        <v>7.6923076923076927E-2</v>
      </c>
      <c r="Q20">
        <f>(AF30_ByRubLot[[#This Row],[111-120]]/AF30_ByRubLot34[[Total Charge]:[Total Charge]])</f>
        <v>0.23076923076923078</v>
      </c>
      <c r="R20">
        <f>(AF30_ByRubLot[[#This Row],[121-130]]/AF30_ByRubLot34[[Total Charge]:[Total Charge]])</f>
        <v>0</v>
      </c>
      <c r="S20">
        <f>(AF30_ByRubLot[[#This Row],[131-140]]/AF30_ByRubLot34[[Total Charge]:[Total Charge]])</f>
        <v>0</v>
      </c>
      <c r="T20">
        <v>0</v>
      </c>
      <c r="U20">
        <v>0</v>
      </c>
      <c r="V20" t="s">
        <v>6</v>
      </c>
      <c r="W20">
        <v>13</v>
      </c>
      <c r="X20" s="112"/>
      <c r="Y20">
        <v>869.44444444444434</v>
      </c>
      <c r="Z20">
        <v>0</v>
      </c>
      <c r="AA20">
        <f t="shared" si="0"/>
        <v>0</v>
      </c>
      <c r="AB20">
        <f>SUM(AF30_ByRubLot34[[#This Row],[0-10]:[131-140]])</f>
        <v>1.0000000000000002</v>
      </c>
    </row>
    <row r="21" spans="1:28" x14ac:dyDescent="0.25">
      <c r="A21" t="s">
        <v>5</v>
      </c>
      <c r="B21" s="146" t="s">
        <v>140</v>
      </c>
      <c r="C21" s="148">
        <v>2008</v>
      </c>
      <c r="D21" s="151" t="str">
        <f>MID(AF30_ByRubLot34[[#This Row],[AF-30 Lot]],3,3)</f>
        <v>131</v>
      </c>
      <c r="E21" s="151" t="str">
        <f>CONCATENATE(RIGHT(AF30_ByRubLot34[[#This Row],[Year of Production]],2),AF30_ByRubLot34[[#This Row],[Julian Date Jumbo Production]])</f>
        <v>08131</v>
      </c>
      <c r="F21">
        <f>(AF30_ByRubLot[[#This Row],[0-10]]/AF30_ByRubLot34[[Total Charge]:[Total Charge]])</f>
        <v>0</v>
      </c>
      <c r="G21">
        <f>(AF30_ByRubLot[[#This Row],[11-20]]/AF30_ByRubLot34[[Total Charge]:[Total Charge]])</f>
        <v>0</v>
      </c>
      <c r="H21">
        <f>(AF30_ByRubLot[[#This Row],[21-30]]/AF30_ByRubLot34[[Total Charge]:[Total Charge]])</f>
        <v>0</v>
      </c>
      <c r="I21">
        <f>(AF30_ByRubLot[[#This Row],[31-40]]/AF30_ByRubLot34[[Total Charge]:[Total Charge]])</f>
        <v>7.6923076923076927E-2</v>
      </c>
      <c r="J21">
        <f>(AF30_ByRubLot[[#This Row],[41-50]]/AF30_ByRubLot34[[Total Charge]:[Total Charge]])</f>
        <v>0.15384615384615385</v>
      </c>
      <c r="K21">
        <f>(AF30_ByRubLot[[#This Row],[51-60]]/AF30_ByRubLot34[[Total Charge]:[Total Charge]])</f>
        <v>0.15384615384615385</v>
      </c>
      <c r="L21">
        <f>(AF30_ByRubLot[[#This Row],[61-70]]/AF30_ByRubLot34[[Total Charge]:[Total Charge]])</f>
        <v>7.6923076923076927E-2</v>
      </c>
      <c r="M21">
        <f>(AF30_ByRubLot[[#This Row],[71-80]]/AF30_ByRubLot34[[Total Charge]:[Total Charge]])</f>
        <v>7.6923076923076927E-2</v>
      </c>
      <c r="N21">
        <f>(AF30_ByRubLot[[#This Row],[81-90]]/AF30_ByRubLot34[[Total Charge]:[Total Charge]])</f>
        <v>0</v>
      </c>
      <c r="O21">
        <f>(AF30_ByRubLot[[#This Row],[91-100]]/AF30_ByRubLot34[[Total Charge]:[Total Charge]])</f>
        <v>0.15384615384615385</v>
      </c>
      <c r="P21">
        <f>(AF30_ByRubLot[[#This Row],[101-110]]/AF30_ByRubLot34[[Total Charge]:[Total Charge]])</f>
        <v>7.6923076923076927E-2</v>
      </c>
      <c r="Q21">
        <f>(AF30_ByRubLot[[#This Row],[111-120]]/AF30_ByRubLot34[[Total Charge]:[Total Charge]])</f>
        <v>0.23076923076923078</v>
      </c>
      <c r="R21">
        <f>(AF30_ByRubLot[[#This Row],[121-130]]/AF30_ByRubLot34[[Total Charge]:[Total Charge]])</f>
        <v>0</v>
      </c>
      <c r="S21">
        <f>(AF30_ByRubLot[[#This Row],[131-140]]/AF30_ByRubLot34[[Total Charge]:[Total Charge]])</f>
        <v>0</v>
      </c>
      <c r="T21">
        <v>0</v>
      </c>
      <c r="U21">
        <v>0</v>
      </c>
      <c r="V21" t="s">
        <v>6</v>
      </c>
      <c r="W21">
        <v>13</v>
      </c>
      <c r="X21" s="112"/>
      <c r="Y21">
        <v>333.33333333333331</v>
      </c>
      <c r="Z21">
        <v>0</v>
      </c>
      <c r="AA21">
        <f t="shared" si="0"/>
        <v>0</v>
      </c>
      <c r="AB21">
        <f>SUM(AF30_ByRubLot34[[#This Row],[0-10]:[131-140]])</f>
        <v>1.0000000000000002</v>
      </c>
    </row>
    <row r="22" spans="1:28" x14ac:dyDescent="0.25">
      <c r="A22" t="s">
        <v>5</v>
      </c>
      <c r="B22" s="146" t="s">
        <v>139</v>
      </c>
      <c r="C22" s="148">
        <v>2008</v>
      </c>
      <c r="D22" s="151" t="str">
        <f>MID(AF30_ByRubLot34[[#This Row],[AF-30 Lot]],3,3)</f>
        <v>132</v>
      </c>
      <c r="E22" s="151" t="str">
        <f>CONCATENATE(RIGHT(AF30_ByRubLot34[[#This Row],[Year of Production]],2),AF30_ByRubLot34[[#This Row],[Julian Date Jumbo Production]])</f>
        <v>08132</v>
      </c>
      <c r="F22">
        <f>(AF30_ByRubLot[[#This Row],[0-10]]/AF30_ByRubLot34[[Total Charge]:[Total Charge]])</f>
        <v>0</v>
      </c>
      <c r="G22">
        <f>(AF30_ByRubLot[[#This Row],[11-20]]/AF30_ByRubLot34[[Total Charge]:[Total Charge]])</f>
        <v>0</v>
      </c>
      <c r="H22">
        <f>(AF30_ByRubLot[[#This Row],[21-30]]/AF30_ByRubLot34[[Total Charge]:[Total Charge]])</f>
        <v>0</v>
      </c>
      <c r="I22">
        <f>(AF30_ByRubLot[[#This Row],[31-40]]/AF30_ByRubLot34[[Total Charge]:[Total Charge]])</f>
        <v>7.6923076923076927E-2</v>
      </c>
      <c r="J22">
        <f>(AF30_ByRubLot[[#This Row],[41-50]]/AF30_ByRubLot34[[Total Charge]:[Total Charge]])</f>
        <v>0.15384615384615385</v>
      </c>
      <c r="K22">
        <f>(AF30_ByRubLot[[#This Row],[51-60]]/AF30_ByRubLot34[[Total Charge]:[Total Charge]])</f>
        <v>0.15384615384615385</v>
      </c>
      <c r="L22">
        <f>(AF30_ByRubLot[[#This Row],[61-70]]/AF30_ByRubLot34[[Total Charge]:[Total Charge]])</f>
        <v>7.6923076923076927E-2</v>
      </c>
      <c r="M22">
        <f>(AF30_ByRubLot[[#This Row],[71-80]]/AF30_ByRubLot34[[Total Charge]:[Total Charge]])</f>
        <v>7.6923076923076927E-2</v>
      </c>
      <c r="N22">
        <f>(AF30_ByRubLot[[#This Row],[81-90]]/AF30_ByRubLot34[[Total Charge]:[Total Charge]])</f>
        <v>0</v>
      </c>
      <c r="O22">
        <f>(AF30_ByRubLot[[#This Row],[91-100]]/AF30_ByRubLot34[[Total Charge]:[Total Charge]])</f>
        <v>0.15384615384615385</v>
      </c>
      <c r="P22">
        <f>(AF30_ByRubLot[[#This Row],[101-110]]/AF30_ByRubLot34[[Total Charge]:[Total Charge]])</f>
        <v>7.6923076923076927E-2</v>
      </c>
      <c r="Q22">
        <f>(AF30_ByRubLot[[#This Row],[111-120]]/AF30_ByRubLot34[[Total Charge]:[Total Charge]])</f>
        <v>0.23076923076923078</v>
      </c>
      <c r="R22">
        <f>(AF30_ByRubLot[[#This Row],[121-130]]/AF30_ByRubLot34[[Total Charge]:[Total Charge]])</f>
        <v>0</v>
      </c>
      <c r="S22">
        <f>(AF30_ByRubLot[[#This Row],[131-140]]/AF30_ByRubLot34[[Total Charge]:[Total Charge]])</f>
        <v>0</v>
      </c>
      <c r="T22">
        <v>0</v>
      </c>
      <c r="U22">
        <v>0</v>
      </c>
      <c r="V22" t="s">
        <v>6</v>
      </c>
      <c r="W22">
        <v>13</v>
      </c>
      <c r="X22" s="112"/>
      <c r="Y22">
        <v>688.88888888888891</v>
      </c>
      <c r="Z22">
        <v>0</v>
      </c>
      <c r="AA22">
        <f t="shared" si="0"/>
        <v>0</v>
      </c>
      <c r="AB22">
        <f>SUM(AF30_ByRubLot34[[#This Row],[0-10]:[131-140]])</f>
        <v>1.0000000000000002</v>
      </c>
    </row>
    <row r="23" spans="1:28" x14ac:dyDescent="0.25">
      <c r="A23" t="s">
        <v>5</v>
      </c>
      <c r="B23" s="146" t="s">
        <v>138</v>
      </c>
      <c r="C23" s="148">
        <v>2008</v>
      </c>
      <c r="D23" s="151" t="str">
        <f>MID(AF30_ByRubLot34[[#This Row],[AF-30 Lot]],3,3)</f>
        <v>133</v>
      </c>
      <c r="E23" s="151" t="str">
        <f>CONCATENATE(RIGHT(AF30_ByRubLot34[[#This Row],[Year of Production]],2),AF30_ByRubLot34[[#This Row],[Julian Date Jumbo Production]])</f>
        <v>08133</v>
      </c>
      <c r="F23">
        <f>(AF30_ByRubLot[[#This Row],[0-10]]/AF30_ByRubLot34[[Total Charge]:[Total Charge]])</f>
        <v>0</v>
      </c>
      <c r="G23">
        <f>(AF30_ByRubLot[[#This Row],[11-20]]/AF30_ByRubLot34[[Total Charge]:[Total Charge]])</f>
        <v>0</v>
      </c>
      <c r="H23">
        <f>(AF30_ByRubLot[[#This Row],[21-30]]/AF30_ByRubLot34[[Total Charge]:[Total Charge]])</f>
        <v>0</v>
      </c>
      <c r="I23">
        <f>(AF30_ByRubLot[[#This Row],[31-40]]/AF30_ByRubLot34[[Total Charge]:[Total Charge]])</f>
        <v>7.6923076923076927E-2</v>
      </c>
      <c r="J23">
        <f>(AF30_ByRubLot[[#This Row],[41-50]]/AF30_ByRubLot34[[Total Charge]:[Total Charge]])</f>
        <v>0.15384615384615385</v>
      </c>
      <c r="K23">
        <f>(AF30_ByRubLot[[#This Row],[51-60]]/AF30_ByRubLot34[[Total Charge]:[Total Charge]])</f>
        <v>0.15384615384615385</v>
      </c>
      <c r="L23">
        <f>(AF30_ByRubLot[[#This Row],[61-70]]/AF30_ByRubLot34[[Total Charge]:[Total Charge]])</f>
        <v>7.6923076923076927E-2</v>
      </c>
      <c r="M23">
        <f>(AF30_ByRubLot[[#This Row],[71-80]]/AF30_ByRubLot34[[Total Charge]:[Total Charge]])</f>
        <v>7.6923076923076927E-2</v>
      </c>
      <c r="N23">
        <f>(AF30_ByRubLot[[#This Row],[81-90]]/AF30_ByRubLot34[[Total Charge]:[Total Charge]])</f>
        <v>0</v>
      </c>
      <c r="O23">
        <f>(AF30_ByRubLot[[#This Row],[91-100]]/AF30_ByRubLot34[[Total Charge]:[Total Charge]])</f>
        <v>0.15384615384615385</v>
      </c>
      <c r="P23">
        <f>(AF30_ByRubLot[[#This Row],[101-110]]/AF30_ByRubLot34[[Total Charge]:[Total Charge]])</f>
        <v>7.6923076923076927E-2</v>
      </c>
      <c r="Q23">
        <f>(AF30_ByRubLot[[#This Row],[111-120]]/AF30_ByRubLot34[[Total Charge]:[Total Charge]])</f>
        <v>0.23076923076923078</v>
      </c>
      <c r="R23">
        <f>(AF30_ByRubLot[[#This Row],[121-130]]/AF30_ByRubLot34[[Total Charge]:[Total Charge]])</f>
        <v>0</v>
      </c>
      <c r="S23">
        <f>(AF30_ByRubLot[[#This Row],[131-140]]/AF30_ByRubLot34[[Total Charge]:[Total Charge]])</f>
        <v>0</v>
      </c>
      <c r="T23">
        <v>0</v>
      </c>
      <c r="U23">
        <v>0</v>
      </c>
      <c r="V23" t="s">
        <v>6</v>
      </c>
      <c r="W23">
        <v>13</v>
      </c>
      <c r="X23" s="112"/>
      <c r="Y23">
        <v>623.88888888888891</v>
      </c>
      <c r="Z23">
        <v>0</v>
      </c>
      <c r="AA23">
        <f t="shared" si="0"/>
        <v>0</v>
      </c>
      <c r="AB23">
        <f>SUM(AF30_ByRubLot34[[#This Row],[0-10]:[131-140]])</f>
        <v>1.0000000000000002</v>
      </c>
    </row>
    <row r="24" spans="1:28" x14ac:dyDescent="0.25">
      <c r="A24" t="s">
        <v>5</v>
      </c>
      <c r="B24" s="146" t="s">
        <v>137</v>
      </c>
      <c r="C24" s="148">
        <v>2008</v>
      </c>
      <c r="D24" s="151" t="str">
        <f>MID(AF30_ByRubLot34[[#This Row],[AF-30 Lot]],3,3)</f>
        <v>135</v>
      </c>
      <c r="E24" s="151" t="str">
        <f>CONCATENATE(RIGHT(AF30_ByRubLot34[[#This Row],[Year of Production]],2),AF30_ByRubLot34[[#This Row],[Julian Date Jumbo Production]])</f>
        <v>08135</v>
      </c>
      <c r="F24">
        <f>(AF30_ByRubLot[[#This Row],[0-10]]/AF30_ByRubLot34[[Total Charge]:[Total Charge]])</f>
        <v>0</v>
      </c>
      <c r="G24">
        <f>(AF30_ByRubLot[[#This Row],[11-20]]/AF30_ByRubLot34[[Total Charge]:[Total Charge]])</f>
        <v>0</v>
      </c>
      <c r="H24">
        <f>(AF30_ByRubLot[[#This Row],[21-30]]/AF30_ByRubLot34[[Total Charge]:[Total Charge]])</f>
        <v>0</v>
      </c>
      <c r="I24">
        <f>(AF30_ByRubLot[[#This Row],[31-40]]/AF30_ByRubLot34[[Total Charge]:[Total Charge]])</f>
        <v>7.6923076923076927E-2</v>
      </c>
      <c r="J24">
        <f>(AF30_ByRubLot[[#This Row],[41-50]]/AF30_ByRubLot34[[Total Charge]:[Total Charge]])</f>
        <v>0.15384615384615385</v>
      </c>
      <c r="K24">
        <f>(AF30_ByRubLot[[#This Row],[51-60]]/AF30_ByRubLot34[[Total Charge]:[Total Charge]])</f>
        <v>0.15384615384615385</v>
      </c>
      <c r="L24">
        <f>(AF30_ByRubLot[[#This Row],[61-70]]/AF30_ByRubLot34[[Total Charge]:[Total Charge]])</f>
        <v>7.6923076923076927E-2</v>
      </c>
      <c r="M24">
        <f>(AF30_ByRubLot[[#This Row],[71-80]]/AF30_ByRubLot34[[Total Charge]:[Total Charge]])</f>
        <v>7.6923076923076927E-2</v>
      </c>
      <c r="N24">
        <f>(AF30_ByRubLot[[#This Row],[81-90]]/AF30_ByRubLot34[[Total Charge]:[Total Charge]])</f>
        <v>0</v>
      </c>
      <c r="O24">
        <f>(AF30_ByRubLot[[#This Row],[91-100]]/AF30_ByRubLot34[[Total Charge]:[Total Charge]])</f>
        <v>0.15384615384615385</v>
      </c>
      <c r="P24">
        <f>(AF30_ByRubLot[[#This Row],[101-110]]/AF30_ByRubLot34[[Total Charge]:[Total Charge]])</f>
        <v>7.6923076923076927E-2</v>
      </c>
      <c r="Q24">
        <f>(AF30_ByRubLot[[#This Row],[111-120]]/AF30_ByRubLot34[[Total Charge]:[Total Charge]])</f>
        <v>0.23076923076923078</v>
      </c>
      <c r="R24">
        <f>(AF30_ByRubLot[[#This Row],[121-130]]/AF30_ByRubLot34[[Total Charge]:[Total Charge]])</f>
        <v>0</v>
      </c>
      <c r="S24">
        <f>(AF30_ByRubLot[[#This Row],[131-140]]/AF30_ByRubLot34[[Total Charge]:[Total Charge]])</f>
        <v>0</v>
      </c>
      <c r="T24">
        <v>0</v>
      </c>
      <c r="U24">
        <v>0</v>
      </c>
      <c r="V24" t="s">
        <v>6</v>
      </c>
      <c r="W24">
        <v>13</v>
      </c>
      <c r="X24" s="112"/>
      <c r="Y24">
        <v>763.88888888888891</v>
      </c>
      <c r="Z24">
        <v>0</v>
      </c>
      <c r="AA24">
        <f t="shared" si="0"/>
        <v>0</v>
      </c>
      <c r="AB24">
        <f>SUM(AF30_ByRubLot34[[#This Row],[0-10]:[131-140]])</f>
        <v>1.0000000000000002</v>
      </c>
    </row>
    <row r="25" spans="1:28" x14ac:dyDescent="0.25">
      <c r="A25" t="s">
        <v>5</v>
      </c>
      <c r="B25" s="146" t="s">
        <v>136</v>
      </c>
      <c r="C25" s="148">
        <v>2008</v>
      </c>
      <c r="D25" s="151" t="str">
        <f>MID(AF30_ByRubLot34[[#This Row],[AF-30 Lot]],3,3)</f>
        <v>136</v>
      </c>
      <c r="E25" s="151" t="str">
        <f>CONCATENATE(RIGHT(AF30_ByRubLot34[[#This Row],[Year of Production]],2),AF30_ByRubLot34[[#This Row],[Julian Date Jumbo Production]])</f>
        <v>08136</v>
      </c>
      <c r="F25">
        <f>(AF30_ByRubLot[[#This Row],[0-10]]/AF30_ByRubLot34[[Total Charge]:[Total Charge]])</f>
        <v>0</v>
      </c>
      <c r="G25">
        <f>(AF30_ByRubLot[[#This Row],[11-20]]/AF30_ByRubLot34[[Total Charge]:[Total Charge]])</f>
        <v>0</v>
      </c>
      <c r="H25">
        <f>(AF30_ByRubLot[[#This Row],[21-30]]/AF30_ByRubLot34[[Total Charge]:[Total Charge]])</f>
        <v>0</v>
      </c>
      <c r="I25">
        <f>(AF30_ByRubLot[[#This Row],[31-40]]/AF30_ByRubLot34[[Total Charge]:[Total Charge]])</f>
        <v>7.6923076923076927E-2</v>
      </c>
      <c r="J25">
        <f>(AF30_ByRubLot[[#This Row],[41-50]]/AF30_ByRubLot34[[Total Charge]:[Total Charge]])</f>
        <v>0.15384615384615385</v>
      </c>
      <c r="K25">
        <f>(AF30_ByRubLot[[#This Row],[51-60]]/AF30_ByRubLot34[[Total Charge]:[Total Charge]])</f>
        <v>0.15384615384615385</v>
      </c>
      <c r="L25">
        <f>(AF30_ByRubLot[[#This Row],[61-70]]/AF30_ByRubLot34[[Total Charge]:[Total Charge]])</f>
        <v>7.6923076923076927E-2</v>
      </c>
      <c r="M25">
        <f>(AF30_ByRubLot[[#This Row],[71-80]]/AF30_ByRubLot34[[Total Charge]:[Total Charge]])</f>
        <v>7.6923076923076927E-2</v>
      </c>
      <c r="N25">
        <f>(AF30_ByRubLot[[#This Row],[81-90]]/AF30_ByRubLot34[[Total Charge]:[Total Charge]])</f>
        <v>0</v>
      </c>
      <c r="O25">
        <f>(AF30_ByRubLot[[#This Row],[91-100]]/AF30_ByRubLot34[[Total Charge]:[Total Charge]])</f>
        <v>0.15384615384615385</v>
      </c>
      <c r="P25">
        <f>(AF30_ByRubLot[[#This Row],[101-110]]/AF30_ByRubLot34[[Total Charge]:[Total Charge]])</f>
        <v>7.6923076923076927E-2</v>
      </c>
      <c r="Q25">
        <f>(AF30_ByRubLot[[#This Row],[111-120]]/AF30_ByRubLot34[[Total Charge]:[Total Charge]])</f>
        <v>0.23076923076923078</v>
      </c>
      <c r="R25">
        <f>(AF30_ByRubLot[[#This Row],[121-130]]/AF30_ByRubLot34[[Total Charge]:[Total Charge]])</f>
        <v>0</v>
      </c>
      <c r="S25">
        <f>(AF30_ByRubLot[[#This Row],[131-140]]/AF30_ByRubLot34[[Total Charge]:[Total Charge]])</f>
        <v>0</v>
      </c>
      <c r="T25">
        <v>0</v>
      </c>
      <c r="U25">
        <v>0</v>
      </c>
      <c r="V25" t="s">
        <v>6</v>
      </c>
      <c r="W25">
        <v>13</v>
      </c>
      <c r="X25" s="112"/>
      <c r="Y25">
        <v>755.55555555555554</v>
      </c>
      <c r="Z25">
        <v>628.75</v>
      </c>
      <c r="AA25">
        <f t="shared" si="0"/>
        <v>83.216911764705884</v>
      </c>
      <c r="AB25">
        <f>SUM(AF30_ByRubLot34[[#This Row],[0-10]:[131-140]])</f>
        <v>1.0000000000000002</v>
      </c>
    </row>
    <row r="26" spans="1:28" x14ac:dyDescent="0.25">
      <c r="A26" t="s">
        <v>5</v>
      </c>
      <c r="B26" s="146" t="s">
        <v>135</v>
      </c>
      <c r="C26" s="148">
        <v>2008</v>
      </c>
      <c r="D26" s="151" t="str">
        <f>MID(AF30_ByRubLot34[[#This Row],[AF-30 Lot]],3,3)</f>
        <v>137</v>
      </c>
      <c r="E26" s="151" t="str">
        <f>CONCATENATE(RIGHT(AF30_ByRubLot34[[#This Row],[Year of Production]],2),AF30_ByRubLot34[[#This Row],[Julian Date Jumbo Production]])</f>
        <v>08137</v>
      </c>
      <c r="F26">
        <f>(AF30_ByRubLot[[#This Row],[0-10]]/AF30_ByRubLot34[[Total Charge]:[Total Charge]])</f>
        <v>0</v>
      </c>
      <c r="G26">
        <f>(AF30_ByRubLot[[#This Row],[11-20]]/AF30_ByRubLot34[[Total Charge]:[Total Charge]])</f>
        <v>0</v>
      </c>
      <c r="H26">
        <f>(AF30_ByRubLot[[#This Row],[21-30]]/AF30_ByRubLot34[[Total Charge]:[Total Charge]])</f>
        <v>0</v>
      </c>
      <c r="I26">
        <f>(AF30_ByRubLot[[#This Row],[31-40]]/AF30_ByRubLot34[[Total Charge]:[Total Charge]])</f>
        <v>7.6923076923076927E-2</v>
      </c>
      <c r="J26">
        <f>(AF30_ByRubLot[[#This Row],[41-50]]/AF30_ByRubLot34[[Total Charge]:[Total Charge]])</f>
        <v>0.15384615384615385</v>
      </c>
      <c r="K26">
        <f>(AF30_ByRubLot[[#This Row],[51-60]]/AF30_ByRubLot34[[Total Charge]:[Total Charge]])</f>
        <v>0.15384615384615385</v>
      </c>
      <c r="L26">
        <f>(AF30_ByRubLot[[#This Row],[61-70]]/AF30_ByRubLot34[[Total Charge]:[Total Charge]])</f>
        <v>7.6923076923076927E-2</v>
      </c>
      <c r="M26">
        <f>(AF30_ByRubLot[[#This Row],[71-80]]/AF30_ByRubLot34[[Total Charge]:[Total Charge]])</f>
        <v>7.6923076923076927E-2</v>
      </c>
      <c r="N26">
        <f>(AF30_ByRubLot[[#This Row],[81-90]]/AF30_ByRubLot34[[Total Charge]:[Total Charge]])</f>
        <v>0</v>
      </c>
      <c r="O26">
        <f>(AF30_ByRubLot[[#This Row],[91-100]]/AF30_ByRubLot34[[Total Charge]:[Total Charge]])</f>
        <v>0.15384615384615385</v>
      </c>
      <c r="P26">
        <f>(AF30_ByRubLot[[#This Row],[101-110]]/AF30_ByRubLot34[[Total Charge]:[Total Charge]])</f>
        <v>7.6923076923076927E-2</v>
      </c>
      <c r="Q26">
        <f>(AF30_ByRubLot[[#This Row],[111-120]]/AF30_ByRubLot34[[Total Charge]:[Total Charge]])</f>
        <v>0.23076923076923078</v>
      </c>
      <c r="R26">
        <f>(AF30_ByRubLot[[#This Row],[121-130]]/AF30_ByRubLot34[[Total Charge]:[Total Charge]])</f>
        <v>0</v>
      </c>
      <c r="S26">
        <f>(AF30_ByRubLot[[#This Row],[131-140]]/AF30_ByRubLot34[[Total Charge]:[Total Charge]])</f>
        <v>0</v>
      </c>
      <c r="T26">
        <v>0</v>
      </c>
      <c r="U26">
        <v>0</v>
      </c>
      <c r="V26" t="s">
        <v>6</v>
      </c>
      <c r="W26">
        <v>13</v>
      </c>
      <c r="X26" s="112"/>
      <c r="Y26">
        <v>855.55555555555566</v>
      </c>
      <c r="Z26">
        <v>840</v>
      </c>
      <c r="AA26">
        <f t="shared" si="0"/>
        <v>98.181818181818173</v>
      </c>
      <c r="AB26">
        <f>SUM(AF30_ByRubLot34[[#This Row],[0-10]:[131-140]])</f>
        <v>1.0000000000000002</v>
      </c>
    </row>
    <row r="27" spans="1:28" x14ac:dyDescent="0.25">
      <c r="A27" t="s">
        <v>5</v>
      </c>
      <c r="B27" s="146" t="s">
        <v>134</v>
      </c>
      <c r="C27" s="148">
        <v>2008</v>
      </c>
      <c r="D27" s="151" t="str">
        <f>MID(AF30_ByRubLot34[[#This Row],[AF-30 Lot]],3,3)</f>
        <v>138</v>
      </c>
      <c r="E27" s="151" t="str">
        <f>CONCATENATE(RIGHT(AF30_ByRubLot34[[#This Row],[Year of Production]],2),AF30_ByRubLot34[[#This Row],[Julian Date Jumbo Production]])</f>
        <v>08138</v>
      </c>
      <c r="F27">
        <f>(AF30_ByRubLot[[#This Row],[0-10]]/AF30_ByRubLot34[[Total Charge]:[Total Charge]])</f>
        <v>0</v>
      </c>
      <c r="G27">
        <f>(AF30_ByRubLot[[#This Row],[11-20]]/AF30_ByRubLot34[[Total Charge]:[Total Charge]])</f>
        <v>0</v>
      </c>
      <c r="H27">
        <f>(AF30_ByRubLot[[#This Row],[21-30]]/AF30_ByRubLot34[[Total Charge]:[Total Charge]])</f>
        <v>0</v>
      </c>
      <c r="I27">
        <f>(AF30_ByRubLot[[#This Row],[31-40]]/AF30_ByRubLot34[[Total Charge]:[Total Charge]])</f>
        <v>7.6923076923076927E-2</v>
      </c>
      <c r="J27">
        <f>(AF30_ByRubLot[[#This Row],[41-50]]/AF30_ByRubLot34[[Total Charge]:[Total Charge]])</f>
        <v>0.15384615384615385</v>
      </c>
      <c r="K27">
        <f>(AF30_ByRubLot[[#This Row],[51-60]]/AF30_ByRubLot34[[Total Charge]:[Total Charge]])</f>
        <v>0.15384615384615385</v>
      </c>
      <c r="L27">
        <f>(AF30_ByRubLot[[#This Row],[61-70]]/AF30_ByRubLot34[[Total Charge]:[Total Charge]])</f>
        <v>7.6923076923076927E-2</v>
      </c>
      <c r="M27">
        <f>(AF30_ByRubLot[[#This Row],[71-80]]/AF30_ByRubLot34[[Total Charge]:[Total Charge]])</f>
        <v>7.6923076923076927E-2</v>
      </c>
      <c r="N27">
        <f>(AF30_ByRubLot[[#This Row],[81-90]]/AF30_ByRubLot34[[Total Charge]:[Total Charge]])</f>
        <v>0</v>
      </c>
      <c r="O27">
        <f>(AF30_ByRubLot[[#This Row],[91-100]]/AF30_ByRubLot34[[Total Charge]:[Total Charge]])</f>
        <v>0.15384615384615385</v>
      </c>
      <c r="P27">
        <f>(AF30_ByRubLot[[#This Row],[101-110]]/AF30_ByRubLot34[[Total Charge]:[Total Charge]])</f>
        <v>7.6923076923076927E-2</v>
      </c>
      <c r="Q27">
        <f>(AF30_ByRubLot[[#This Row],[111-120]]/AF30_ByRubLot34[[Total Charge]:[Total Charge]])</f>
        <v>0.23076923076923078</v>
      </c>
      <c r="R27">
        <f>(AF30_ByRubLot[[#This Row],[121-130]]/AF30_ByRubLot34[[Total Charge]:[Total Charge]])</f>
        <v>0</v>
      </c>
      <c r="S27">
        <f>(AF30_ByRubLot[[#This Row],[131-140]]/AF30_ByRubLot34[[Total Charge]:[Total Charge]])</f>
        <v>0</v>
      </c>
      <c r="T27">
        <v>0</v>
      </c>
      <c r="U27">
        <v>0</v>
      </c>
      <c r="V27" t="s">
        <v>6</v>
      </c>
      <c r="W27">
        <v>13</v>
      </c>
      <c r="X27" s="112"/>
      <c r="Y27">
        <v>3505.5555555555557</v>
      </c>
      <c r="Z27">
        <v>0</v>
      </c>
      <c r="AA27">
        <f t="shared" si="0"/>
        <v>0</v>
      </c>
      <c r="AB27">
        <f>SUM(AF30_ByRubLot34[[#This Row],[0-10]:[131-140]])</f>
        <v>1.0000000000000002</v>
      </c>
    </row>
    <row r="28" spans="1:28" x14ac:dyDescent="0.25">
      <c r="A28" t="s">
        <v>5</v>
      </c>
      <c r="B28" s="146" t="s">
        <v>133</v>
      </c>
      <c r="C28" s="148">
        <v>2008</v>
      </c>
      <c r="D28" s="151" t="str">
        <f>MID(AF30_ByRubLot34[[#This Row],[AF-30 Lot]],2,3)</f>
        <v>183</v>
      </c>
      <c r="E28" s="151" t="str">
        <f>CONCATENATE(RIGHT(AF30_ByRubLot34[[#This Row],[Year of Production]],2),AF30_ByRubLot34[[#This Row],[Julian Date Jumbo Production]])</f>
        <v>08183</v>
      </c>
      <c r="F28">
        <f>(AF30_ByRubLot[[#This Row],[0-10]]/AF30_ByRubLot34[[Total Charge]:[Total Charge]])</f>
        <v>0</v>
      </c>
      <c r="G28">
        <f>(AF30_ByRubLot[[#This Row],[11-20]]/AF30_ByRubLot34[[Total Charge]:[Total Charge]])</f>
        <v>0</v>
      </c>
      <c r="H28">
        <f>(AF30_ByRubLot[[#This Row],[21-30]]/AF30_ByRubLot34[[Total Charge]:[Total Charge]])</f>
        <v>0</v>
      </c>
      <c r="I28">
        <f>(AF30_ByRubLot[[#This Row],[31-40]]/AF30_ByRubLot34[[Total Charge]:[Total Charge]])</f>
        <v>0</v>
      </c>
      <c r="J28">
        <f>(AF30_ByRubLot[[#This Row],[41-50]]/AF30_ByRubLot34[[Total Charge]:[Total Charge]])</f>
        <v>7.6923076923076927E-2</v>
      </c>
      <c r="K28">
        <f>(AF30_ByRubLot[[#This Row],[51-60]]/AF30_ByRubLot34[[Total Charge]:[Total Charge]])</f>
        <v>7.6923076923076927E-2</v>
      </c>
      <c r="L28">
        <f>(AF30_ByRubLot[[#This Row],[61-70]]/AF30_ByRubLot34[[Total Charge]:[Total Charge]])</f>
        <v>7.6923076923076927E-2</v>
      </c>
      <c r="M28">
        <f>(AF30_ByRubLot[[#This Row],[71-80]]/AF30_ByRubLot34[[Total Charge]:[Total Charge]])</f>
        <v>0</v>
      </c>
      <c r="N28">
        <f>(AF30_ByRubLot[[#This Row],[81-90]]/AF30_ByRubLot34[[Total Charge]:[Total Charge]])</f>
        <v>0</v>
      </c>
      <c r="O28">
        <f>(AF30_ByRubLot[[#This Row],[91-100]]/AF30_ByRubLot34[[Total Charge]:[Total Charge]])</f>
        <v>0.15384615384615385</v>
      </c>
      <c r="P28">
        <f>(AF30_ByRubLot[[#This Row],[101-110]]/AF30_ByRubLot34[[Total Charge]:[Total Charge]])</f>
        <v>7.6923076923076927E-2</v>
      </c>
      <c r="Q28">
        <f>(AF30_ByRubLot[[#This Row],[111-120]]/AF30_ByRubLot34[[Total Charge]:[Total Charge]])</f>
        <v>0</v>
      </c>
      <c r="R28">
        <f>(AF30_ByRubLot[[#This Row],[121-130]]/AF30_ByRubLot34[[Total Charge]:[Total Charge]])</f>
        <v>0</v>
      </c>
      <c r="S28">
        <f>(AF30_ByRubLot[[#This Row],[131-140]]/AF30_ByRubLot34[[Total Charge]:[Total Charge]])</f>
        <v>0</v>
      </c>
      <c r="T28">
        <v>0</v>
      </c>
      <c r="U28">
        <v>0</v>
      </c>
      <c r="V28" t="s">
        <v>6</v>
      </c>
      <c r="W28">
        <v>13</v>
      </c>
      <c r="X28" s="112"/>
      <c r="Y28">
        <v>816.66666666666674</v>
      </c>
      <c r="Z28">
        <v>360</v>
      </c>
      <c r="AA28">
        <f t="shared" si="0"/>
        <v>44.08163265306122</v>
      </c>
      <c r="AB28">
        <f>SUM(AF30_ByRubLot34[[#This Row],[0-10]:[131-140]])</f>
        <v>0.46153846153846156</v>
      </c>
    </row>
    <row r="29" spans="1:28" x14ac:dyDescent="0.25">
      <c r="A29" t="s">
        <v>5</v>
      </c>
      <c r="B29" s="146" t="s">
        <v>132</v>
      </c>
      <c r="C29" s="148">
        <v>2008</v>
      </c>
      <c r="D29" s="151" t="str">
        <f>MID(AF30_ByRubLot34[[#This Row],[AF-30 Lot]],2,3)</f>
        <v>197</v>
      </c>
      <c r="E29" s="151" t="str">
        <f>CONCATENATE(RIGHT(AF30_ByRubLot34[[#This Row],[Year of Production]],2),AF30_ByRubLot34[[#This Row],[Julian Date Jumbo Production]])</f>
        <v>08197</v>
      </c>
      <c r="F29">
        <f>(AF30_ByRubLot[[#This Row],[0-10]]/AF30_ByRubLot34[[Total Charge]:[Total Charge]])</f>
        <v>0</v>
      </c>
      <c r="G29">
        <f>(AF30_ByRubLot[[#This Row],[11-20]]/AF30_ByRubLot34[[Total Charge]:[Total Charge]])</f>
        <v>0</v>
      </c>
      <c r="H29">
        <f>(AF30_ByRubLot[[#This Row],[21-30]]/AF30_ByRubLot34[[Total Charge]:[Total Charge]])</f>
        <v>0</v>
      </c>
      <c r="I29">
        <f>(AF30_ByRubLot[[#This Row],[31-40]]/AF30_ByRubLot34[[Total Charge]:[Total Charge]])</f>
        <v>0</v>
      </c>
      <c r="J29">
        <f>(AF30_ByRubLot[[#This Row],[41-50]]/AF30_ByRubLot34[[Total Charge]:[Total Charge]])</f>
        <v>7.6923076923076927E-2</v>
      </c>
      <c r="K29">
        <f>(AF30_ByRubLot[[#This Row],[51-60]]/AF30_ByRubLot34[[Total Charge]:[Total Charge]])</f>
        <v>7.6923076923076927E-2</v>
      </c>
      <c r="L29">
        <f>(AF30_ByRubLot[[#This Row],[61-70]]/AF30_ByRubLot34[[Total Charge]:[Total Charge]])</f>
        <v>7.6923076923076927E-2</v>
      </c>
      <c r="M29">
        <f>(AF30_ByRubLot[[#This Row],[71-80]]/AF30_ByRubLot34[[Total Charge]:[Total Charge]])</f>
        <v>0</v>
      </c>
      <c r="N29">
        <f>(AF30_ByRubLot[[#This Row],[81-90]]/AF30_ByRubLot34[[Total Charge]:[Total Charge]])</f>
        <v>0</v>
      </c>
      <c r="O29">
        <f>(AF30_ByRubLot[[#This Row],[91-100]]/AF30_ByRubLot34[[Total Charge]:[Total Charge]])</f>
        <v>0.15384615384615385</v>
      </c>
      <c r="P29">
        <f>(AF30_ByRubLot[[#This Row],[101-110]]/AF30_ByRubLot34[[Total Charge]:[Total Charge]])</f>
        <v>7.6923076923076927E-2</v>
      </c>
      <c r="Q29">
        <f>(AF30_ByRubLot[[#This Row],[111-120]]/AF30_ByRubLot34[[Total Charge]:[Total Charge]])</f>
        <v>0</v>
      </c>
      <c r="R29">
        <f>(AF30_ByRubLot[[#This Row],[121-130]]/AF30_ByRubLot34[[Total Charge]:[Total Charge]])</f>
        <v>0</v>
      </c>
      <c r="S29">
        <f>(AF30_ByRubLot[[#This Row],[131-140]]/AF30_ByRubLot34[[Total Charge]:[Total Charge]])</f>
        <v>0</v>
      </c>
      <c r="T29">
        <v>0</v>
      </c>
      <c r="U29">
        <v>0</v>
      </c>
      <c r="V29" t="s">
        <v>6</v>
      </c>
      <c r="W29">
        <v>13</v>
      </c>
      <c r="X29" s="112"/>
      <c r="Y29">
        <v>791.66666666666663</v>
      </c>
      <c r="Z29">
        <v>747</v>
      </c>
      <c r="AA29">
        <f t="shared" si="0"/>
        <v>94.357894736842113</v>
      </c>
      <c r="AB29">
        <f>SUM(AF30_ByRubLot34[[#This Row],[0-10]:[131-140]])</f>
        <v>0.46153846153846156</v>
      </c>
    </row>
    <row r="30" spans="1:28" x14ac:dyDescent="0.25">
      <c r="A30" t="str">
        <f>'Data From Lance'!$A$6</f>
        <v>1D6D527</v>
      </c>
      <c r="B30" s="146" t="s">
        <v>131</v>
      </c>
      <c r="C30" s="148">
        <v>2008</v>
      </c>
      <c r="D30" s="151" t="str">
        <f>MID(AF30_ByRubLot34[[#This Row],[AF-30 Lot]],2,3)</f>
        <v>224</v>
      </c>
      <c r="E30" s="151" t="str">
        <f>CONCATENATE(RIGHT(AF30_ByRubLot34[[#This Row],[Year of Production]],2),AF30_ByRubLot34[[#This Row],[Julian Date Jumbo Production]])</f>
        <v>08224</v>
      </c>
      <c r="F30">
        <f>(AF30_ByRubLot[[#This Row],[0-10]]/AF30_ByRubLot34[[Total Charge]:[Total Charge]])</f>
        <v>0</v>
      </c>
      <c r="G30">
        <f>(AF30_ByRubLot[[#This Row],[11-20]]/AF30_ByRubLot34[[Total Charge]:[Total Charge]])</f>
        <v>0</v>
      </c>
      <c r="H30">
        <f>(AF30_ByRubLot[[#This Row],[21-30]]/AF30_ByRubLot34[[Total Charge]:[Total Charge]])</f>
        <v>0</v>
      </c>
      <c r="I30">
        <f>(AF30_ByRubLot[[#This Row],[31-40]]/AF30_ByRubLot34[[Total Charge]:[Total Charge]])</f>
        <v>0</v>
      </c>
      <c r="J30">
        <f>(AF30_ByRubLot[[#This Row],[41-50]]/AF30_ByRubLot34[[Total Charge]:[Total Charge]])</f>
        <v>7.6923076923076927E-2</v>
      </c>
      <c r="K30">
        <f>(AF30_ByRubLot[[#This Row],[51-60]]/AF30_ByRubLot34[[Total Charge]:[Total Charge]])</f>
        <v>7.6923076923076927E-2</v>
      </c>
      <c r="L30">
        <f>(AF30_ByRubLot[[#This Row],[61-70]]/AF30_ByRubLot34[[Total Charge]:[Total Charge]])</f>
        <v>7.6923076923076927E-2</v>
      </c>
      <c r="M30">
        <f>(AF30_ByRubLot[[#This Row],[71-80]]/AF30_ByRubLot34[[Total Charge]:[Total Charge]])</f>
        <v>0</v>
      </c>
      <c r="N30">
        <f>(AF30_ByRubLot[[#This Row],[81-90]]/AF30_ByRubLot34[[Total Charge]:[Total Charge]])</f>
        <v>0</v>
      </c>
      <c r="O30">
        <f>(AF30_ByRubLot[[#This Row],[91-100]]/AF30_ByRubLot34[[Total Charge]:[Total Charge]])</f>
        <v>0.15384615384615385</v>
      </c>
      <c r="P30">
        <f>(AF30_ByRubLot[[#This Row],[101-110]]/AF30_ByRubLot34[[Total Charge]:[Total Charge]])</f>
        <v>7.6923076923076927E-2</v>
      </c>
      <c r="Q30">
        <f>(AF30_ByRubLot[[#This Row],[111-120]]/AF30_ByRubLot34[[Total Charge]:[Total Charge]])</f>
        <v>0</v>
      </c>
      <c r="R30">
        <f>(AF30_ByRubLot[[#This Row],[121-130]]/AF30_ByRubLot34[[Total Charge]:[Total Charge]])</f>
        <v>0</v>
      </c>
      <c r="S30">
        <f>(AF30_ByRubLot[[#This Row],[131-140]]/AF30_ByRubLot34[[Total Charge]:[Total Charge]])</f>
        <v>0</v>
      </c>
      <c r="T30">
        <v>0</v>
      </c>
      <c r="U30">
        <v>0</v>
      </c>
      <c r="V30" t="s">
        <v>6</v>
      </c>
      <c r="W30">
        <v>13</v>
      </c>
      <c r="X30" s="112"/>
      <c r="Y30">
        <v>891.66666666666663</v>
      </c>
      <c r="Z30">
        <v>800.66664000000003</v>
      </c>
      <c r="AA30">
        <f t="shared" si="0"/>
        <v>89.794389532710284</v>
      </c>
      <c r="AB30">
        <f>SUM(AF30_ByRubLot34[[#This Row],[0-10]:[131-140]])</f>
        <v>0.46153846153846156</v>
      </c>
    </row>
    <row r="31" spans="1:28" x14ac:dyDescent="0.25">
      <c r="A31" t="s">
        <v>5</v>
      </c>
      <c r="B31" s="146" t="s">
        <v>130</v>
      </c>
      <c r="C31" s="148">
        <v>2008</v>
      </c>
      <c r="D31" s="151" t="str">
        <f>MID(AF30_ByRubLot34[[#This Row],[AF-30 Lot]],2,3)</f>
        <v>263</v>
      </c>
      <c r="E31" s="151" t="str">
        <f>CONCATENATE(RIGHT(AF30_ByRubLot34[[#This Row],[Year of Production]],2),AF30_ByRubLot34[[#This Row],[Julian Date Jumbo Production]])</f>
        <v>08263</v>
      </c>
      <c r="F31">
        <f>(AF30_ByRubLot[[#This Row],[0-10]]/AF30_ByRubLot34[[Total Charge]:[Total Charge]])</f>
        <v>0</v>
      </c>
      <c r="G31">
        <f>(AF30_ByRubLot[[#This Row],[11-20]]/AF30_ByRubLot34[[Total Charge]:[Total Charge]])</f>
        <v>0</v>
      </c>
      <c r="H31">
        <f>(AF30_ByRubLot[[#This Row],[21-30]]/AF30_ByRubLot34[[Total Charge]:[Total Charge]])</f>
        <v>0</v>
      </c>
      <c r="I31">
        <f>(AF30_ByRubLot[[#This Row],[31-40]]/AF30_ByRubLot34[[Total Charge]:[Total Charge]])</f>
        <v>0</v>
      </c>
      <c r="J31">
        <f>(AF30_ByRubLot[[#This Row],[41-50]]/AF30_ByRubLot34[[Total Charge]:[Total Charge]])</f>
        <v>7.6923076923076927E-2</v>
      </c>
      <c r="K31">
        <f>(AF30_ByRubLot[[#This Row],[51-60]]/AF30_ByRubLot34[[Total Charge]:[Total Charge]])</f>
        <v>7.6923076923076927E-2</v>
      </c>
      <c r="L31">
        <f>(AF30_ByRubLot[[#This Row],[61-70]]/AF30_ByRubLot34[[Total Charge]:[Total Charge]])</f>
        <v>7.6923076923076927E-2</v>
      </c>
      <c r="M31">
        <f>(AF30_ByRubLot[[#This Row],[71-80]]/AF30_ByRubLot34[[Total Charge]:[Total Charge]])</f>
        <v>0</v>
      </c>
      <c r="N31">
        <f>(AF30_ByRubLot[[#This Row],[81-90]]/AF30_ByRubLot34[[Total Charge]:[Total Charge]])</f>
        <v>0</v>
      </c>
      <c r="O31">
        <f>(AF30_ByRubLot[[#This Row],[91-100]]/AF30_ByRubLot34[[Total Charge]:[Total Charge]])</f>
        <v>0.15384615384615385</v>
      </c>
      <c r="P31">
        <f>(AF30_ByRubLot[[#This Row],[101-110]]/AF30_ByRubLot34[[Total Charge]:[Total Charge]])</f>
        <v>7.6923076923076927E-2</v>
      </c>
      <c r="Q31">
        <f>(AF30_ByRubLot[[#This Row],[111-120]]/AF30_ByRubLot34[[Total Charge]:[Total Charge]])</f>
        <v>0</v>
      </c>
      <c r="R31">
        <f>(AF30_ByRubLot[[#This Row],[121-130]]/AF30_ByRubLot34[[Total Charge]:[Total Charge]])</f>
        <v>0</v>
      </c>
      <c r="S31">
        <f>(AF30_ByRubLot[[#This Row],[131-140]]/AF30_ByRubLot34[[Total Charge]:[Total Charge]])</f>
        <v>0</v>
      </c>
      <c r="T31">
        <v>0</v>
      </c>
      <c r="U31">
        <v>0</v>
      </c>
      <c r="V31" t="s">
        <v>6</v>
      </c>
      <c r="W31">
        <v>13</v>
      </c>
      <c r="X31" s="112"/>
      <c r="Y31">
        <v>869.44444444444457</v>
      </c>
      <c r="Z31">
        <v>155</v>
      </c>
      <c r="AA31">
        <f t="shared" si="0"/>
        <v>17.827476038338656</v>
      </c>
      <c r="AB31">
        <f>SUM(AF30_ByRubLot34[[#This Row],[0-10]:[131-140]])</f>
        <v>0.46153846153846156</v>
      </c>
    </row>
    <row r="32" spans="1:28" x14ac:dyDescent="0.25">
      <c r="A32" t="str">
        <f>'Data From Lance'!$A$6</f>
        <v>1D6D527</v>
      </c>
      <c r="B32" s="146" t="s">
        <v>129</v>
      </c>
      <c r="C32" s="148">
        <v>2008</v>
      </c>
      <c r="D32" s="151" t="str">
        <f>MID(AF30_ByRubLot34[[#This Row],[AF-30 Lot]],2,3)</f>
        <v>273</v>
      </c>
      <c r="E32" s="151" t="str">
        <f>CONCATENATE(RIGHT(AF30_ByRubLot34[[#This Row],[Year of Production]],2),AF30_ByRubLot34[[#This Row],[Julian Date Jumbo Production]])</f>
        <v>08273</v>
      </c>
      <c r="F32">
        <f>(AF30_ByRubLot[[#This Row],[0-10]]/AF30_ByRubLot34[[Total Charge]:[Total Charge]])</f>
        <v>0</v>
      </c>
      <c r="G32">
        <f>(AF30_ByRubLot[[#This Row],[11-20]]/AF30_ByRubLot34[[Total Charge]:[Total Charge]])</f>
        <v>0</v>
      </c>
      <c r="H32">
        <f>(AF30_ByRubLot[[#This Row],[21-30]]/AF30_ByRubLot34[[Total Charge]:[Total Charge]])</f>
        <v>0</v>
      </c>
      <c r="I32">
        <f>(AF30_ByRubLot[[#This Row],[31-40]]/AF30_ByRubLot34[[Total Charge]:[Total Charge]])</f>
        <v>0</v>
      </c>
      <c r="J32">
        <f>(AF30_ByRubLot[[#This Row],[41-50]]/AF30_ByRubLot34[[Total Charge]:[Total Charge]])</f>
        <v>7.6923076923076927E-2</v>
      </c>
      <c r="K32">
        <f>(AF30_ByRubLot[[#This Row],[51-60]]/AF30_ByRubLot34[[Total Charge]:[Total Charge]])</f>
        <v>7.6923076923076927E-2</v>
      </c>
      <c r="L32">
        <f>(AF30_ByRubLot[[#This Row],[61-70]]/AF30_ByRubLot34[[Total Charge]:[Total Charge]])</f>
        <v>7.6923076923076927E-2</v>
      </c>
      <c r="M32">
        <f>(AF30_ByRubLot[[#This Row],[71-80]]/AF30_ByRubLot34[[Total Charge]:[Total Charge]])</f>
        <v>0</v>
      </c>
      <c r="N32">
        <f>(AF30_ByRubLot[[#This Row],[81-90]]/AF30_ByRubLot34[[Total Charge]:[Total Charge]])</f>
        <v>0</v>
      </c>
      <c r="O32">
        <f>(AF30_ByRubLot[[#This Row],[91-100]]/AF30_ByRubLot34[[Total Charge]:[Total Charge]])</f>
        <v>0.15384615384615385</v>
      </c>
      <c r="P32">
        <f>(AF30_ByRubLot[[#This Row],[101-110]]/AF30_ByRubLot34[[Total Charge]:[Total Charge]])</f>
        <v>7.6923076923076927E-2</v>
      </c>
      <c r="Q32">
        <f>(AF30_ByRubLot[[#This Row],[111-120]]/AF30_ByRubLot34[[Total Charge]:[Total Charge]])</f>
        <v>0</v>
      </c>
      <c r="R32">
        <f>(AF30_ByRubLot[[#This Row],[121-130]]/AF30_ByRubLot34[[Total Charge]:[Total Charge]])</f>
        <v>0</v>
      </c>
      <c r="S32">
        <f>(AF30_ByRubLot[[#This Row],[131-140]]/AF30_ByRubLot34[[Total Charge]:[Total Charge]])</f>
        <v>0</v>
      </c>
      <c r="T32">
        <f>AF30_ByRubLot[[#This Row],[Shrinkage]]</f>
        <v>0</v>
      </c>
      <c r="U32">
        <f>AF30_ByRubLot[[#This Row],[Pinholes]]</f>
        <v>0</v>
      </c>
      <c r="V32" t="str">
        <f>AF30_ByRubLot[[#This Row],[Comments]]</f>
        <v>Good</v>
      </c>
      <c r="W32">
        <v>13</v>
      </c>
      <c r="X32" s="112"/>
      <c r="Y32">
        <v>1730.5555555555554</v>
      </c>
      <c r="Z32">
        <v>868</v>
      </c>
      <c r="AA32">
        <f t="shared" si="0"/>
        <v>50.157303370786522</v>
      </c>
      <c r="AB32">
        <f>SUM(AF30_ByRubLot34[[#This Row],[0-10]:[131-140]])</f>
        <v>0.46153846153846156</v>
      </c>
    </row>
    <row r="33" spans="1:28" x14ac:dyDescent="0.25">
      <c r="A33" t="s">
        <v>17</v>
      </c>
      <c r="B33" s="146" t="s">
        <v>177</v>
      </c>
      <c r="C33" s="148">
        <v>2008</v>
      </c>
      <c r="D33" s="151" t="str">
        <f>MID(AF30_ByRubLot34[[#This Row],[AF-30 Lot]],2,3)</f>
        <v>345</v>
      </c>
      <c r="E33" s="151" t="str">
        <f>CONCATENATE(RIGHT(AF30_ByRubLot34[[#This Row],[Year of Production]],2),AF30_ByRubLot34[[#This Row],[Julian Date Jumbo Production]])</f>
        <v>08345</v>
      </c>
      <c r="F33">
        <f>(AF30_ByRubLot[[#This Row],[0-10]]/AF30_ByRubLot34[[Total Charge]:[Total Charge]])</f>
        <v>0</v>
      </c>
      <c r="G33">
        <f>(AF30_ByRubLot[[#This Row],[11-20]]/AF30_ByRubLot34[[Total Charge]:[Total Charge]])</f>
        <v>0</v>
      </c>
      <c r="H33">
        <f>(AF30_ByRubLot[[#This Row],[21-30]]/AF30_ByRubLot34[[Total Charge]:[Total Charge]])</f>
        <v>0</v>
      </c>
      <c r="I33">
        <f>(AF30_ByRubLot[[#This Row],[31-40]]/AF30_ByRubLot34[[Total Charge]:[Total Charge]])</f>
        <v>0</v>
      </c>
      <c r="J33">
        <f>(AF30_ByRubLot[[#This Row],[41-50]]/AF30_ByRubLot34[[Total Charge]:[Total Charge]])</f>
        <v>0.1</v>
      </c>
      <c r="K33">
        <f>(AF30_ByRubLot[[#This Row],[51-60]]/AF30_ByRubLot34[[Total Charge]:[Total Charge]])</f>
        <v>0.1</v>
      </c>
      <c r="L33">
        <f>(AF30_ByRubLot[[#This Row],[61-70]]/AF30_ByRubLot34[[Total Charge]:[Total Charge]])</f>
        <v>0.1</v>
      </c>
      <c r="M33">
        <f>(AF30_ByRubLot[[#This Row],[71-80]]/AF30_ByRubLot34[[Total Charge]:[Total Charge]])</f>
        <v>0</v>
      </c>
      <c r="N33">
        <f>(AF30_ByRubLot[[#This Row],[81-90]]/AF30_ByRubLot34[[Total Charge]:[Total Charge]])</f>
        <v>0</v>
      </c>
      <c r="O33">
        <f>(AF30_ByRubLot[[#This Row],[91-100]]/AF30_ByRubLot34[[Total Charge]:[Total Charge]])</f>
        <v>0.2</v>
      </c>
      <c r="P33">
        <f>(AF30_ByRubLot[[#This Row],[101-110]]/AF30_ByRubLot34[[Total Charge]:[Total Charge]])</f>
        <v>0.1</v>
      </c>
      <c r="Q33">
        <f>(AF30_ByRubLot[[#This Row],[111-120]]/AF30_ByRubLot34[[Total Charge]:[Total Charge]])</f>
        <v>0</v>
      </c>
      <c r="R33">
        <f>(AF30_ByRubLot[[#This Row],[121-130]]/AF30_ByRubLot34[[Total Charge]:[Total Charge]])</f>
        <v>0</v>
      </c>
      <c r="S33">
        <f>(AF30_ByRubLot[[#This Row],[131-140]]/AF30_ByRubLot34[[Total Charge]:[Total Charge]])</f>
        <v>0</v>
      </c>
      <c r="T33">
        <v>0</v>
      </c>
      <c r="U33">
        <v>0</v>
      </c>
      <c r="V33" t="s">
        <v>6</v>
      </c>
      <c r="W33">
        <v>10</v>
      </c>
      <c r="X33" s="112"/>
      <c r="Y33" s="146">
        <v>812.77777777777783</v>
      </c>
      <c r="Z33">
        <v>800</v>
      </c>
      <c r="AA33">
        <f t="shared" si="0"/>
        <v>98.427887901572106</v>
      </c>
      <c r="AB33">
        <f>SUM(AF30_ByRubLot34[[#This Row],[0-10]:[131-140]])</f>
        <v>0.6</v>
      </c>
    </row>
    <row r="34" spans="1:28" x14ac:dyDescent="0.25">
      <c r="A34" t="s">
        <v>17</v>
      </c>
      <c r="B34" s="146" t="s">
        <v>176</v>
      </c>
      <c r="C34" s="148">
        <v>2008</v>
      </c>
      <c r="D34" s="151" t="str">
        <f>MID(AF30_ByRubLot34[[#This Row],[AF-30 Lot]],2,3)</f>
        <v>347</v>
      </c>
      <c r="E34" s="151" t="str">
        <f>CONCATENATE(RIGHT(AF30_ByRubLot34[[#This Row],[Year of Production]],2),AF30_ByRubLot34[[#This Row],[Julian Date Jumbo Production]])</f>
        <v>08347</v>
      </c>
      <c r="F34">
        <f>(AF30_ByRubLot[[#This Row],[0-10]]/AF30_ByRubLot34[[Total Charge]:[Total Charge]])</f>
        <v>0</v>
      </c>
      <c r="G34">
        <f>(AF30_ByRubLot[[#This Row],[11-20]]/AF30_ByRubLot34[[Total Charge]:[Total Charge]])</f>
        <v>0</v>
      </c>
      <c r="H34">
        <f>(AF30_ByRubLot[[#This Row],[21-30]]/AF30_ByRubLot34[[Total Charge]:[Total Charge]])</f>
        <v>0.1</v>
      </c>
      <c r="I34">
        <f>(AF30_ByRubLot[[#This Row],[31-40]]/AF30_ByRubLot34[[Total Charge]:[Total Charge]])</f>
        <v>0</v>
      </c>
      <c r="J34">
        <f>(AF30_ByRubLot[[#This Row],[41-50]]/AF30_ByRubLot34[[Total Charge]:[Total Charge]])</f>
        <v>0</v>
      </c>
      <c r="K34">
        <f>(AF30_ByRubLot[[#This Row],[51-60]]/AF30_ByRubLot34[[Total Charge]:[Total Charge]])</f>
        <v>0.2</v>
      </c>
      <c r="L34">
        <f>(AF30_ByRubLot[[#This Row],[61-70]]/AF30_ByRubLot34[[Total Charge]:[Total Charge]])</f>
        <v>0</v>
      </c>
      <c r="M34">
        <f>(AF30_ByRubLot[[#This Row],[71-80]]/AF30_ByRubLot34[[Total Charge]:[Total Charge]])</f>
        <v>0</v>
      </c>
      <c r="N34">
        <f>(AF30_ByRubLot[[#This Row],[81-90]]/AF30_ByRubLot34[[Total Charge]:[Total Charge]])</f>
        <v>0.1</v>
      </c>
      <c r="O34">
        <f>(AF30_ByRubLot[[#This Row],[91-100]]/AF30_ByRubLot34[[Total Charge]:[Total Charge]])</f>
        <v>0</v>
      </c>
      <c r="P34">
        <f>(AF30_ByRubLot[[#This Row],[101-110]]/AF30_ByRubLot34[[Total Charge]:[Total Charge]])</f>
        <v>0.3</v>
      </c>
      <c r="Q34">
        <f>(AF30_ByRubLot[[#This Row],[111-120]]/AF30_ByRubLot34[[Total Charge]:[Total Charge]])</f>
        <v>0</v>
      </c>
      <c r="R34">
        <f>(AF30_ByRubLot[[#This Row],[121-130]]/AF30_ByRubLot34[[Total Charge]:[Total Charge]])</f>
        <v>0.3</v>
      </c>
      <c r="S34">
        <f>(AF30_ByRubLot[[#This Row],[131-140]]/AF30_ByRubLot34[[Total Charge]:[Total Charge]])</f>
        <v>0</v>
      </c>
      <c r="T34">
        <v>0</v>
      </c>
      <c r="U34">
        <v>0</v>
      </c>
      <c r="V34" t="s">
        <v>6</v>
      </c>
      <c r="W34">
        <v>10</v>
      </c>
      <c r="X34" s="112"/>
      <c r="Y34" s="146">
        <v>811.1111111111112</v>
      </c>
      <c r="Z34">
        <v>395</v>
      </c>
      <c r="AA34">
        <f t="shared" ref="AA34:AA65" si="1">(Z34/Y34)*100</f>
        <v>48.698630136986296</v>
      </c>
      <c r="AB34">
        <f>SUM(AF30_ByRubLot34[[#This Row],[0-10]:[131-140]])</f>
        <v>1</v>
      </c>
    </row>
    <row r="35" spans="1:28" x14ac:dyDescent="0.25">
      <c r="A35" t="s">
        <v>17</v>
      </c>
      <c r="B35" s="146" t="s">
        <v>175</v>
      </c>
      <c r="C35" s="148">
        <v>2009</v>
      </c>
      <c r="D35" s="151" t="str">
        <f>MID(AF30_ByRubLot34[[#This Row],[AF-30 Lot]],2,3)</f>
        <v>021</v>
      </c>
      <c r="E35" s="151" t="str">
        <f>CONCATENATE(RIGHT(AF30_ByRubLot34[[#This Row],[Year of Production]],2),AF30_ByRubLot34[[#This Row],[Julian Date Jumbo Production]])</f>
        <v>09021</v>
      </c>
      <c r="F35">
        <f>(AF30_ByRubLot[[#This Row],[0-10]]/AF30_ByRubLot34[[Total Charge]:[Total Charge]])</f>
        <v>0</v>
      </c>
      <c r="G35">
        <f>(AF30_ByRubLot[[#This Row],[11-20]]/AF30_ByRubLot34[[Total Charge]:[Total Charge]])</f>
        <v>0</v>
      </c>
      <c r="H35">
        <f>(AF30_ByRubLot[[#This Row],[21-30]]/AF30_ByRubLot34[[Total Charge]:[Total Charge]])</f>
        <v>0.1</v>
      </c>
      <c r="I35">
        <f>(AF30_ByRubLot[[#This Row],[31-40]]/AF30_ByRubLot34[[Total Charge]:[Total Charge]])</f>
        <v>0</v>
      </c>
      <c r="J35">
        <f>(AF30_ByRubLot[[#This Row],[41-50]]/AF30_ByRubLot34[[Total Charge]:[Total Charge]])</f>
        <v>0</v>
      </c>
      <c r="K35">
        <f>(AF30_ByRubLot[[#This Row],[51-60]]/AF30_ByRubLot34[[Total Charge]:[Total Charge]])</f>
        <v>0.2</v>
      </c>
      <c r="L35">
        <f>(AF30_ByRubLot[[#This Row],[61-70]]/AF30_ByRubLot34[[Total Charge]:[Total Charge]])</f>
        <v>0</v>
      </c>
      <c r="M35">
        <f>(AF30_ByRubLot[[#This Row],[71-80]]/AF30_ByRubLot34[[Total Charge]:[Total Charge]])</f>
        <v>0</v>
      </c>
      <c r="N35">
        <f>(AF30_ByRubLot[[#This Row],[81-90]]/AF30_ByRubLot34[[Total Charge]:[Total Charge]])</f>
        <v>0.1</v>
      </c>
      <c r="O35">
        <f>(AF30_ByRubLot[[#This Row],[91-100]]/AF30_ByRubLot34[[Total Charge]:[Total Charge]])</f>
        <v>0</v>
      </c>
      <c r="P35">
        <f>(AF30_ByRubLot[[#This Row],[101-110]]/AF30_ByRubLot34[[Total Charge]:[Total Charge]])</f>
        <v>0.3</v>
      </c>
      <c r="Q35">
        <f>(AF30_ByRubLot[[#This Row],[111-120]]/AF30_ByRubLot34[[Total Charge]:[Total Charge]])</f>
        <v>0</v>
      </c>
      <c r="R35">
        <f>(AF30_ByRubLot[[#This Row],[121-130]]/AF30_ByRubLot34[[Total Charge]:[Total Charge]])</f>
        <v>0.3</v>
      </c>
      <c r="S35">
        <f>(AF30_ByRubLot[[#This Row],[131-140]]/AF30_ByRubLot34[[Total Charge]:[Total Charge]])</f>
        <v>0</v>
      </c>
      <c r="T35">
        <v>0</v>
      </c>
      <c r="U35">
        <v>0</v>
      </c>
      <c r="V35" t="s">
        <v>6</v>
      </c>
      <c r="W35">
        <v>10</v>
      </c>
      <c r="X35" s="112"/>
      <c r="Y35" s="146">
        <v>1088.3333333333335</v>
      </c>
      <c r="Z35">
        <v>800</v>
      </c>
      <c r="AA35">
        <f t="shared" si="1"/>
        <v>73.506891271056645</v>
      </c>
      <c r="AB35">
        <f>SUM(AF30_ByRubLot34[[#This Row],[0-10]:[131-140]])</f>
        <v>1</v>
      </c>
    </row>
    <row r="36" spans="1:28" x14ac:dyDescent="0.25">
      <c r="A36" t="s">
        <v>17</v>
      </c>
      <c r="B36" s="146" t="s">
        <v>174</v>
      </c>
      <c r="C36" s="148">
        <v>2009</v>
      </c>
      <c r="D36" s="151" t="str">
        <f>MID(AF30_ByRubLot34[[#This Row],[AF-30 Lot]],2,3)</f>
        <v>051</v>
      </c>
      <c r="E36" s="151" t="str">
        <f>CONCATENATE(RIGHT(AF30_ByRubLot34[[#This Row],[Year of Production]],2),AF30_ByRubLot34[[#This Row],[Julian Date Jumbo Production]])</f>
        <v>09051</v>
      </c>
      <c r="F36">
        <f>(AF30_ByRubLot[[#This Row],[0-10]]/AF30_ByRubLot34[[Total Charge]:[Total Charge]])</f>
        <v>0</v>
      </c>
      <c r="G36">
        <f>(AF30_ByRubLot[[#This Row],[11-20]]/AF30_ByRubLot34[[Total Charge]:[Total Charge]])</f>
        <v>0</v>
      </c>
      <c r="H36">
        <f>(AF30_ByRubLot[[#This Row],[21-30]]/AF30_ByRubLot34[[Total Charge]:[Total Charge]])</f>
        <v>0.1</v>
      </c>
      <c r="I36">
        <f>(AF30_ByRubLot[[#This Row],[31-40]]/AF30_ByRubLot34[[Total Charge]:[Total Charge]])</f>
        <v>0</v>
      </c>
      <c r="J36">
        <f>(AF30_ByRubLot[[#This Row],[41-50]]/AF30_ByRubLot34[[Total Charge]:[Total Charge]])</f>
        <v>0</v>
      </c>
      <c r="K36">
        <f>(AF30_ByRubLot[[#This Row],[51-60]]/AF30_ByRubLot34[[Total Charge]:[Total Charge]])</f>
        <v>0.2</v>
      </c>
      <c r="L36">
        <f>(AF30_ByRubLot[[#This Row],[61-70]]/AF30_ByRubLot34[[Total Charge]:[Total Charge]])</f>
        <v>0</v>
      </c>
      <c r="M36">
        <f>(AF30_ByRubLot[[#This Row],[71-80]]/AF30_ByRubLot34[[Total Charge]:[Total Charge]])</f>
        <v>0</v>
      </c>
      <c r="N36">
        <f>(AF30_ByRubLot[[#This Row],[81-90]]/AF30_ByRubLot34[[Total Charge]:[Total Charge]])</f>
        <v>0.1</v>
      </c>
      <c r="O36">
        <f>(AF30_ByRubLot[[#This Row],[91-100]]/AF30_ByRubLot34[[Total Charge]:[Total Charge]])</f>
        <v>0</v>
      </c>
      <c r="P36">
        <f>(AF30_ByRubLot[[#This Row],[101-110]]/AF30_ByRubLot34[[Total Charge]:[Total Charge]])</f>
        <v>0.3</v>
      </c>
      <c r="Q36">
        <f>(AF30_ByRubLot[[#This Row],[111-120]]/AF30_ByRubLot34[[Total Charge]:[Total Charge]])</f>
        <v>0</v>
      </c>
      <c r="R36">
        <f>(AF30_ByRubLot[[#This Row],[121-130]]/AF30_ByRubLot34[[Total Charge]:[Total Charge]])</f>
        <v>0.3</v>
      </c>
      <c r="S36">
        <f>(AF30_ByRubLot[[#This Row],[131-140]]/AF30_ByRubLot34[[Total Charge]:[Total Charge]])</f>
        <v>0</v>
      </c>
      <c r="T36">
        <v>0</v>
      </c>
      <c r="U36">
        <v>0</v>
      </c>
      <c r="V36" t="s">
        <v>6</v>
      </c>
      <c r="W36">
        <v>10</v>
      </c>
      <c r="X36" s="112"/>
      <c r="Y36" s="146">
        <v>819.44444444444457</v>
      </c>
      <c r="Z36">
        <v>632</v>
      </c>
      <c r="AA36">
        <f t="shared" si="1"/>
        <v>77.125423728813544</v>
      </c>
      <c r="AB36">
        <f>SUM(AF30_ByRubLot34[[#This Row],[0-10]:[131-140]])</f>
        <v>1</v>
      </c>
    </row>
    <row r="37" spans="1:28" x14ac:dyDescent="0.25">
      <c r="A37" t="s">
        <v>17</v>
      </c>
      <c r="B37" s="146" t="s">
        <v>173</v>
      </c>
      <c r="C37" s="148">
        <v>2009</v>
      </c>
      <c r="D37" s="151" t="str">
        <f>MID(AF30_ByRubLot34[[#This Row],[AF-30 Lot]],2,3)</f>
        <v>075</v>
      </c>
      <c r="E37" s="151" t="str">
        <f>CONCATENATE(RIGHT(AF30_ByRubLot34[[#This Row],[Year of Production]],2),AF30_ByRubLot34[[#This Row],[Julian Date Jumbo Production]])</f>
        <v>09075</v>
      </c>
      <c r="F37">
        <f>(AF30_ByRubLot[[#This Row],[0-10]]/AF30_ByRubLot34[[Total Charge]:[Total Charge]])</f>
        <v>0</v>
      </c>
      <c r="G37">
        <f>(AF30_ByRubLot[[#This Row],[11-20]]/AF30_ByRubLot34[[Total Charge]:[Total Charge]])</f>
        <v>0</v>
      </c>
      <c r="H37">
        <f>(AF30_ByRubLot[[#This Row],[21-30]]/AF30_ByRubLot34[[Total Charge]:[Total Charge]])</f>
        <v>0.1</v>
      </c>
      <c r="I37">
        <f>(AF30_ByRubLot[[#This Row],[31-40]]/AF30_ByRubLot34[[Total Charge]:[Total Charge]])</f>
        <v>0</v>
      </c>
      <c r="J37">
        <f>(AF30_ByRubLot[[#This Row],[41-50]]/AF30_ByRubLot34[[Total Charge]:[Total Charge]])</f>
        <v>0</v>
      </c>
      <c r="K37">
        <f>(AF30_ByRubLot[[#This Row],[51-60]]/AF30_ByRubLot34[[Total Charge]:[Total Charge]])</f>
        <v>0.2</v>
      </c>
      <c r="L37">
        <f>(AF30_ByRubLot[[#This Row],[61-70]]/AF30_ByRubLot34[[Total Charge]:[Total Charge]])</f>
        <v>0</v>
      </c>
      <c r="M37">
        <f>(AF30_ByRubLot[[#This Row],[71-80]]/AF30_ByRubLot34[[Total Charge]:[Total Charge]])</f>
        <v>0</v>
      </c>
      <c r="N37">
        <f>(AF30_ByRubLot[[#This Row],[81-90]]/AF30_ByRubLot34[[Total Charge]:[Total Charge]])</f>
        <v>0.1</v>
      </c>
      <c r="O37">
        <f>(AF30_ByRubLot[[#This Row],[91-100]]/AF30_ByRubLot34[[Total Charge]:[Total Charge]])</f>
        <v>0</v>
      </c>
      <c r="P37">
        <f>(AF30_ByRubLot[[#This Row],[101-110]]/AF30_ByRubLot34[[Total Charge]:[Total Charge]])</f>
        <v>0.3</v>
      </c>
      <c r="Q37">
        <f>(AF30_ByRubLot[[#This Row],[111-120]]/AF30_ByRubLot34[[Total Charge]:[Total Charge]])</f>
        <v>0</v>
      </c>
      <c r="R37">
        <f>(AF30_ByRubLot[[#This Row],[121-130]]/AF30_ByRubLot34[[Total Charge]:[Total Charge]])</f>
        <v>0.3</v>
      </c>
      <c r="S37">
        <f>(AF30_ByRubLot[[#This Row],[131-140]]/AF30_ByRubLot34[[Total Charge]:[Total Charge]])</f>
        <v>0</v>
      </c>
      <c r="T37">
        <v>0</v>
      </c>
      <c r="U37">
        <v>0</v>
      </c>
      <c r="V37" t="s">
        <v>6</v>
      </c>
      <c r="W37">
        <v>10</v>
      </c>
      <c r="X37" s="112"/>
      <c r="Y37" s="146">
        <v>1461.1111111111111</v>
      </c>
      <c r="Z37">
        <v>877.5</v>
      </c>
      <c r="AA37">
        <f t="shared" si="1"/>
        <v>60.057034220532323</v>
      </c>
      <c r="AB37">
        <f>SUM(AF30_ByRubLot34[[#This Row],[0-10]:[131-140]])</f>
        <v>1</v>
      </c>
    </row>
    <row r="38" spans="1:28" x14ac:dyDescent="0.25">
      <c r="A38" t="s">
        <v>17</v>
      </c>
      <c r="B38" s="146" t="s">
        <v>172</v>
      </c>
      <c r="C38" s="148">
        <v>2009</v>
      </c>
      <c r="D38" s="151" t="str">
        <f>MID(AF30_ByRubLot34[[#This Row],[AF-30 Lot]],2,3)</f>
        <v>106</v>
      </c>
      <c r="E38" s="151" t="str">
        <f>CONCATENATE(RIGHT(AF30_ByRubLot34[[#This Row],[Year of Production]],2),AF30_ByRubLot34[[#This Row],[Julian Date Jumbo Production]])</f>
        <v>09106</v>
      </c>
      <c r="F38">
        <f>(AF30_ByRubLot[[#This Row],[0-10]]/AF30_ByRubLot34[[Total Charge]:[Total Charge]])</f>
        <v>0</v>
      </c>
      <c r="G38">
        <f>(AF30_ByRubLot[[#This Row],[11-20]]/AF30_ByRubLot34[[Total Charge]:[Total Charge]])</f>
        <v>0</v>
      </c>
      <c r="H38">
        <f>(AF30_ByRubLot[[#This Row],[21-30]]/AF30_ByRubLot34[[Total Charge]:[Total Charge]])</f>
        <v>0.1</v>
      </c>
      <c r="I38">
        <f>(AF30_ByRubLot[[#This Row],[31-40]]/AF30_ByRubLot34[[Total Charge]:[Total Charge]])</f>
        <v>0</v>
      </c>
      <c r="J38">
        <f>(AF30_ByRubLot[[#This Row],[41-50]]/AF30_ByRubLot34[[Total Charge]:[Total Charge]])</f>
        <v>0</v>
      </c>
      <c r="K38">
        <f>(AF30_ByRubLot[[#This Row],[51-60]]/AF30_ByRubLot34[[Total Charge]:[Total Charge]])</f>
        <v>0.2</v>
      </c>
      <c r="L38">
        <f>(AF30_ByRubLot[[#This Row],[61-70]]/AF30_ByRubLot34[[Total Charge]:[Total Charge]])</f>
        <v>0</v>
      </c>
      <c r="M38">
        <f>(AF30_ByRubLot[[#This Row],[71-80]]/AF30_ByRubLot34[[Total Charge]:[Total Charge]])</f>
        <v>0</v>
      </c>
      <c r="N38">
        <f>(AF30_ByRubLot[[#This Row],[81-90]]/AF30_ByRubLot34[[Total Charge]:[Total Charge]])</f>
        <v>0.1</v>
      </c>
      <c r="O38">
        <f>(AF30_ByRubLot[[#This Row],[91-100]]/AF30_ByRubLot34[[Total Charge]:[Total Charge]])</f>
        <v>0</v>
      </c>
      <c r="P38">
        <f>(AF30_ByRubLot[[#This Row],[101-110]]/AF30_ByRubLot34[[Total Charge]:[Total Charge]])</f>
        <v>0.3</v>
      </c>
      <c r="Q38">
        <f>(AF30_ByRubLot[[#This Row],[111-120]]/AF30_ByRubLot34[[Total Charge]:[Total Charge]])</f>
        <v>0</v>
      </c>
      <c r="R38">
        <f>(AF30_ByRubLot[[#This Row],[121-130]]/AF30_ByRubLot34[[Total Charge]:[Total Charge]])</f>
        <v>0.3</v>
      </c>
      <c r="S38">
        <f>(AF30_ByRubLot[[#This Row],[131-140]]/AF30_ByRubLot34[[Total Charge]:[Total Charge]])</f>
        <v>0</v>
      </c>
      <c r="T38">
        <v>0</v>
      </c>
      <c r="U38">
        <v>0</v>
      </c>
      <c r="V38" t="s">
        <v>6</v>
      </c>
      <c r="W38">
        <v>10</v>
      </c>
      <c r="X38" s="112"/>
      <c r="Y38" s="146">
        <v>291.66666666666669</v>
      </c>
      <c r="Z38">
        <v>80</v>
      </c>
      <c r="AA38">
        <f t="shared" si="1"/>
        <v>27.428571428571423</v>
      </c>
      <c r="AB38">
        <f>SUM(AF30_ByRubLot34[[#This Row],[0-10]:[131-140]])</f>
        <v>1</v>
      </c>
    </row>
    <row r="39" spans="1:28" x14ac:dyDescent="0.25">
      <c r="A39" t="s">
        <v>17</v>
      </c>
      <c r="B39" s="146" t="s">
        <v>171</v>
      </c>
      <c r="C39" s="148">
        <v>2009</v>
      </c>
      <c r="D39" s="151" t="str">
        <f>MID(AF30_ByRubLot34[[#This Row],[AF-30 Lot]],2,3)</f>
        <v>125</v>
      </c>
      <c r="E39" s="151" t="str">
        <f>CONCATENATE(RIGHT(AF30_ByRubLot34[[#This Row],[Year of Production]],2),AF30_ByRubLot34[[#This Row],[Julian Date Jumbo Production]])</f>
        <v>09125</v>
      </c>
      <c r="F39">
        <f>(AF30_ByRubLot[[#This Row],[0-10]]/AF30_ByRubLot34[[Total Charge]:[Total Charge]])</f>
        <v>0</v>
      </c>
      <c r="G39">
        <f>(AF30_ByRubLot[[#This Row],[11-20]]/AF30_ByRubLot34[[Total Charge]:[Total Charge]])</f>
        <v>0</v>
      </c>
      <c r="H39">
        <f>(AF30_ByRubLot[[#This Row],[21-30]]/AF30_ByRubLot34[[Total Charge]:[Total Charge]])</f>
        <v>0.1</v>
      </c>
      <c r="I39">
        <f>(AF30_ByRubLot[[#This Row],[31-40]]/AF30_ByRubLot34[[Total Charge]:[Total Charge]])</f>
        <v>0</v>
      </c>
      <c r="J39">
        <f>(AF30_ByRubLot[[#This Row],[41-50]]/AF30_ByRubLot34[[Total Charge]:[Total Charge]])</f>
        <v>0</v>
      </c>
      <c r="K39">
        <f>(AF30_ByRubLot[[#This Row],[51-60]]/AF30_ByRubLot34[[Total Charge]:[Total Charge]])</f>
        <v>0.2</v>
      </c>
      <c r="L39">
        <f>(AF30_ByRubLot[[#This Row],[61-70]]/AF30_ByRubLot34[[Total Charge]:[Total Charge]])</f>
        <v>0</v>
      </c>
      <c r="M39">
        <f>(AF30_ByRubLot[[#This Row],[71-80]]/AF30_ByRubLot34[[Total Charge]:[Total Charge]])</f>
        <v>0</v>
      </c>
      <c r="N39">
        <f>(AF30_ByRubLot[[#This Row],[81-90]]/AF30_ByRubLot34[[Total Charge]:[Total Charge]])</f>
        <v>0.1</v>
      </c>
      <c r="O39">
        <f>(AF30_ByRubLot[[#This Row],[91-100]]/AF30_ByRubLot34[[Total Charge]:[Total Charge]])</f>
        <v>0</v>
      </c>
      <c r="P39">
        <f>(AF30_ByRubLot[[#This Row],[101-110]]/AF30_ByRubLot34[[Total Charge]:[Total Charge]])</f>
        <v>0.3</v>
      </c>
      <c r="Q39">
        <f>(AF30_ByRubLot[[#This Row],[111-120]]/AF30_ByRubLot34[[Total Charge]:[Total Charge]])</f>
        <v>0</v>
      </c>
      <c r="R39">
        <f>(AF30_ByRubLot[[#This Row],[121-130]]/AF30_ByRubLot34[[Total Charge]:[Total Charge]])</f>
        <v>0.3</v>
      </c>
      <c r="S39">
        <f>(AF30_ByRubLot[[#This Row],[131-140]]/AF30_ByRubLot34[[Total Charge]:[Total Charge]])</f>
        <v>0</v>
      </c>
      <c r="T39">
        <v>0</v>
      </c>
      <c r="U39">
        <v>0</v>
      </c>
      <c r="V39" t="s">
        <v>6</v>
      </c>
      <c r="W39">
        <v>10</v>
      </c>
      <c r="X39" s="112"/>
      <c r="Y39" s="146">
        <v>766.66666666666674</v>
      </c>
      <c r="Z39">
        <v>0</v>
      </c>
      <c r="AA39">
        <f t="shared" si="1"/>
        <v>0</v>
      </c>
      <c r="AB39">
        <f>SUM(AF30_ByRubLot34[[#This Row],[0-10]:[131-140]])</f>
        <v>1</v>
      </c>
    </row>
    <row r="40" spans="1:28" x14ac:dyDescent="0.25">
      <c r="A40" t="s">
        <v>17</v>
      </c>
      <c r="B40" s="146" t="s">
        <v>170</v>
      </c>
      <c r="C40" s="148">
        <v>2009</v>
      </c>
      <c r="D40" s="151" t="str">
        <f>MID(AF30_ByRubLot34[[#This Row],[AF-30 Lot]],2,3)</f>
        <v>147</v>
      </c>
      <c r="E40" s="151" t="str">
        <f>CONCATENATE(RIGHT(AF30_ByRubLot34[[#This Row],[Year of Production]],2),AF30_ByRubLot34[[#This Row],[Julian Date Jumbo Production]])</f>
        <v>09147</v>
      </c>
      <c r="F40">
        <f>(AF30_ByRubLot[[#This Row],[0-10]]/AF30_ByRubLot34[[Total Charge]:[Total Charge]])</f>
        <v>0</v>
      </c>
      <c r="G40">
        <f>(AF30_ByRubLot[[#This Row],[11-20]]/AF30_ByRubLot34[[Total Charge]:[Total Charge]])</f>
        <v>0</v>
      </c>
      <c r="H40">
        <f>(AF30_ByRubLot[[#This Row],[21-30]]/AF30_ByRubLot34[[Total Charge]:[Total Charge]])</f>
        <v>0.1</v>
      </c>
      <c r="I40">
        <f>(AF30_ByRubLot[[#This Row],[31-40]]/AF30_ByRubLot34[[Total Charge]:[Total Charge]])</f>
        <v>0</v>
      </c>
      <c r="J40">
        <f>(AF30_ByRubLot[[#This Row],[41-50]]/AF30_ByRubLot34[[Total Charge]:[Total Charge]])</f>
        <v>0</v>
      </c>
      <c r="K40">
        <f>(AF30_ByRubLot[[#This Row],[51-60]]/AF30_ByRubLot34[[Total Charge]:[Total Charge]])</f>
        <v>0.2</v>
      </c>
      <c r="L40">
        <f>(AF30_ByRubLot[[#This Row],[61-70]]/AF30_ByRubLot34[[Total Charge]:[Total Charge]])</f>
        <v>0</v>
      </c>
      <c r="M40">
        <f>(AF30_ByRubLot[[#This Row],[71-80]]/AF30_ByRubLot34[[Total Charge]:[Total Charge]])</f>
        <v>0</v>
      </c>
      <c r="N40">
        <f>(AF30_ByRubLot[[#This Row],[81-90]]/AF30_ByRubLot34[[Total Charge]:[Total Charge]])</f>
        <v>0.1</v>
      </c>
      <c r="O40">
        <f>(AF30_ByRubLot[[#This Row],[91-100]]/AF30_ByRubLot34[[Total Charge]:[Total Charge]])</f>
        <v>0</v>
      </c>
      <c r="P40">
        <f>(AF30_ByRubLot[[#This Row],[101-110]]/AF30_ByRubLot34[[Total Charge]:[Total Charge]])</f>
        <v>0.3</v>
      </c>
      <c r="Q40">
        <f>(AF30_ByRubLot[[#This Row],[111-120]]/AF30_ByRubLot34[[Total Charge]:[Total Charge]])</f>
        <v>0</v>
      </c>
      <c r="R40">
        <f>(AF30_ByRubLot[[#This Row],[121-130]]/AF30_ByRubLot34[[Total Charge]:[Total Charge]])</f>
        <v>0.3</v>
      </c>
      <c r="S40">
        <f>(AF30_ByRubLot[[#This Row],[131-140]]/AF30_ByRubLot34[[Total Charge]:[Total Charge]])</f>
        <v>0</v>
      </c>
      <c r="T40">
        <v>0</v>
      </c>
      <c r="U40">
        <v>0</v>
      </c>
      <c r="V40" t="s">
        <v>6</v>
      </c>
      <c r="W40">
        <v>10</v>
      </c>
      <c r="X40" s="112"/>
      <c r="Y40" s="146">
        <v>500</v>
      </c>
      <c r="Z40">
        <v>480</v>
      </c>
      <c r="AA40">
        <f t="shared" si="1"/>
        <v>96</v>
      </c>
      <c r="AB40">
        <f>SUM(AF30_ByRubLot34[[#This Row],[0-10]:[131-140]])</f>
        <v>1</v>
      </c>
    </row>
    <row r="41" spans="1:28" x14ac:dyDescent="0.25">
      <c r="A41" t="s">
        <v>17</v>
      </c>
      <c r="B41" s="146" t="s">
        <v>169</v>
      </c>
      <c r="C41" s="148">
        <v>2009</v>
      </c>
      <c r="D41" s="151" t="str">
        <f>MID(AF30_ByRubLot34[[#This Row],[AF-30 Lot]],2,3)</f>
        <v>161</v>
      </c>
      <c r="E41" s="151" t="str">
        <f>CONCATENATE(RIGHT(AF30_ByRubLot34[[#This Row],[Year of Production]],2),AF30_ByRubLot34[[#This Row],[Julian Date Jumbo Production]])</f>
        <v>09161</v>
      </c>
      <c r="F41">
        <f>(AF30_ByRubLot[[#This Row],[0-10]]/AF30_ByRubLot34[[Total Charge]:[Total Charge]])</f>
        <v>0</v>
      </c>
      <c r="G41">
        <f>(AF30_ByRubLot[[#This Row],[11-20]]/AF30_ByRubLot34[[Total Charge]:[Total Charge]])</f>
        <v>0</v>
      </c>
      <c r="H41">
        <f>(AF30_ByRubLot[[#This Row],[21-30]]/AF30_ByRubLot34[[Total Charge]:[Total Charge]])</f>
        <v>0.1</v>
      </c>
      <c r="I41">
        <f>(AF30_ByRubLot[[#This Row],[31-40]]/AF30_ByRubLot34[[Total Charge]:[Total Charge]])</f>
        <v>0</v>
      </c>
      <c r="J41">
        <f>(AF30_ByRubLot[[#This Row],[41-50]]/AF30_ByRubLot34[[Total Charge]:[Total Charge]])</f>
        <v>0</v>
      </c>
      <c r="K41">
        <f>(AF30_ByRubLot[[#This Row],[51-60]]/AF30_ByRubLot34[[Total Charge]:[Total Charge]])</f>
        <v>0.2</v>
      </c>
      <c r="L41">
        <f>(AF30_ByRubLot[[#This Row],[61-70]]/AF30_ByRubLot34[[Total Charge]:[Total Charge]])</f>
        <v>0</v>
      </c>
      <c r="M41">
        <f>(AF30_ByRubLot[[#This Row],[71-80]]/AF30_ByRubLot34[[Total Charge]:[Total Charge]])</f>
        <v>0</v>
      </c>
      <c r="N41">
        <f>(AF30_ByRubLot[[#This Row],[81-90]]/AF30_ByRubLot34[[Total Charge]:[Total Charge]])</f>
        <v>0.1</v>
      </c>
      <c r="O41">
        <f>(AF30_ByRubLot[[#This Row],[91-100]]/AF30_ByRubLot34[[Total Charge]:[Total Charge]])</f>
        <v>0</v>
      </c>
      <c r="P41">
        <f>(AF30_ByRubLot[[#This Row],[101-110]]/AF30_ByRubLot34[[Total Charge]:[Total Charge]])</f>
        <v>0.3</v>
      </c>
      <c r="Q41">
        <f>(AF30_ByRubLot[[#This Row],[111-120]]/AF30_ByRubLot34[[Total Charge]:[Total Charge]])</f>
        <v>0</v>
      </c>
      <c r="R41">
        <f>(AF30_ByRubLot[[#This Row],[121-130]]/AF30_ByRubLot34[[Total Charge]:[Total Charge]])</f>
        <v>0.3</v>
      </c>
      <c r="S41">
        <f>(AF30_ByRubLot[[#This Row],[131-140]]/AF30_ByRubLot34[[Total Charge]:[Total Charge]])</f>
        <v>0</v>
      </c>
      <c r="T41">
        <v>0</v>
      </c>
      <c r="U41">
        <v>0</v>
      </c>
      <c r="V41" t="s">
        <v>6</v>
      </c>
      <c r="W41">
        <v>10</v>
      </c>
      <c r="X41" s="112"/>
      <c r="Y41" s="146">
        <v>899.99999999999989</v>
      </c>
      <c r="Z41">
        <v>320</v>
      </c>
      <c r="AA41">
        <f t="shared" si="1"/>
        <v>35.555555555555564</v>
      </c>
      <c r="AB41">
        <f>SUM(AF30_ByRubLot34[[#This Row],[0-10]:[131-140]])</f>
        <v>1</v>
      </c>
    </row>
    <row r="42" spans="1:28" x14ac:dyDescent="0.25">
      <c r="A42" t="s">
        <v>17</v>
      </c>
      <c r="B42" s="146" t="s">
        <v>168</v>
      </c>
      <c r="C42" s="148">
        <v>2009</v>
      </c>
      <c r="D42" s="151" t="str">
        <f>MID(AF30_ByRubLot34[[#This Row],[AF-30 Lot]],2,3)</f>
        <v>176</v>
      </c>
      <c r="E42" s="151" t="str">
        <f>CONCATENATE(RIGHT(AF30_ByRubLot34[[#This Row],[Year of Production]],2),AF30_ByRubLot34[[#This Row],[Julian Date Jumbo Production]])</f>
        <v>09176</v>
      </c>
      <c r="F42">
        <f>(AF30_ByRubLot[[#This Row],[0-10]]/AF30_ByRubLot34[[Total Charge]:[Total Charge]])</f>
        <v>0</v>
      </c>
      <c r="G42">
        <f>(AF30_ByRubLot[[#This Row],[11-20]]/AF30_ByRubLot34[[Total Charge]:[Total Charge]])</f>
        <v>0</v>
      </c>
      <c r="H42">
        <f>(AF30_ByRubLot[[#This Row],[21-30]]/AF30_ByRubLot34[[Total Charge]:[Total Charge]])</f>
        <v>0.1</v>
      </c>
      <c r="I42">
        <f>(AF30_ByRubLot[[#This Row],[31-40]]/AF30_ByRubLot34[[Total Charge]:[Total Charge]])</f>
        <v>0</v>
      </c>
      <c r="J42">
        <f>(AF30_ByRubLot[[#This Row],[41-50]]/AF30_ByRubLot34[[Total Charge]:[Total Charge]])</f>
        <v>0</v>
      </c>
      <c r="K42">
        <f>(AF30_ByRubLot[[#This Row],[51-60]]/AF30_ByRubLot34[[Total Charge]:[Total Charge]])</f>
        <v>0.2</v>
      </c>
      <c r="L42">
        <f>(AF30_ByRubLot[[#This Row],[61-70]]/AF30_ByRubLot34[[Total Charge]:[Total Charge]])</f>
        <v>0</v>
      </c>
      <c r="M42">
        <f>(AF30_ByRubLot[[#This Row],[71-80]]/AF30_ByRubLot34[[Total Charge]:[Total Charge]])</f>
        <v>0</v>
      </c>
      <c r="N42">
        <f>(AF30_ByRubLot[[#This Row],[81-90]]/AF30_ByRubLot34[[Total Charge]:[Total Charge]])</f>
        <v>0.1</v>
      </c>
      <c r="O42">
        <f>(AF30_ByRubLot[[#This Row],[91-100]]/AF30_ByRubLot34[[Total Charge]:[Total Charge]])</f>
        <v>0</v>
      </c>
      <c r="P42">
        <f>(AF30_ByRubLot[[#This Row],[101-110]]/AF30_ByRubLot34[[Total Charge]:[Total Charge]])</f>
        <v>0.3</v>
      </c>
      <c r="Q42">
        <f>(AF30_ByRubLot[[#This Row],[111-120]]/AF30_ByRubLot34[[Total Charge]:[Total Charge]])</f>
        <v>0</v>
      </c>
      <c r="R42">
        <f>(AF30_ByRubLot[[#This Row],[121-130]]/AF30_ByRubLot34[[Total Charge]:[Total Charge]])</f>
        <v>0.3</v>
      </c>
      <c r="S42">
        <f>(AF30_ByRubLot[[#This Row],[131-140]]/AF30_ByRubLot34[[Total Charge]:[Total Charge]])</f>
        <v>0</v>
      </c>
      <c r="T42">
        <v>0</v>
      </c>
      <c r="U42">
        <v>0</v>
      </c>
      <c r="V42" t="s">
        <v>6</v>
      </c>
      <c r="W42">
        <v>10</v>
      </c>
      <c r="X42" s="112"/>
      <c r="Y42" s="146">
        <v>1077.7777777777778</v>
      </c>
      <c r="Z42">
        <v>992</v>
      </c>
      <c r="AA42">
        <f t="shared" si="1"/>
        <v>92.041237113402047</v>
      </c>
      <c r="AB42">
        <f>SUM(AF30_ByRubLot34[[#This Row],[0-10]:[131-140]])</f>
        <v>1</v>
      </c>
    </row>
    <row r="43" spans="1:28" x14ac:dyDescent="0.25">
      <c r="A43" t="s">
        <v>17</v>
      </c>
      <c r="B43" s="146" t="s">
        <v>167</v>
      </c>
      <c r="C43" s="148">
        <v>2009</v>
      </c>
      <c r="D43" s="151" t="str">
        <f>MID(AF30_ByRubLot34[[#This Row],[AF-30 Lot]],2,3)</f>
        <v>236</v>
      </c>
      <c r="E43" s="151" t="str">
        <f>CONCATENATE(RIGHT(AF30_ByRubLot34[[#This Row],[Year of Production]],2),AF30_ByRubLot34[[#This Row],[Julian Date Jumbo Production]])</f>
        <v>09236</v>
      </c>
      <c r="F43">
        <f>(AF30_ByRubLot[[#This Row],[0-10]]/AF30_ByRubLot34[[Total Charge]:[Total Charge]])</f>
        <v>0</v>
      </c>
      <c r="G43">
        <f>(AF30_ByRubLot[[#This Row],[11-20]]/AF30_ByRubLot34[[Total Charge]:[Total Charge]])</f>
        <v>0</v>
      </c>
      <c r="H43">
        <f>(AF30_ByRubLot[[#This Row],[21-30]]/AF30_ByRubLot34[[Total Charge]:[Total Charge]])</f>
        <v>0.1</v>
      </c>
      <c r="I43">
        <f>(AF30_ByRubLot[[#This Row],[31-40]]/AF30_ByRubLot34[[Total Charge]:[Total Charge]])</f>
        <v>0</v>
      </c>
      <c r="J43">
        <f>(AF30_ByRubLot[[#This Row],[41-50]]/AF30_ByRubLot34[[Total Charge]:[Total Charge]])</f>
        <v>0</v>
      </c>
      <c r="K43">
        <f>(AF30_ByRubLot[[#This Row],[51-60]]/AF30_ByRubLot34[[Total Charge]:[Total Charge]])</f>
        <v>0.2</v>
      </c>
      <c r="L43">
        <f>(AF30_ByRubLot[[#This Row],[61-70]]/AF30_ByRubLot34[[Total Charge]:[Total Charge]])</f>
        <v>0</v>
      </c>
      <c r="M43">
        <f>(AF30_ByRubLot[[#This Row],[71-80]]/AF30_ByRubLot34[[Total Charge]:[Total Charge]])</f>
        <v>0</v>
      </c>
      <c r="N43">
        <f>(AF30_ByRubLot[[#This Row],[81-90]]/AF30_ByRubLot34[[Total Charge]:[Total Charge]])</f>
        <v>0.1</v>
      </c>
      <c r="O43">
        <f>(AF30_ByRubLot[[#This Row],[91-100]]/AF30_ByRubLot34[[Total Charge]:[Total Charge]])</f>
        <v>0</v>
      </c>
      <c r="P43">
        <f>(AF30_ByRubLot[[#This Row],[101-110]]/AF30_ByRubLot34[[Total Charge]:[Total Charge]])</f>
        <v>0.3</v>
      </c>
      <c r="Q43">
        <f>(AF30_ByRubLot[[#This Row],[111-120]]/AF30_ByRubLot34[[Total Charge]:[Total Charge]])</f>
        <v>0</v>
      </c>
      <c r="R43">
        <f>(AF30_ByRubLot[[#This Row],[121-130]]/AF30_ByRubLot34[[Total Charge]:[Total Charge]])</f>
        <v>0.3</v>
      </c>
      <c r="S43">
        <f>(AF30_ByRubLot[[#This Row],[131-140]]/AF30_ByRubLot34[[Total Charge]:[Total Charge]])</f>
        <v>0</v>
      </c>
      <c r="T43">
        <v>0</v>
      </c>
      <c r="U43">
        <v>0</v>
      </c>
      <c r="V43" t="s">
        <v>6</v>
      </c>
      <c r="W43">
        <v>10</v>
      </c>
      <c r="X43" s="112"/>
      <c r="Y43" s="146">
        <v>1143.3333333333333</v>
      </c>
      <c r="Z43">
        <v>320</v>
      </c>
      <c r="AA43">
        <f t="shared" si="1"/>
        <v>27.988338192419825</v>
      </c>
      <c r="AB43">
        <f>SUM(AF30_ByRubLot34[[#This Row],[0-10]:[131-140]])</f>
        <v>1</v>
      </c>
    </row>
    <row r="44" spans="1:28" x14ac:dyDescent="0.25">
      <c r="A44" t="s">
        <v>17</v>
      </c>
      <c r="B44" s="146" t="s">
        <v>166</v>
      </c>
      <c r="C44" s="148">
        <v>2009</v>
      </c>
      <c r="D44" s="151" t="str">
        <f>MID(AF30_ByRubLot34[[#This Row],[AF-30 Lot]],2,3)</f>
        <v>252</v>
      </c>
      <c r="E44" s="151" t="str">
        <f>CONCATENATE(RIGHT(AF30_ByRubLot34[[#This Row],[Year of Production]],2),AF30_ByRubLot34[[#This Row],[Julian Date Jumbo Production]])</f>
        <v>09252</v>
      </c>
      <c r="F44">
        <f>(AF30_ByRubLot[[#This Row],[0-10]]/AF30_ByRubLot34[[Total Charge]:[Total Charge]])</f>
        <v>0</v>
      </c>
      <c r="G44">
        <f>(AF30_ByRubLot[[#This Row],[11-20]]/AF30_ByRubLot34[[Total Charge]:[Total Charge]])</f>
        <v>0</v>
      </c>
      <c r="H44">
        <f>(AF30_ByRubLot[[#This Row],[21-30]]/AF30_ByRubLot34[[Total Charge]:[Total Charge]])</f>
        <v>0.1</v>
      </c>
      <c r="I44">
        <f>(AF30_ByRubLot[[#This Row],[31-40]]/AF30_ByRubLot34[[Total Charge]:[Total Charge]])</f>
        <v>0</v>
      </c>
      <c r="J44">
        <f>(AF30_ByRubLot[[#This Row],[41-50]]/AF30_ByRubLot34[[Total Charge]:[Total Charge]])</f>
        <v>0</v>
      </c>
      <c r="K44">
        <f>(AF30_ByRubLot[[#This Row],[51-60]]/AF30_ByRubLot34[[Total Charge]:[Total Charge]])</f>
        <v>0.2</v>
      </c>
      <c r="L44">
        <f>(AF30_ByRubLot[[#This Row],[61-70]]/AF30_ByRubLot34[[Total Charge]:[Total Charge]])</f>
        <v>0</v>
      </c>
      <c r="M44">
        <f>(AF30_ByRubLot[[#This Row],[71-80]]/AF30_ByRubLot34[[Total Charge]:[Total Charge]])</f>
        <v>0</v>
      </c>
      <c r="N44">
        <f>(AF30_ByRubLot[[#This Row],[81-90]]/AF30_ByRubLot34[[Total Charge]:[Total Charge]])</f>
        <v>0.1</v>
      </c>
      <c r="O44">
        <f>(AF30_ByRubLot[[#This Row],[91-100]]/AF30_ByRubLot34[[Total Charge]:[Total Charge]])</f>
        <v>0</v>
      </c>
      <c r="P44">
        <f>(AF30_ByRubLot[[#This Row],[101-110]]/AF30_ByRubLot34[[Total Charge]:[Total Charge]])</f>
        <v>0.3</v>
      </c>
      <c r="Q44">
        <f>(AF30_ByRubLot[[#This Row],[111-120]]/AF30_ByRubLot34[[Total Charge]:[Total Charge]])</f>
        <v>0</v>
      </c>
      <c r="R44">
        <f>(AF30_ByRubLot[[#This Row],[121-130]]/AF30_ByRubLot34[[Total Charge]:[Total Charge]])</f>
        <v>0.3</v>
      </c>
      <c r="S44">
        <f>(AF30_ByRubLot[[#This Row],[131-140]]/AF30_ByRubLot34[[Total Charge]:[Total Charge]])</f>
        <v>0</v>
      </c>
      <c r="T44">
        <v>0</v>
      </c>
      <c r="U44">
        <v>0</v>
      </c>
      <c r="V44" t="s">
        <v>6</v>
      </c>
      <c r="W44">
        <v>10</v>
      </c>
      <c r="X44" s="112"/>
      <c r="Y44" s="146">
        <v>1605.5555555555557</v>
      </c>
      <c r="Z44">
        <v>1080</v>
      </c>
      <c r="AA44">
        <f t="shared" si="1"/>
        <v>67.266435986159166</v>
      </c>
      <c r="AB44">
        <f>SUM(AF30_ByRubLot34[[#This Row],[0-10]:[131-140]])</f>
        <v>1</v>
      </c>
    </row>
    <row r="45" spans="1:28" x14ac:dyDescent="0.25">
      <c r="A45" t="s">
        <v>17</v>
      </c>
      <c r="B45" s="146" t="s">
        <v>165</v>
      </c>
      <c r="C45" s="148">
        <v>2009</v>
      </c>
      <c r="D45" s="151" t="str">
        <f>MID(AF30_ByRubLot34[[#This Row],[AF-30 Lot]],2,3)</f>
        <v>285</v>
      </c>
      <c r="E45" s="151" t="str">
        <f>CONCATENATE(RIGHT(AF30_ByRubLot34[[#This Row],[Year of Production]],2),AF30_ByRubLot34[[#This Row],[Julian Date Jumbo Production]])</f>
        <v>09285</v>
      </c>
      <c r="F45">
        <f>(AF30_ByRubLot[[#This Row],[0-10]]/AF30_ByRubLot34[[Total Charge]:[Total Charge]])</f>
        <v>0</v>
      </c>
      <c r="G45">
        <f>(AF30_ByRubLot[[#This Row],[11-20]]/AF30_ByRubLot34[[Total Charge]:[Total Charge]])</f>
        <v>0</v>
      </c>
      <c r="H45">
        <f>(AF30_ByRubLot[[#This Row],[21-30]]/AF30_ByRubLot34[[Total Charge]:[Total Charge]])</f>
        <v>0.1</v>
      </c>
      <c r="I45">
        <f>(AF30_ByRubLot[[#This Row],[31-40]]/AF30_ByRubLot34[[Total Charge]:[Total Charge]])</f>
        <v>0</v>
      </c>
      <c r="J45">
        <f>(AF30_ByRubLot[[#This Row],[41-50]]/AF30_ByRubLot34[[Total Charge]:[Total Charge]])</f>
        <v>0</v>
      </c>
      <c r="K45">
        <f>(AF30_ByRubLot[[#This Row],[51-60]]/AF30_ByRubLot34[[Total Charge]:[Total Charge]])</f>
        <v>0.2</v>
      </c>
      <c r="L45">
        <f>(AF30_ByRubLot[[#This Row],[61-70]]/AF30_ByRubLot34[[Total Charge]:[Total Charge]])</f>
        <v>0</v>
      </c>
      <c r="M45">
        <f>(AF30_ByRubLot[[#This Row],[71-80]]/AF30_ByRubLot34[[Total Charge]:[Total Charge]])</f>
        <v>0</v>
      </c>
      <c r="N45">
        <f>(AF30_ByRubLot[[#This Row],[81-90]]/AF30_ByRubLot34[[Total Charge]:[Total Charge]])</f>
        <v>0.1</v>
      </c>
      <c r="O45">
        <f>(AF30_ByRubLot[[#This Row],[91-100]]/AF30_ByRubLot34[[Total Charge]:[Total Charge]])</f>
        <v>0</v>
      </c>
      <c r="P45">
        <f>(AF30_ByRubLot[[#This Row],[101-110]]/AF30_ByRubLot34[[Total Charge]:[Total Charge]])</f>
        <v>0.3</v>
      </c>
      <c r="Q45">
        <f>(AF30_ByRubLot[[#This Row],[111-120]]/AF30_ByRubLot34[[Total Charge]:[Total Charge]])</f>
        <v>0</v>
      </c>
      <c r="R45">
        <f>(AF30_ByRubLot[[#This Row],[121-130]]/AF30_ByRubLot34[[Total Charge]:[Total Charge]])</f>
        <v>0.3</v>
      </c>
      <c r="S45">
        <f>(AF30_ByRubLot[[#This Row],[131-140]]/AF30_ByRubLot34[[Total Charge]:[Total Charge]])</f>
        <v>0</v>
      </c>
      <c r="T45">
        <v>0</v>
      </c>
      <c r="U45">
        <v>0</v>
      </c>
      <c r="V45" t="s">
        <v>6</v>
      </c>
      <c r="W45">
        <v>10</v>
      </c>
      <c r="X45" s="112"/>
      <c r="Y45" s="146">
        <v>955.55555555555554</v>
      </c>
      <c r="Z45">
        <v>885.33327999999995</v>
      </c>
      <c r="AA45">
        <f t="shared" si="1"/>
        <v>92.651157209302326</v>
      </c>
      <c r="AB45">
        <f>SUM(AF30_ByRubLot34[[#This Row],[0-10]:[131-140]])</f>
        <v>1</v>
      </c>
    </row>
    <row r="46" spans="1:28" x14ac:dyDescent="0.25">
      <c r="A46" t="s">
        <v>17</v>
      </c>
      <c r="B46" s="146" t="s">
        <v>164</v>
      </c>
      <c r="C46" s="148">
        <v>2009</v>
      </c>
      <c r="D46" s="151" t="str">
        <f>MID(AF30_ByRubLot34[[#This Row],[AF-30 Lot]],2,3)</f>
        <v>321</v>
      </c>
      <c r="E46" s="151" t="str">
        <f>CONCATENATE(RIGHT(AF30_ByRubLot34[[#This Row],[Year of Production]],2),AF30_ByRubLot34[[#This Row],[Julian Date Jumbo Production]])</f>
        <v>09321</v>
      </c>
      <c r="F46">
        <f>(AF30_ByRubLot[[#This Row],[0-10]]/AF30_ByRubLot34[[Total Charge]:[Total Charge]])</f>
        <v>0</v>
      </c>
      <c r="G46">
        <f>(AF30_ByRubLot[[#This Row],[11-20]]/AF30_ByRubLot34[[Total Charge]:[Total Charge]])</f>
        <v>0</v>
      </c>
      <c r="H46">
        <f>(AF30_ByRubLot[[#This Row],[21-30]]/AF30_ByRubLot34[[Total Charge]:[Total Charge]])</f>
        <v>0.1</v>
      </c>
      <c r="I46">
        <f>(AF30_ByRubLot[[#This Row],[31-40]]/AF30_ByRubLot34[[Total Charge]:[Total Charge]])</f>
        <v>0</v>
      </c>
      <c r="J46">
        <f>(AF30_ByRubLot[[#This Row],[41-50]]/AF30_ByRubLot34[[Total Charge]:[Total Charge]])</f>
        <v>0</v>
      </c>
      <c r="K46">
        <f>(AF30_ByRubLot[[#This Row],[51-60]]/AF30_ByRubLot34[[Total Charge]:[Total Charge]])</f>
        <v>0.2</v>
      </c>
      <c r="L46">
        <f>(AF30_ByRubLot[[#This Row],[61-70]]/AF30_ByRubLot34[[Total Charge]:[Total Charge]])</f>
        <v>0</v>
      </c>
      <c r="M46">
        <f>(AF30_ByRubLot[[#This Row],[71-80]]/AF30_ByRubLot34[[Total Charge]:[Total Charge]])</f>
        <v>0</v>
      </c>
      <c r="N46">
        <f>(AF30_ByRubLot[[#This Row],[81-90]]/AF30_ByRubLot34[[Total Charge]:[Total Charge]])</f>
        <v>0.1</v>
      </c>
      <c r="O46">
        <f>(AF30_ByRubLot[[#This Row],[91-100]]/AF30_ByRubLot34[[Total Charge]:[Total Charge]])</f>
        <v>0</v>
      </c>
      <c r="P46">
        <f>(AF30_ByRubLot[[#This Row],[101-110]]/AF30_ByRubLot34[[Total Charge]:[Total Charge]])</f>
        <v>0.3</v>
      </c>
      <c r="Q46">
        <f>(AF30_ByRubLot[[#This Row],[111-120]]/AF30_ByRubLot34[[Total Charge]:[Total Charge]])</f>
        <v>0</v>
      </c>
      <c r="R46">
        <f>(AF30_ByRubLot[[#This Row],[121-130]]/AF30_ByRubLot34[[Total Charge]:[Total Charge]])</f>
        <v>0.3</v>
      </c>
      <c r="S46">
        <f>(AF30_ByRubLot[[#This Row],[131-140]]/AF30_ByRubLot34[[Total Charge]:[Total Charge]])</f>
        <v>0</v>
      </c>
      <c r="T46">
        <v>0</v>
      </c>
      <c r="U46">
        <v>0</v>
      </c>
      <c r="V46" t="s">
        <v>6</v>
      </c>
      <c r="W46">
        <v>10</v>
      </c>
      <c r="X46" s="112"/>
      <c r="Y46" s="146">
        <v>930.55555555555554</v>
      </c>
      <c r="Z46">
        <v>560</v>
      </c>
      <c r="AA46">
        <f t="shared" si="1"/>
        <v>60.179104477611943</v>
      </c>
      <c r="AB46">
        <f>SUM(AF30_ByRubLot34[[#This Row],[0-10]:[131-140]])</f>
        <v>1</v>
      </c>
    </row>
    <row r="47" spans="1:28" x14ac:dyDescent="0.25">
      <c r="A47" t="s">
        <v>17</v>
      </c>
      <c r="B47" s="146" t="s">
        <v>197</v>
      </c>
      <c r="C47" s="148">
        <v>2010</v>
      </c>
      <c r="D47" s="151" t="str">
        <f>MID(AF30_ByRubLot34[[#This Row],[AF-30 Lot]],2,3)</f>
        <v>004</v>
      </c>
      <c r="E47" s="151" t="str">
        <f>CONCATENATE(RIGHT(AF30_ByRubLot34[[#This Row],[Year of Production]],2),AF30_ByRubLot34[[#This Row],[Julian Date Jumbo Production]])</f>
        <v>10004</v>
      </c>
      <c r="F47">
        <f>(AF30_ByRubLot[[#This Row],[0-10]]/AF30_ByRubLot34[[Total Charge]:[Total Charge]])</f>
        <v>0</v>
      </c>
      <c r="G47">
        <f>(AF30_ByRubLot[[#This Row],[11-20]]/AF30_ByRubLot34[[Total Charge]:[Total Charge]])</f>
        <v>0</v>
      </c>
      <c r="H47">
        <f>(AF30_ByRubLot[[#This Row],[21-30]]/AF30_ByRubLot34[[Total Charge]:[Total Charge]])</f>
        <v>0.1</v>
      </c>
      <c r="I47">
        <f>(AF30_ByRubLot[[#This Row],[31-40]]/AF30_ByRubLot34[[Total Charge]:[Total Charge]])</f>
        <v>0</v>
      </c>
      <c r="J47">
        <f>(AF30_ByRubLot[[#This Row],[41-50]]/AF30_ByRubLot34[[Total Charge]:[Total Charge]])</f>
        <v>0</v>
      </c>
      <c r="K47">
        <f>(AF30_ByRubLot[[#This Row],[51-60]]/AF30_ByRubLot34[[Total Charge]:[Total Charge]])</f>
        <v>0.2</v>
      </c>
      <c r="L47">
        <f>(AF30_ByRubLot[[#This Row],[61-70]]/AF30_ByRubLot34[[Total Charge]:[Total Charge]])</f>
        <v>0</v>
      </c>
      <c r="M47">
        <f>(AF30_ByRubLot[[#This Row],[71-80]]/AF30_ByRubLot34[[Total Charge]:[Total Charge]])</f>
        <v>0</v>
      </c>
      <c r="N47">
        <f>(AF30_ByRubLot[[#This Row],[81-90]]/AF30_ByRubLot34[[Total Charge]:[Total Charge]])</f>
        <v>0.1</v>
      </c>
      <c r="O47">
        <f>(AF30_ByRubLot[[#This Row],[91-100]]/AF30_ByRubLot34[[Total Charge]:[Total Charge]])</f>
        <v>0</v>
      </c>
      <c r="P47">
        <f>(AF30_ByRubLot[[#This Row],[101-110]]/AF30_ByRubLot34[[Total Charge]:[Total Charge]])</f>
        <v>0.3</v>
      </c>
      <c r="Q47">
        <f>(AF30_ByRubLot[[#This Row],[111-120]]/AF30_ByRubLot34[[Total Charge]:[Total Charge]])</f>
        <v>0</v>
      </c>
      <c r="R47">
        <f>(AF30_ByRubLot[[#This Row],[121-130]]/AF30_ByRubLot34[[Total Charge]:[Total Charge]])</f>
        <v>0.3</v>
      </c>
      <c r="S47">
        <f>(AF30_ByRubLot[[#This Row],[131-140]]/AF30_ByRubLot34[[Total Charge]:[Total Charge]])</f>
        <v>0</v>
      </c>
      <c r="T47">
        <v>0</v>
      </c>
      <c r="U47">
        <v>0</v>
      </c>
      <c r="V47" t="s">
        <v>6</v>
      </c>
      <c r="W47">
        <v>10</v>
      </c>
      <c r="X47" s="112"/>
      <c r="Y47" s="146">
        <v>1375</v>
      </c>
      <c r="Z47">
        <v>1027</v>
      </c>
      <c r="AA47">
        <f t="shared" si="1"/>
        <v>74.690909090909088</v>
      </c>
      <c r="AB47">
        <f>SUM(AF30_ByRubLot34[[#This Row],[0-10]:[131-140]])</f>
        <v>1</v>
      </c>
    </row>
    <row r="48" spans="1:28" x14ac:dyDescent="0.25">
      <c r="A48" t="s">
        <v>17</v>
      </c>
      <c r="B48" s="146" t="s">
        <v>196</v>
      </c>
      <c r="C48" s="148">
        <v>2010</v>
      </c>
      <c r="D48" s="151" t="str">
        <f>MID(AF30_ByRubLot34[[#This Row],[AF-30 Lot]],2,3)</f>
        <v>018</v>
      </c>
      <c r="E48" s="151" t="str">
        <f>CONCATENATE(RIGHT(AF30_ByRubLot34[[#This Row],[Year of Production]],2),AF30_ByRubLot34[[#This Row],[Julian Date Jumbo Production]])</f>
        <v>10018</v>
      </c>
      <c r="F48">
        <f>(AF30_ByRubLot[[#This Row],[0-10]]/AF30_ByRubLot34[[Total Charge]:[Total Charge]])</f>
        <v>0</v>
      </c>
      <c r="G48">
        <f>(AF30_ByRubLot[[#This Row],[11-20]]/AF30_ByRubLot34[[Total Charge]:[Total Charge]])</f>
        <v>0</v>
      </c>
      <c r="H48">
        <f>(AF30_ByRubLot[[#This Row],[21-30]]/AF30_ByRubLot34[[Total Charge]:[Total Charge]])</f>
        <v>0.1</v>
      </c>
      <c r="I48">
        <f>(AF30_ByRubLot[[#This Row],[31-40]]/AF30_ByRubLot34[[Total Charge]:[Total Charge]])</f>
        <v>0</v>
      </c>
      <c r="J48">
        <f>(AF30_ByRubLot[[#This Row],[41-50]]/AF30_ByRubLot34[[Total Charge]:[Total Charge]])</f>
        <v>0</v>
      </c>
      <c r="K48">
        <f>(AF30_ByRubLot[[#This Row],[51-60]]/AF30_ByRubLot34[[Total Charge]:[Total Charge]])</f>
        <v>0.2</v>
      </c>
      <c r="L48">
        <f>(AF30_ByRubLot[[#This Row],[61-70]]/AF30_ByRubLot34[[Total Charge]:[Total Charge]])</f>
        <v>0</v>
      </c>
      <c r="M48">
        <f>(AF30_ByRubLot[[#This Row],[71-80]]/AF30_ByRubLot34[[Total Charge]:[Total Charge]])</f>
        <v>0</v>
      </c>
      <c r="N48">
        <f>(AF30_ByRubLot[[#This Row],[81-90]]/AF30_ByRubLot34[[Total Charge]:[Total Charge]])</f>
        <v>0.1</v>
      </c>
      <c r="O48">
        <f>(AF30_ByRubLot[[#This Row],[91-100]]/AF30_ByRubLot34[[Total Charge]:[Total Charge]])</f>
        <v>0</v>
      </c>
      <c r="P48">
        <f>(AF30_ByRubLot[[#This Row],[101-110]]/AF30_ByRubLot34[[Total Charge]:[Total Charge]])</f>
        <v>0.3</v>
      </c>
      <c r="Q48">
        <f>(AF30_ByRubLot[[#This Row],[111-120]]/AF30_ByRubLot34[[Total Charge]:[Total Charge]])</f>
        <v>0</v>
      </c>
      <c r="R48">
        <f>(AF30_ByRubLot[[#This Row],[121-130]]/AF30_ByRubLot34[[Total Charge]:[Total Charge]])</f>
        <v>0.3</v>
      </c>
      <c r="S48">
        <f>(AF30_ByRubLot[[#This Row],[131-140]]/AF30_ByRubLot34[[Total Charge]:[Total Charge]])</f>
        <v>0</v>
      </c>
      <c r="T48">
        <v>0</v>
      </c>
      <c r="U48">
        <v>0</v>
      </c>
      <c r="V48" t="s">
        <v>6</v>
      </c>
      <c r="W48">
        <v>10</v>
      </c>
      <c r="X48" s="112"/>
      <c r="Y48" s="146">
        <v>605.55555555555554</v>
      </c>
      <c r="Z48">
        <v>440</v>
      </c>
      <c r="AA48">
        <f t="shared" si="1"/>
        <v>72.660550458715605</v>
      </c>
      <c r="AB48">
        <f>SUM(AF30_ByRubLot34[[#This Row],[0-10]:[131-140]])</f>
        <v>1</v>
      </c>
    </row>
    <row r="49" spans="1:28" x14ac:dyDescent="0.25">
      <c r="A49" t="s">
        <v>17</v>
      </c>
      <c r="B49" s="146" t="s">
        <v>195</v>
      </c>
      <c r="C49" s="148">
        <v>2010</v>
      </c>
      <c r="D49" s="151" t="str">
        <f>MID(AF30_ByRubLot34[[#This Row],[AF-30 Lot]],2,3)</f>
        <v>033</v>
      </c>
      <c r="E49" s="151" t="str">
        <f>CONCATENATE(RIGHT(AF30_ByRubLot34[[#This Row],[Year of Production]],2),AF30_ByRubLot34[[#This Row],[Julian Date Jumbo Production]])</f>
        <v>10033</v>
      </c>
      <c r="F49">
        <f>(AF30_ByRubLot[[#This Row],[0-10]]/AF30_ByRubLot34[[Total Charge]:[Total Charge]])</f>
        <v>0</v>
      </c>
      <c r="G49">
        <f>(AF30_ByRubLot[[#This Row],[11-20]]/AF30_ByRubLot34[[Total Charge]:[Total Charge]])</f>
        <v>0</v>
      </c>
      <c r="H49">
        <f>(AF30_ByRubLot[[#This Row],[21-30]]/AF30_ByRubLot34[[Total Charge]:[Total Charge]])</f>
        <v>0.1</v>
      </c>
      <c r="I49">
        <f>(AF30_ByRubLot[[#This Row],[31-40]]/AF30_ByRubLot34[[Total Charge]:[Total Charge]])</f>
        <v>0</v>
      </c>
      <c r="J49">
        <f>(AF30_ByRubLot[[#This Row],[41-50]]/AF30_ByRubLot34[[Total Charge]:[Total Charge]])</f>
        <v>0</v>
      </c>
      <c r="K49">
        <f>(AF30_ByRubLot[[#This Row],[51-60]]/AF30_ByRubLot34[[Total Charge]:[Total Charge]])</f>
        <v>0.2</v>
      </c>
      <c r="L49">
        <f>(AF30_ByRubLot[[#This Row],[61-70]]/AF30_ByRubLot34[[Total Charge]:[Total Charge]])</f>
        <v>0</v>
      </c>
      <c r="M49">
        <f>(AF30_ByRubLot[[#This Row],[71-80]]/AF30_ByRubLot34[[Total Charge]:[Total Charge]])</f>
        <v>0</v>
      </c>
      <c r="N49">
        <f>(AF30_ByRubLot[[#This Row],[81-90]]/AF30_ByRubLot34[[Total Charge]:[Total Charge]])</f>
        <v>0.1</v>
      </c>
      <c r="O49">
        <f>(AF30_ByRubLot[[#This Row],[91-100]]/AF30_ByRubLot34[[Total Charge]:[Total Charge]])</f>
        <v>0</v>
      </c>
      <c r="P49">
        <f>(AF30_ByRubLot[[#This Row],[101-110]]/AF30_ByRubLot34[[Total Charge]:[Total Charge]])</f>
        <v>0.3</v>
      </c>
      <c r="Q49">
        <f>(AF30_ByRubLot[[#This Row],[111-120]]/AF30_ByRubLot34[[Total Charge]:[Total Charge]])</f>
        <v>0</v>
      </c>
      <c r="R49">
        <f>(AF30_ByRubLot[[#This Row],[121-130]]/AF30_ByRubLot34[[Total Charge]:[Total Charge]])</f>
        <v>0.3</v>
      </c>
      <c r="S49">
        <f>(AF30_ByRubLot[[#This Row],[131-140]]/AF30_ByRubLot34[[Total Charge]:[Total Charge]])</f>
        <v>0</v>
      </c>
      <c r="T49">
        <v>0</v>
      </c>
      <c r="U49">
        <v>0</v>
      </c>
      <c r="V49" t="s">
        <v>6</v>
      </c>
      <c r="W49">
        <v>10</v>
      </c>
      <c r="X49" s="112"/>
      <c r="Y49" s="146">
        <v>494.44444444444446</v>
      </c>
      <c r="Z49">
        <v>400</v>
      </c>
      <c r="AA49">
        <f t="shared" si="1"/>
        <v>80.898876404494374</v>
      </c>
      <c r="AB49">
        <f>SUM(AF30_ByRubLot34[[#This Row],[0-10]:[131-140]])</f>
        <v>1</v>
      </c>
    </row>
    <row r="50" spans="1:28" x14ac:dyDescent="0.25">
      <c r="A50" t="s">
        <v>17</v>
      </c>
      <c r="B50" s="146" t="s">
        <v>194</v>
      </c>
      <c r="C50" s="148">
        <v>2010</v>
      </c>
      <c r="D50" s="151" t="str">
        <f>MID(AF30_ByRubLot34[[#This Row],[AF-30 Lot]],2,3)</f>
        <v>060</v>
      </c>
      <c r="E50" s="151" t="str">
        <f>CONCATENATE(RIGHT(AF30_ByRubLot34[[#This Row],[Year of Production]],2),AF30_ByRubLot34[[#This Row],[Julian Date Jumbo Production]])</f>
        <v>10060</v>
      </c>
      <c r="F50">
        <f>(AF30_ByRubLot[[#This Row],[0-10]]/AF30_ByRubLot34[[Total Charge]:[Total Charge]])</f>
        <v>0</v>
      </c>
      <c r="G50">
        <f>(AF30_ByRubLot[[#This Row],[11-20]]/AF30_ByRubLot34[[Total Charge]:[Total Charge]])</f>
        <v>0</v>
      </c>
      <c r="H50">
        <f>(AF30_ByRubLot[[#This Row],[21-30]]/AF30_ByRubLot34[[Total Charge]:[Total Charge]])</f>
        <v>0.1</v>
      </c>
      <c r="I50">
        <f>(AF30_ByRubLot[[#This Row],[31-40]]/AF30_ByRubLot34[[Total Charge]:[Total Charge]])</f>
        <v>0</v>
      </c>
      <c r="J50">
        <f>(AF30_ByRubLot[[#This Row],[41-50]]/AF30_ByRubLot34[[Total Charge]:[Total Charge]])</f>
        <v>0</v>
      </c>
      <c r="K50">
        <f>(AF30_ByRubLot[[#This Row],[51-60]]/AF30_ByRubLot34[[Total Charge]:[Total Charge]])</f>
        <v>0.2</v>
      </c>
      <c r="L50">
        <f>(AF30_ByRubLot[[#This Row],[61-70]]/AF30_ByRubLot34[[Total Charge]:[Total Charge]])</f>
        <v>0</v>
      </c>
      <c r="M50">
        <f>(AF30_ByRubLot[[#This Row],[71-80]]/AF30_ByRubLot34[[Total Charge]:[Total Charge]])</f>
        <v>0</v>
      </c>
      <c r="N50">
        <f>(AF30_ByRubLot[[#This Row],[81-90]]/AF30_ByRubLot34[[Total Charge]:[Total Charge]])</f>
        <v>0.1</v>
      </c>
      <c r="O50">
        <f>(AF30_ByRubLot[[#This Row],[91-100]]/AF30_ByRubLot34[[Total Charge]:[Total Charge]])</f>
        <v>0</v>
      </c>
      <c r="P50">
        <f>(AF30_ByRubLot[[#This Row],[101-110]]/AF30_ByRubLot34[[Total Charge]:[Total Charge]])</f>
        <v>0.3</v>
      </c>
      <c r="Q50">
        <f>(AF30_ByRubLot[[#This Row],[111-120]]/AF30_ByRubLot34[[Total Charge]:[Total Charge]])</f>
        <v>0</v>
      </c>
      <c r="R50">
        <f>(AF30_ByRubLot[[#This Row],[121-130]]/AF30_ByRubLot34[[Total Charge]:[Total Charge]])</f>
        <v>0.3</v>
      </c>
      <c r="S50">
        <f>(AF30_ByRubLot[[#This Row],[131-140]]/AF30_ByRubLot34[[Total Charge]:[Total Charge]])</f>
        <v>0</v>
      </c>
      <c r="T50">
        <v>0</v>
      </c>
      <c r="U50">
        <v>0</v>
      </c>
      <c r="V50" t="s">
        <v>6</v>
      </c>
      <c r="W50">
        <v>10</v>
      </c>
      <c r="X50" s="112"/>
      <c r="Y50" s="146">
        <v>730.55555555555554</v>
      </c>
      <c r="Z50">
        <v>0</v>
      </c>
      <c r="AA50">
        <f t="shared" si="1"/>
        <v>0</v>
      </c>
      <c r="AB50">
        <f>SUM(AF30_ByRubLot34[[#This Row],[0-10]:[131-140]])</f>
        <v>1</v>
      </c>
    </row>
    <row r="51" spans="1:28" x14ac:dyDescent="0.25">
      <c r="A51" t="s">
        <v>17</v>
      </c>
      <c r="B51" s="146" t="s">
        <v>193</v>
      </c>
      <c r="C51" s="148">
        <v>2010</v>
      </c>
      <c r="D51" s="151" t="str">
        <f>MID(AF30_ByRubLot34[[#This Row],[AF-30 Lot]],2,3)</f>
        <v>070</v>
      </c>
      <c r="E51" s="151" t="str">
        <f>CONCATENATE(RIGHT(AF30_ByRubLot34[[#This Row],[Year of Production]],2),AF30_ByRubLot34[[#This Row],[Julian Date Jumbo Production]])</f>
        <v>10070</v>
      </c>
      <c r="F51">
        <f>(AF30_ByRubLot[[#This Row],[0-10]]/AF30_ByRubLot34[[Total Charge]:[Total Charge]])</f>
        <v>0</v>
      </c>
      <c r="G51">
        <f>(AF30_ByRubLot[[#This Row],[11-20]]/AF30_ByRubLot34[[Total Charge]:[Total Charge]])</f>
        <v>0</v>
      </c>
      <c r="H51">
        <f>(AF30_ByRubLot[[#This Row],[21-30]]/AF30_ByRubLot34[[Total Charge]:[Total Charge]])</f>
        <v>0.1</v>
      </c>
      <c r="I51">
        <f>(AF30_ByRubLot[[#This Row],[31-40]]/AF30_ByRubLot34[[Total Charge]:[Total Charge]])</f>
        <v>0</v>
      </c>
      <c r="J51">
        <f>(AF30_ByRubLot[[#This Row],[41-50]]/AF30_ByRubLot34[[Total Charge]:[Total Charge]])</f>
        <v>0</v>
      </c>
      <c r="K51">
        <f>(AF30_ByRubLot[[#This Row],[51-60]]/AF30_ByRubLot34[[Total Charge]:[Total Charge]])</f>
        <v>0.2</v>
      </c>
      <c r="L51">
        <f>(AF30_ByRubLot[[#This Row],[61-70]]/AF30_ByRubLot34[[Total Charge]:[Total Charge]])</f>
        <v>0</v>
      </c>
      <c r="M51">
        <f>(AF30_ByRubLot[[#This Row],[71-80]]/AF30_ByRubLot34[[Total Charge]:[Total Charge]])</f>
        <v>0</v>
      </c>
      <c r="N51">
        <f>(AF30_ByRubLot[[#This Row],[81-90]]/AF30_ByRubLot34[[Total Charge]:[Total Charge]])</f>
        <v>0.1</v>
      </c>
      <c r="O51">
        <f>(AF30_ByRubLot[[#This Row],[91-100]]/AF30_ByRubLot34[[Total Charge]:[Total Charge]])</f>
        <v>0</v>
      </c>
      <c r="P51">
        <f>(AF30_ByRubLot[[#This Row],[101-110]]/AF30_ByRubLot34[[Total Charge]:[Total Charge]])</f>
        <v>0.3</v>
      </c>
      <c r="Q51">
        <f>(AF30_ByRubLot[[#This Row],[111-120]]/AF30_ByRubLot34[[Total Charge]:[Total Charge]])</f>
        <v>0</v>
      </c>
      <c r="R51">
        <f>(AF30_ByRubLot[[#This Row],[121-130]]/AF30_ByRubLot34[[Total Charge]:[Total Charge]])</f>
        <v>0.3</v>
      </c>
      <c r="S51">
        <f>(AF30_ByRubLot[[#This Row],[131-140]]/AF30_ByRubLot34[[Total Charge]:[Total Charge]])</f>
        <v>0</v>
      </c>
      <c r="T51">
        <v>0</v>
      </c>
      <c r="U51">
        <v>0</v>
      </c>
      <c r="V51" t="s">
        <v>6</v>
      </c>
      <c r="W51">
        <v>10</v>
      </c>
      <c r="X51" s="112"/>
      <c r="Y51" s="146">
        <v>1730.5555555555557</v>
      </c>
      <c r="Z51">
        <v>1320</v>
      </c>
      <c r="AA51">
        <f t="shared" si="1"/>
        <v>76.276083467094708</v>
      </c>
      <c r="AB51">
        <f>SUM(AF30_ByRubLot34[[#This Row],[0-10]:[131-140]])</f>
        <v>1</v>
      </c>
    </row>
    <row r="52" spans="1:28" x14ac:dyDescent="0.25">
      <c r="A52" t="s">
        <v>17</v>
      </c>
      <c r="B52" s="146" t="s">
        <v>192</v>
      </c>
      <c r="C52" s="148">
        <v>2010</v>
      </c>
      <c r="D52" s="151" t="str">
        <f>MID(AF30_ByRubLot34[[#This Row],[AF-30 Lot]],2,3)</f>
        <v>109</v>
      </c>
      <c r="E52" s="151" t="str">
        <f>CONCATENATE(RIGHT(AF30_ByRubLot34[[#This Row],[Year of Production]],2),AF30_ByRubLot34[[#This Row],[Julian Date Jumbo Production]])</f>
        <v>10109</v>
      </c>
      <c r="F52">
        <f>(AF30_ByRubLot[[#This Row],[0-10]]/AF30_ByRubLot34[[Total Charge]:[Total Charge]])</f>
        <v>0</v>
      </c>
      <c r="G52">
        <f>(AF30_ByRubLot[[#This Row],[11-20]]/AF30_ByRubLot34[[Total Charge]:[Total Charge]])</f>
        <v>0</v>
      </c>
      <c r="H52">
        <f>(AF30_ByRubLot[[#This Row],[21-30]]/AF30_ByRubLot34[[Total Charge]:[Total Charge]])</f>
        <v>0.1</v>
      </c>
      <c r="I52">
        <f>(AF30_ByRubLot[[#This Row],[31-40]]/AF30_ByRubLot34[[Total Charge]:[Total Charge]])</f>
        <v>0</v>
      </c>
      <c r="J52">
        <f>(AF30_ByRubLot[[#This Row],[41-50]]/AF30_ByRubLot34[[Total Charge]:[Total Charge]])</f>
        <v>0</v>
      </c>
      <c r="K52">
        <f>(AF30_ByRubLot[[#This Row],[51-60]]/AF30_ByRubLot34[[Total Charge]:[Total Charge]])</f>
        <v>0.2</v>
      </c>
      <c r="L52">
        <f>(AF30_ByRubLot[[#This Row],[61-70]]/AF30_ByRubLot34[[Total Charge]:[Total Charge]])</f>
        <v>0</v>
      </c>
      <c r="M52">
        <f>(AF30_ByRubLot[[#This Row],[71-80]]/AF30_ByRubLot34[[Total Charge]:[Total Charge]])</f>
        <v>0</v>
      </c>
      <c r="N52">
        <f>(AF30_ByRubLot[[#This Row],[81-90]]/AF30_ByRubLot34[[Total Charge]:[Total Charge]])</f>
        <v>0.1</v>
      </c>
      <c r="O52">
        <f>(AF30_ByRubLot[[#This Row],[91-100]]/AF30_ByRubLot34[[Total Charge]:[Total Charge]])</f>
        <v>0</v>
      </c>
      <c r="P52">
        <f>(AF30_ByRubLot[[#This Row],[101-110]]/AF30_ByRubLot34[[Total Charge]:[Total Charge]])</f>
        <v>0.3</v>
      </c>
      <c r="Q52">
        <f>(AF30_ByRubLot[[#This Row],[111-120]]/AF30_ByRubLot34[[Total Charge]:[Total Charge]])</f>
        <v>0</v>
      </c>
      <c r="R52">
        <f>(AF30_ByRubLot[[#This Row],[121-130]]/AF30_ByRubLot34[[Total Charge]:[Total Charge]])</f>
        <v>0.3</v>
      </c>
      <c r="S52">
        <f>(AF30_ByRubLot[[#This Row],[131-140]]/AF30_ByRubLot34[[Total Charge]:[Total Charge]])</f>
        <v>0</v>
      </c>
      <c r="T52">
        <v>0</v>
      </c>
      <c r="U52">
        <v>0</v>
      </c>
      <c r="V52" t="s">
        <v>6</v>
      </c>
      <c r="W52">
        <v>10</v>
      </c>
      <c r="X52" s="112"/>
      <c r="Y52" s="146">
        <v>1105.5555555555557</v>
      </c>
      <c r="Z52">
        <v>712</v>
      </c>
      <c r="AA52">
        <f t="shared" si="1"/>
        <v>64.402010050251249</v>
      </c>
      <c r="AB52">
        <f>SUM(AF30_ByRubLot34[[#This Row],[0-10]:[131-140]])</f>
        <v>1</v>
      </c>
    </row>
    <row r="53" spans="1:28" x14ac:dyDescent="0.25">
      <c r="A53" t="s">
        <v>17</v>
      </c>
      <c r="B53" s="146" t="s">
        <v>191</v>
      </c>
      <c r="C53" s="148">
        <v>2010</v>
      </c>
      <c r="D53" s="151" t="str">
        <f>MID(AF30_ByRubLot34[[#This Row],[AF-30 Lot]],2,3)</f>
        <v>124</v>
      </c>
      <c r="E53" s="151" t="str">
        <f>CONCATENATE(RIGHT(AF30_ByRubLot34[[#This Row],[Year of Production]],2),AF30_ByRubLot34[[#This Row],[Julian Date Jumbo Production]])</f>
        <v>10124</v>
      </c>
      <c r="F53">
        <f>(AF30_ByRubLot[[#This Row],[0-10]]/AF30_ByRubLot34[[Total Charge]:[Total Charge]])</f>
        <v>0</v>
      </c>
      <c r="G53">
        <f>(AF30_ByRubLot[[#This Row],[11-20]]/AF30_ByRubLot34[[Total Charge]:[Total Charge]])</f>
        <v>0</v>
      </c>
      <c r="H53">
        <f>(AF30_ByRubLot[[#This Row],[21-30]]/AF30_ByRubLot34[[Total Charge]:[Total Charge]])</f>
        <v>0.1</v>
      </c>
      <c r="I53">
        <f>(AF30_ByRubLot[[#This Row],[31-40]]/AF30_ByRubLot34[[Total Charge]:[Total Charge]])</f>
        <v>0</v>
      </c>
      <c r="J53">
        <f>(AF30_ByRubLot[[#This Row],[41-50]]/AF30_ByRubLot34[[Total Charge]:[Total Charge]])</f>
        <v>0</v>
      </c>
      <c r="K53">
        <f>(AF30_ByRubLot[[#This Row],[51-60]]/AF30_ByRubLot34[[Total Charge]:[Total Charge]])</f>
        <v>0.2</v>
      </c>
      <c r="L53">
        <f>(AF30_ByRubLot[[#This Row],[61-70]]/AF30_ByRubLot34[[Total Charge]:[Total Charge]])</f>
        <v>0</v>
      </c>
      <c r="M53">
        <f>(AF30_ByRubLot[[#This Row],[71-80]]/AF30_ByRubLot34[[Total Charge]:[Total Charge]])</f>
        <v>0</v>
      </c>
      <c r="N53">
        <f>(AF30_ByRubLot[[#This Row],[81-90]]/AF30_ByRubLot34[[Total Charge]:[Total Charge]])</f>
        <v>0.1</v>
      </c>
      <c r="O53">
        <f>(AF30_ByRubLot[[#This Row],[91-100]]/AF30_ByRubLot34[[Total Charge]:[Total Charge]])</f>
        <v>0</v>
      </c>
      <c r="P53">
        <f>(AF30_ByRubLot[[#This Row],[101-110]]/AF30_ByRubLot34[[Total Charge]:[Total Charge]])</f>
        <v>0.3</v>
      </c>
      <c r="Q53">
        <f>(AF30_ByRubLot[[#This Row],[111-120]]/AF30_ByRubLot34[[Total Charge]:[Total Charge]])</f>
        <v>0</v>
      </c>
      <c r="R53">
        <f>(AF30_ByRubLot[[#This Row],[121-130]]/AF30_ByRubLot34[[Total Charge]:[Total Charge]])</f>
        <v>0.3</v>
      </c>
      <c r="S53">
        <f>(AF30_ByRubLot[[#This Row],[131-140]]/AF30_ByRubLot34[[Total Charge]:[Total Charge]])</f>
        <v>0</v>
      </c>
      <c r="T53">
        <v>0</v>
      </c>
      <c r="U53">
        <v>0</v>
      </c>
      <c r="V53" t="s">
        <v>6</v>
      </c>
      <c r="W53">
        <v>10</v>
      </c>
      <c r="X53" s="112"/>
      <c r="Y53" s="146">
        <v>1172.2222222222224</v>
      </c>
      <c r="Z53">
        <v>680</v>
      </c>
      <c r="AA53">
        <f t="shared" si="1"/>
        <v>58.009478672985772</v>
      </c>
      <c r="AB53">
        <f>SUM(AF30_ByRubLot34[[#This Row],[0-10]:[131-140]])</f>
        <v>1</v>
      </c>
    </row>
    <row r="54" spans="1:28" x14ac:dyDescent="0.25">
      <c r="A54" t="s">
        <v>17</v>
      </c>
      <c r="B54" s="146" t="s">
        <v>190</v>
      </c>
      <c r="C54" s="148">
        <v>2010</v>
      </c>
      <c r="D54" s="151" t="str">
        <f>MID(AF30_ByRubLot34[[#This Row],[AF-30 Lot]],2,3)</f>
        <v>161</v>
      </c>
      <c r="E54" s="151" t="str">
        <f>CONCATENATE(RIGHT(AF30_ByRubLot34[[#This Row],[Year of Production]],2),AF30_ByRubLot34[[#This Row],[Julian Date Jumbo Production]])</f>
        <v>10161</v>
      </c>
      <c r="F54">
        <f>(AF30_ByRubLot[[#This Row],[0-10]]/AF30_ByRubLot34[[Total Charge]:[Total Charge]])</f>
        <v>0</v>
      </c>
      <c r="G54">
        <f>(AF30_ByRubLot[[#This Row],[11-20]]/AF30_ByRubLot34[[Total Charge]:[Total Charge]])</f>
        <v>0</v>
      </c>
      <c r="H54">
        <f>(AF30_ByRubLot[[#This Row],[21-30]]/AF30_ByRubLot34[[Total Charge]:[Total Charge]])</f>
        <v>0.1</v>
      </c>
      <c r="I54">
        <f>(AF30_ByRubLot[[#This Row],[31-40]]/AF30_ByRubLot34[[Total Charge]:[Total Charge]])</f>
        <v>0</v>
      </c>
      <c r="J54">
        <f>(AF30_ByRubLot[[#This Row],[41-50]]/AF30_ByRubLot34[[Total Charge]:[Total Charge]])</f>
        <v>0</v>
      </c>
      <c r="K54">
        <f>(AF30_ByRubLot[[#This Row],[51-60]]/AF30_ByRubLot34[[Total Charge]:[Total Charge]])</f>
        <v>0.2</v>
      </c>
      <c r="L54">
        <f>(AF30_ByRubLot[[#This Row],[61-70]]/AF30_ByRubLot34[[Total Charge]:[Total Charge]])</f>
        <v>0</v>
      </c>
      <c r="M54">
        <f>(AF30_ByRubLot[[#This Row],[71-80]]/AF30_ByRubLot34[[Total Charge]:[Total Charge]])</f>
        <v>0</v>
      </c>
      <c r="N54">
        <f>(AF30_ByRubLot[[#This Row],[81-90]]/AF30_ByRubLot34[[Total Charge]:[Total Charge]])</f>
        <v>0.1</v>
      </c>
      <c r="O54">
        <f>(AF30_ByRubLot[[#This Row],[91-100]]/AF30_ByRubLot34[[Total Charge]:[Total Charge]])</f>
        <v>0</v>
      </c>
      <c r="P54">
        <f>(AF30_ByRubLot[[#This Row],[101-110]]/AF30_ByRubLot34[[Total Charge]:[Total Charge]])</f>
        <v>0.3</v>
      </c>
      <c r="Q54">
        <f>(AF30_ByRubLot[[#This Row],[111-120]]/AF30_ByRubLot34[[Total Charge]:[Total Charge]])</f>
        <v>0</v>
      </c>
      <c r="R54">
        <f>(AF30_ByRubLot[[#This Row],[121-130]]/AF30_ByRubLot34[[Total Charge]:[Total Charge]])</f>
        <v>0.3</v>
      </c>
      <c r="S54">
        <f>(AF30_ByRubLot[[#This Row],[131-140]]/AF30_ByRubLot34[[Total Charge]:[Total Charge]])</f>
        <v>0</v>
      </c>
      <c r="T54">
        <v>0</v>
      </c>
      <c r="U54">
        <v>0</v>
      </c>
      <c r="V54" t="s">
        <v>6</v>
      </c>
      <c r="W54">
        <v>10</v>
      </c>
      <c r="X54" s="112"/>
      <c r="Y54" s="146">
        <v>1731.6666666666665</v>
      </c>
      <c r="Z54">
        <v>1272</v>
      </c>
      <c r="AA54">
        <f t="shared" si="1"/>
        <v>73.45524542829645</v>
      </c>
      <c r="AB54">
        <f>SUM(AF30_ByRubLot34[[#This Row],[0-10]:[131-140]])</f>
        <v>1</v>
      </c>
    </row>
    <row r="55" spans="1:28" x14ac:dyDescent="0.25">
      <c r="A55" t="s">
        <v>17</v>
      </c>
      <c r="B55" s="146" t="s">
        <v>189</v>
      </c>
      <c r="C55" s="148">
        <v>2010</v>
      </c>
      <c r="D55" s="151" t="str">
        <f>MID(AF30_ByRubLot34[[#This Row],[AF-30 Lot]],2,3)</f>
        <v>182</v>
      </c>
      <c r="E55" s="151" t="str">
        <f>CONCATENATE(RIGHT(AF30_ByRubLot34[[#This Row],[Year of Production]],2),AF30_ByRubLot34[[#This Row],[Julian Date Jumbo Production]])</f>
        <v>10182</v>
      </c>
      <c r="F55">
        <f>(AF30_ByRubLot[[#This Row],[0-10]]/AF30_ByRubLot34[[Total Charge]:[Total Charge]])</f>
        <v>0</v>
      </c>
      <c r="G55">
        <f>(AF30_ByRubLot[[#This Row],[11-20]]/AF30_ByRubLot34[[Total Charge]:[Total Charge]])</f>
        <v>0</v>
      </c>
      <c r="H55">
        <f>(AF30_ByRubLot[[#This Row],[21-30]]/AF30_ByRubLot34[[Total Charge]:[Total Charge]])</f>
        <v>0.1</v>
      </c>
      <c r="I55">
        <f>(AF30_ByRubLot[[#This Row],[31-40]]/AF30_ByRubLot34[[Total Charge]:[Total Charge]])</f>
        <v>0</v>
      </c>
      <c r="J55">
        <f>(AF30_ByRubLot[[#This Row],[41-50]]/AF30_ByRubLot34[[Total Charge]:[Total Charge]])</f>
        <v>0</v>
      </c>
      <c r="K55">
        <f>(AF30_ByRubLot[[#This Row],[51-60]]/AF30_ByRubLot34[[Total Charge]:[Total Charge]])</f>
        <v>0.2</v>
      </c>
      <c r="L55">
        <f>(AF30_ByRubLot[[#This Row],[61-70]]/AF30_ByRubLot34[[Total Charge]:[Total Charge]])</f>
        <v>0</v>
      </c>
      <c r="M55">
        <f>(AF30_ByRubLot[[#This Row],[71-80]]/AF30_ByRubLot34[[Total Charge]:[Total Charge]])</f>
        <v>0</v>
      </c>
      <c r="N55">
        <f>(AF30_ByRubLot[[#This Row],[81-90]]/AF30_ByRubLot34[[Total Charge]:[Total Charge]])</f>
        <v>0.1</v>
      </c>
      <c r="O55">
        <f>(AF30_ByRubLot[[#This Row],[91-100]]/AF30_ByRubLot34[[Total Charge]:[Total Charge]])</f>
        <v>0</v>
      </c>
      <c r="P55">
        <f>(AF30_ByRubLot[[#This Row],[101-110]]/AF30_ByRubLot34[[Total Charge]:[Total Charge]])</f>
        <v>0.3</v>
      </c>
      <c r="Q55">
        <f>(AF30_ByRubLot[[#This Row],[111-120]]/AF30_ByRubLot34[[Total Charge]:[Total Charge]])</f>
        <v>0</v>
      </c>
      <c r="R55">
        <f>(AF30_ByRubLot[[#This Row],[121-130]]/AF30_ByRubLot34[[Total Charge]:[Total Charge]])</f>
        <v>0.3</v>
      </c>
      <c r="S55">
        <f>(AF30_ByRubLot[[#This Row],[131-140]]/AF30_ByRubLot34[[Total Charge]:[Total Charge]])</f>
        <v>0</v>
      </c>
      <c r="T55">
        <v>0</v>
      </c>
      <c r="U55">
        <v>0</v>
      </c>
      <c r="V55" t="s">
        <v>6</v>
      </c>
      <c r="W55">
        <v>10</v>
      </c>
      <c r="X55" s="112"/>
      <c r="Y55" s="146">
        <v>983.33333333333326</v>
      </c>
      <c r="Z55">
        <v>643.33331999999996</v>
      </c>
      <c r="AA55">
        <f t="shared" si="1"/>
        <v>65.423727457627123</v>
      </c>
      <c r="AB55">
        <f>SUM(AF30_ByRubLot34[[#This Row],[0-10]:[131-140]])</f>
        <v>1</v>
      </c>
    </row>
    <row r="56" spans="1:28" x14ac:dyDescent="0.25">
      <c r="A56" t="s">
        <v>17</v>
      </c>
      <c r="B56" s="146" t="s">
        <v>188</v>
      </c>
      <c r="C56" s="148">
        <v>2010</v>
      </c>
      <c r="D56" s="151" t="str">
        <f>MID(AF30_ByRubLot34[[#This Row],[AF-30 Lot]],2,3)</f>
        <v>217</v>
      </c>
      <c r="E56" s="151" t="str">
        <f>CONCATENATE(RIGHT(AF30_ByRubLot34[[#This Row],[Year of Production]],2),AF30_ByRubLot34[[#This Row],[Julian Date Jumbo Production]])</f>
        <v>10217</v>
      </c>
      <c r="F56">
        <f>(AF30_ByRubLot[[#This Row],[0-10]]/AF30_ByRubLot34[[Total Charge]:[Total Charge]])</f>
        <v>0</v>
      </c>
      <c r="G56">
        <f>(AF30_ByRubLot[[#This Row],[11-20]]/AF30_ByRubLot34[[Total Charge]:[Total Charge]])</f>
        <v>0</v>
      </c>
      <c r="H56">
        <f>(AF30_ByRubLot[[#This Row],[21-30]]/AF30_ByRubLot34[[Total Charge]:[Total Charge]])</f>
        <v>0.1</v>
      </c>
      <c r="I56">
        <f>(AF30_ByRubLot[[#This Row],[31-40]]/AF30_ByRubLot34[[Total Charge]:[Total Charge]])</f>
        <v>0</v>
      </c>
      <c r="J56">
        <f>(AF30_ByRubLot[[#This Row],[41-50]]/AF30_ByRubLot34[[Total Charge]:[Total Charge]])</f>
        <v>0</v>
      </c>
      <c r="K56">
        <f>(AF30_ByRubLot[[#This Row],[51-60]]/AF30_ByRubLot34[[Total Charge]:[Total Charge]])</f>
        <v>0.2</v>
      </c>
      <c r="L56">
        <f>(AF30_ByRubLot[[#This Row],[61-70]]/AF30_ByRubLot34[[Total Charge]:[Total Charge]])</f>
        <v>0</v>
      </c>
      <c r="M56">
        <f>(AF30_ByRubLot[[#This Row],[71-80]]/AF30_ByRubLot34[[Total Charge]:[Total Charge]])</f>
        <v>0</v>
      </c>
      <c r="N56">
        <f>(AF30_ByRubLot[[#This Row],[81-90]]/AF30_ByRubLot34[[Total Charge]:[Total Charge]])</f>
        <v>0.1</v>
      </c>
      <c r="O56">
        <f>(AF30_ByRubLot[[#This Row],[91-100]]/AF30_ByRubLot34[[Total Charge]:[Total Charge]])</f>
        <v>0</v>
      </c>
      <c r="P56">
        <f>(AF30_ByRubLot[[#This Row],[101-110]]/AF30_ByRubLot34[[Total Charge]:[Total Charge]])</f>
        <v>0.3</v>
      </c>
      <c r="Q56">
        <f>(AF30_ByRubLot[[#This Row],[111-120]]/AF30_ByRubLot34[[Total Charge]:[Total Charge]])</f>
        <v>0</v>
      </c>
      <c r="R56">
        <f>(AF30_ByRubLot[[#This Row],[121-130]]/AF30_ByRubLot34[[Total Charge]:[Total Charge]])</f>
        <v>0.3</v>
      </c>
      <c r="S56">
        <f>(AF30_ByRubLot[[#This Row],[131-140]]/AF30_ByRubLot34[[Total Charge]:[Total Charge]])</f>
        <v>0</v>
      </c>
      <c r="T56">
        <v>0</v>
      </c>
      <c r="U56">
        <v>0</v>
      </c>
      <c r="V56" t="s">
        <v>6</v>
      </c>
      <c r="W56">
        <v>10</v>
      </c>
      <c r="X56" s="112"/>
      <c r="Y56" s="146">
        <v>1016.6666666666667</v>
      </c>
      <c r="Z56">
        <v>675.33331999999996</v>
      </c>
      <c r="AA56">
        <f t="shared" si="1"/>
        <v>66.426228196721297</v>
      </c>
      <c r="AB56">
        <f>SUM(AF30_ByRubLot34[[#This Row],[0-10]:[131-140]])</f>
        <v>1</v>
      </c>
    </row>
    <row r="57" spans="1:28" x14ac:dyDescent="0.25">
      <c r="A57" t="s">
        <v>17</v>
      </c>
      <c r="B57" s="146" t="s">
        <v>187</v>
      </c>
      <c r="C57" s="148">
        <v>2010</v>
      </c>
      <c r="D57" s="151" t="str">
        <f>MID(AF30_ByRubLot34[[#This Row],[AF-30 Lot]],2,3)</f>
        <v>228</v>
      </c>
      <c r="E57" s="151" t="str">
        <f>CONCATENATE(RIGHT(AF30_ByRubLot34[[#This Row],[Year of Production]],2),AF30_ByRubLot34[[#This Row],[Julian Date Jumbo Production]])</f>
        <v>10228</v>
      </c>
      <c r="F57">
        <f>(AF30_ByRubLot[[#This Row],[0-10]]/AF30_ByRubLot34[[Total Charge]:[Total Charge]])</f>
        <v>0</v>
      </c>
      <c r="G57">
        <f>(AF30_ByRubLot[[#This Row],[11-20]]/AF30_ByRubLot34[[Total Charge]:[Total Charge]])</f>
        <v>0</v>
      </c>
      <c r="H57">
        <f>(AF30_ByRubLot[[#This Row],[21-30]]/AF30_ByRubLot34[[Total Charge]:[Total Charge]])</f>
        <v>0.1</v>
      </c>
      <c r="I57">
        <f>(AF30_ByRubLot[[#This Row],[31-40]]/AF30_ByRubLot34[[Total Charge]:[Total Charge]])</f>
        <v>0</v>
      </c>
      <c r="J57">
        <f>(AF30_ByRubLot[[#This Row],[41-50]]/AF30_ByRubLot34[[Total Charge]:[Total Charge]])</f>
        <v>0</v>
      </c>
      <c r="K57">
        <f>(AF30_ByRubLot[[#This Row],[51-60]]/AF30_ByRubLot34[[Total Charge]:[Total Charge]])</f>
        <v>0.2</v>
      </c>
      <c r="L57">
        <f>(AF30_ByRubLot[[#This Row],[61-70]]/AF30_ByRubLot34[[Total Charge]:[Total Charge]])</f>
        <v>0</v>
      </c>
      <c r="M57">
        <f>(AF30_ByRubLot[[#This Row],[71-80]]/AF30_ByRubLot34[[Total Charge]:[Total Charge]])</f>
        <v>0</v>
      </c>
      <c r="N57">
        <f>(AF30_ByRubLot[[#This Row],[81-90]]/AF30_ByRubLot34[[Total Charge]:[Total Charge]])</f>
        <v>0.1</v>
      </c>
      <c r="O57">
        <f>(AF30_ByRubLot[[#This Row],[91-100]]/AF30_ByRubLot34[[Total Charge]:[Total Charge]])</f>
        <v>0</v>
      </c>
      <c r="P57">
        <f>(AF30_ByRubLot[[#This Row],[101-110]]/AF30_ByRubLot34[[Total Charge]:[Total Charge]])</f>
        <v>0.3</v>
      </c>
      <c r="Q57">
        <f>(AF30_ByRubLot[[#This Row],[111-120]]/AF30_ByRubLot34[[Total Charge]:[Total Charge]])</f>
        <v>0</v>
      </c>
      <c r="R57">
        <f>(AF30_ByRubLot[[#This Row],[121-130]]/AF30_ByRubLot34[[Total Charge]:[Total Charge]])</f>
        <v>0.3</v>
      </c>
      <c r="S57">
        <f>(AF30_ByRubLot[[#This Row],[131-140]]/AF30_ByRubLot34[[Total Charge]:[Total Charge]])</f>
        <v>0</v>
      </c>
      <c r="T57">
        <v>0</v>
      </c>
      <c r="U57">
        <v>0</v>
      </c>
      <c r="V57" t="s">
        <v>6</v>
      </c>
      <c r="W57">
        <v>10</v>
      </c>
      <c r="X57" s="112"/>
      <c r="Y57" s="146">
        <v>894.44444444444434</v>
      </c>
      <c r="Z57">
        <v>480</v>
      </c>
      <c r="AA57">
        <f t="shared" si="1"/>
        <v>53.664596273291934</v>
      </c>
      <c r="AB57">
        <f>SUM(AF30_ByRubLot34[[#This Row],[0-10]:[131-140]])</f>
        <v>1</v>
      </c>
    </row>
    <row r="58" spans="1:28" x14ac:dyDescent="0.25">
      <c r="A58" t="s">
        <v>17</v>
      </c>
      <c r="B58" s="146" t="s">
        <v>186</v>
      </c>
      <c r="C58" s="148">
        <v>2010</v>
      </c>
      <c r="D58" s="151" t="str">
        <f>MID(AF30_ByRubLot34[[#This Row],[AF-30 Lot]],2,3)</f>
        <v>257</v>
      </c>
      <c r="E58" s="151" t="str">
        <f>CONCATENATE(RIGHT(AF30_ByRubLot34[[#This Row],[Year of Production]],2),AF30_ByRubLot34[[#This Row],[Julian Date Jumbo Production]])</f>
        <v>10257</v>
      </c>
      <c r="F58">
        <f>(AF30_ByRubLot[[#This Row],[0-10]]/AF30_ByRubLot34[[Total Charge]:[Total Charge]])</f>
        <v>0</v>
      </c>
      <c r="G58">
        <f>(AF30_ByRubLot[[#This Row],[11-20]]/AF30_ByRubLot34[[Total Charge]:[Total Charge]])</f>
        <v>0</v>
      </c>
      <c r="H58">
        <f>(AF30_ByRubLot[[#This Row],[21-30]]/AF30_ByRubLot34[[Total Charge]:[Total Charge]])</f>
        <v>0.1</v>
      </c>
      <c r="I58">
        <f>(AF30_ByRubLot[[#This Row],[31-40]]/AF30_ByRubLot34[[Total Charge]:[Total Charge]])</f>
        <v>0</v>
      </c>
      <c r="J58">
        <f>(AF30_ByRubLot[[#This Row],[41-50]]/AF30_ByRubLot34[[Total Charge]:[Total Charge]])</f>
        <v>0</v>
      </c>
      <c r="K58">
        <f>(AF30_ByRubLot[[#This Row],[51-60]]/AF30_ByRubLot34[[Total Charge]:[Total Charge]])</f>
        <v>0.2</v>
      </c>
      <c r="L58">
        <f>(AF30_ByRubLot[[#This Row],[61-70]]/AF30_ByRubLot34[[Total Charge]:[Total Charge]])</f>
        <v>0</v>
      </c>
      <c r="M58">
        <f>(AF30_ByRubLot[[#This Row],[71-80]]/AF30_ByRubLot34[[Total Charge]:[Total Charge]])</f>
        <v>0</v>
      </c>
      <c r="N58">
        <f>(AF30_ByRubLot[[#This Row],[81-90]]/AF30_ByRubLot34[[Total Charge]:[Total Charge]])</f>
        <v>0.1</v>
      </c>
      <c r="O58">
        <f>(AF30_ByRubLot[[#This Row],[91-100]]/AF30_ByRubLot34[[Total Charge]:[Total Charge]])</f>
        <v>0</v>
      </c>
      <c r="P58">
        <f>(AF30_ByRubLot[[#This Row],[101-110]]/AF30_ByRubLot34[[Total Charge]:[Total Charge]])</f>
        <v>0.3</v>
      </c>
      <c r="Q58">
        <f>(AF30_ByRubLot[[#This Row],[111-120]]/AF30_ByRubLot34[[Total Charge]:[Total Charge]])</f>
        <v>0</v>
      </c>
      <c r="R58">
        <f>(AF30_ByRubLot[[#This Row],[121-130]]/AF30_ByRubLot34[[Total Charge]:[Total Charge]])</f>
        <v>0.3</v>
      </c>
      <c r="S58">
        <f>(AF30_ByRubLot[[#This Row],[131-140]]/AF30_ByRubLot34[[Total Charge]:[Total Charge]])</f>
        <v>0</v>
      </c>
      <c r="T58">
        <v>0</v>
      </c>
      <c r="U58">
        <v>0</v>
      </c>
      <c r="V58" t="s">
        <v>6</v>
      </c>
      <c r="W58">
        <v>10</v>
      </c>
      <c r="X58" s="112"/>
      <c r="Y58" s="146">
        <v>1824.4444444444443</v>
      </c>
      <c r="Z58">
        <v>1392</v>
      </c>
      <c r="AA58">
        <f t="shared" si="1"/>
        <v>76.297198538367851</v>
      </c>
      <c r="AB58">
        <f>SUM(AF30_ByRubLot34[[#This Row],[0-10]:[131-140]])</f>
        <v>1</v>
      </c>
    </row>
    <row r="59" spans="1:28" x14ac:dyDescent="0.25">
      <c r="A59" t="s">
        <v>17</v>
      </c>
      <c r="B59" s="146" t="s">
        <v>185</v>
      </c>
      <c r="C59" s="148">
        <v>2010</v>
      </c>
      <c r="D59" s="151" t="str">
        <f>MID(AF30_ByRubLot34[[#This Row],[AF-30 Lot]],2,3)</f>
        <v>280</v>
      </c>
      <c r="E59" s="151" t="str">
        <f>CONCATENATE(RIGHT(AF30_ByRubLot34[[#This Row],[Year of Production]],2),AF30_ByRubLot34[[#This Row],[Julian Date Jumbo Production]])</f>
        <v>10280</v>
      </c>
      <c r="F59">
        <f>(AF30_ByRubLot[[#This Row],[0-10]]/AF30_ByRubLot34[[Total Charge]:[Total Charge]])</f>
        <v>0</v>
      </c>
      <c r="G59">
        <f>(AF30_ByRubLot[[#This Row],[11-20]]/AF30_ByRubLot34[[Total Charge]:[Total Charge]])</f>
        <v>0</v>
      </c>
      <c r="H59">
        <f>(AF30_ByRubLot[[#This Row],[21-30]]/AF30_ByRubLot34[[Total Charge]:[Total Charge]])</f>
        <v>0.1</v>
      </c>
      <c r="I59">
        <f>(AF30_ByRubLot[[#This Row],[31-40]]/AF30_ByRubLot34[[Total Charge]:[Total Charge]])</f>
        <v>0</v>
      </c>
      <c r="J59">
        <f>(AF30_ByRubLot[[#This Row],[41-50]]/AF30_ByRubLot34[[Total Charge]:[Total Charge]])</f>
        <v>0</v>
      </c>
      <c r="K59">
        <f>(AF30_ByRubLot[[#This Row],[51-60]]/AF30_ByRubLot34[[Total Charge]:[Total Charge]])</f>
        <v>0.2</v>
      </c>
      <c r="L59">
        <f>(AF30_ByRubLot[[#This Row],[61-70]]/AF30_ByRubLot34[[Total Charge]:[Total Charge]])</f>
        <v>0</v>
      </c>
      <c r="M59">
        <f>(AF30_ByRubLot[[#This Row],[71-80]]/AF30_ByRubLot34[[Total Charge]:[Total Charge]])</f>
        <v>0</v>
      </c>
      <c r="N59">
        <f>(AF30_ByRubLot[[#This Row],[81-90]]/AF30_ByRubLot34[[Total Charge]:[Total Charge]])</f>
        <v>0.1</v>
      </c>
      <c r="O59">
        <f>(AF30_ByRubLot[[#This Row],[91-100]]/AF30_ByRubLot34[[Total Charge]:[Total Charge]])</f>
        <v>0</v>
      </c>
      <c r="P59">
        <f>(AF30_ByRubLot[[#This Row],[101-110]]/AF30_ByRubLot34[[Total Charge]:[Total Charge]])</f>
        <v>0.3</v>
      </c>
      <c r="Q59">
        <f>(AF30_ByRubLot[[#This Row],[111-120]]/AF30_ByRubLot34[[Total Charge]:[Total Charge]])</f>
        <v>0</v>
      </c>
      <c r="R59">
        <f>(AF30_ByRubLot[[#This Row],[121-130]]/AF30_ByRubLot34[[Total Charge]:[Total Charge]])</f>
        <v>0.3</v>
      </c>
      <c r="S59">
        <f>(AF30_ByRubLot[[#This Row],[131-140]]/AF30_ByRubLot34[[Total Charge]:[Total Charge]])</f>
        <v>0</v>
      </c>
      <c r="T59">
        <v>0</v>
      </c>
      <c r="U59">
        <v>0</v>
      </c>
      <c r="V59" t="s">
        <v>6</v>
      </c>
      <c r="W59">
        <v>10</v>
      </c>
      <c r="X59" s="112"/>
      <c r="Y59" s="146">
        <v>955.55555555555554</v>
      </c>
      <c r="Z59">
        <v>640</v>
      </c>
      <c r="AA59">
        <f t="shared" si="1"/>
        <v>66.976744186046517</v>
      </c>
      <c r="AB59">
        <f>SUM(AF30_ByRubLot34[[#This Row],[0-10]:[131-140]])</f>
        <v>1</v>
      </c>
    </row>
    <row r="60" spans="1:28" x14ac:dyDescent="0.25">
      <c r="A60" t="s">
        <v>17</v>
      </c>
      <c r="B60" s="146" t="s">
        <v>183</v>
      </c>
      <c r="C60" s="148">
        <v>2010</v>
      </c>
      <c r="D60" s="151" t="str">
        <f>MID(AF30_ByRubLot34[[#This Row],[AF-30 Lot]],2,3)</f>
        <v>291</v>
      </c>
      <c r="E60" s="151" t="str">
        <f>CONCATENATE(RIGHT(AF30_ByRubLot34[[#This Row],[Year of Production]],2),AF30_ByRubLot34[[#This Row],[Julian Date Jumbo Production]])</f>
        <v>10291</v>
      </c>
      <c r="F60">
        <f>(AF30_ByRubLot[[#This Row],[0-10]]/AF30_ByRubLot34[[Total Charge]:[Total Charge]])</f>
        <v>0</v>
      </c>
      <c r="G60">
        <f>(AF30_ByRubLot[[#This Row],[11-20]]/AF30_ByRubLot34[[Total Charge]:[Total Charge]])</f>
        <v>0</v>
      </c>
      <c r="H60">
        <f>(AF30_ByRubLot[[#This Row],[21-30]]/AF30_ByRubLot34[[Total Charge]:[Total Charge]])</f>
        <v>0.1</v>
      </c>
      <c r="I60">
        <f>(AF30_ByRubLot[[#This Row],[31-40]]/AF30_ByRubLot34[[Total Charge]:[Total Charge]])</f>
        <v>0</v>
      </c>
      <c r="J60">
        <f>(AF30_ByRubLot[[#This Row],[41-50]]/AF30_ByRubLot34[[Total Charge]:[Total Charge]])</f>
        <v>0</v>
      </c>
      <c r="K60">
        <f>(AF30_ByRubLot[[#This Row],[51-60]]/AF30_ByRubLot34[[Total Charge]:[Total Charge]])</f>
        <v>0.2</v>
      </c>
      <c r="L60">
        <f>(AF30_ByRubLot[[#This Row],[61-70]]/AF30_ByRubLot34[[Total Charge]:[Total Charge]])</f>
        <v>0</v>
      </c>
      <c r="M60">
        <f>(AF30_ByRubLot[[#This Row],[71-80]]/AF30_ByRubLot34[[Total Charge]:[Total Charge]])</f>
        <v>0</v>
      </c>
      <c r="N60">
        <f>(AF30_ByRubLot[[#This Row],[81-90]]/AF30_ByRubLot34[[Total Charge]:[Total Charge]])</f>
        <v>0.1</v>
      </c>
      <c r="O60">
        <f>(AF30_ByRubLot[[#This Row],[91-100]]/AF30_ByRubLot34[[Total Charge]:[Total Charge]])</f>
        <v>0</v>
      </c>
      <c r="P60">
        <f>(AF30_ByRubLot[[#This Row],[101-110]]/AF30_ByRubLot34[[Total Charge]:[Total Charge]])</f>
        <v>0.3</v>
      </c>
      <c r="Q60">
        <f>(AF30_ByRubLot[[#This Row],[111-120]]/AF30_ByRubLot34[[Total Charge]:[Total Charge]])</f>
        <v>0</v>
      </c>
      <c r="R60">
        <f>(AF30_ByRubLot[[#This Row],[121-130]]/AF30_ByRubLot34[[Total Charge]:[Total Charge]])</f>
        <v>0.3</v>
      </c>
      <c r="S60">
        <f>(AF30_ByRubLot[[#This Row],[131-140]]/AF30_ByRubLot34[[Total Charge]:[Total Charge]])</f>
        <v>0</v>
      </c>
      <c r="T60">
        <v>0</v>
      </c>
      <c r="U60">
        <v>0</v>
      </c>
      <c r="V60" t="s">
        <v>6</v>
      </c>
      <c r="W60">
        <v>10</v>
      </c>
      <c r="X60" s="112"/>
      <c r="Y60" s="146">
        <v>197.22222222222223</v>
      </c>
      <c r="Z60">
        <v>0</v>
      </c>
      <c r="AA60">
        <f t="shared" si="1"/>
        <v>0</v>
      </c>
      <c r="AB60">
        <f>SUM(AF30_ByRubLot34[[#This Row],[0-10]:[131-140]])</f>
        <v>1</v>
      </c>
    </row>
    <row r="61" spans="1:28" x14ac:dyDescent="0.25">
      <c r="A61" t="s">
        <v>17</v>
      </c>
      <c r="B61" s="146" t="s">
        <v>184</v>
      </c>
      <c r="C61" s="148">
        <v>2010</v>
      </c>
      <c r="D61" s="151" t="str">
        <f>MID(AF30_ByRubLot34[[#This Row],[AF-30 Lot]],2,3)</f>
        <v>291</v>
      </c>
      <c r="E61" s="151" t="str">
        <f>CONCATENATE(RIGHT(AF30_ByRubLot34[[#This Row],[Year of Production]],2),AF30_ByRubLot34[[#This Row],[Julian Date Jumbo Production]])</f>
        <v>10291</v>
      </c>
      <c r="F61">
        <f>(AF30_ByRubLot[[#This Row],[0-10]]/AF30_ByRubLot34[[Total Charge]:[Total Charge]])</f>
        <v>0</v>
      </c>
      <c r="G61">
        <f>(AF30_ByRubLot[[#This Row],[11-20]]/AF30_ByRubLot34[[Total Charge]:[Total Charge]])</f>
        <v>0</v>
      </c>
      <c r="H61">
        <f>(AF30_ByRubLot[[#This Row],[21-30]]/AF30_ByRubLot34[[Total Charge]:[Total Charge]])</f>
        <v>0.1</v>
      </c>
      <c r="I61">
        <f>(AF30_ByRubLot[[#This Row],[31-40]]/AF30_ByRubLot34[[Total Charge]:[Total Charge]])</f>
        <v>0</v>
      </c>
      <c r="J61">
        <f>(AF30_ByRubLot[[#This Row],[41-50]]/AF30_ByRubLot34[[Total Charge]:[Total Charge]])</f>
        <v>0</v>
      </c>
      <c r="K61">
        <f>(AF30_ByRubLot[[#This Row],[51-60]]/AF30_ByRubLot34[[Total Charge]:[Total Charge]])</f>
        <v>0.2</v>
      </c>
      <c r="L61">
        <f>(AF30_ByRubLot[[#This Row],[61-70]]/AF30_ByRubLot34[[Total Charge]:[Total Charge]])</f>
        <v>0</v>
      </c>
      <c r="M61">
        <f>(AF30_ByRubLot[[#This Row],[71-80]]/AF30_ByRubLot34[[Total Charge]:[Total Charge]])</f>
        <v>0</v>
      </c>
      <c r="N61">
        <f>(AF30_ByRubLot[[#This Row],[81-90]]/AF30_ByRubLot34[[Total Charge]:[Total Charge]])</f>
        <v>0.1</v>
      </c>
      <c r="O61">
        <f>(AF30_ByRubLot[[#This Row],[91-100]]/AF30_ByRubLot34[[Total Charge]:[Total Charge]])</f>
        <v>0</v>
      </c>
      <c r="P61">
        <f>(AF30_ByRubLot[[#This Row],[101-110]]/AF30_ByRubLot34[[Total Charge]:[Total Charge]])</f>
        <v>0.3</v>
      </c>
      <c r="Q61">
        <f>(AF30_ByRubLot[[#This Row],[111-120]]/AF30_ByRubLot34[[Total Charge]:[Total Charge]])</f>
        <v>0</v>
      </c>
      <c r="R61">
        <f>(AF30_ByRubLot[[#This Row],[121-130]]/AF30_ByRubLot34[[Total Charge]:[Total Charge]])</f>
        <v>0.3</v>
      </c>
      <c r="S61">
        <f>(AF30_ByRubLot[[#This Row],[131-140]]/AF30_ByRubLot34[[Total Charge]:[Total Charge]])</f>
        <v>0</v>
      </c>
      <c r="T61">
        <v>0</v>
      </c>
      <c r="U61">
        <v>0</v>
      </c>
      <c r="V61" t="s">
        <v>6</v>
      </c>
      <c r="W61">
        <v>10</v>
      </c>
      <c r="X61" s="112"/>
      <c r="Y61" s="146">
        <v>619.44444444444446</v>
      </c>
      <c r="Z61">
        <v>470.75</v>
      </c>
      <c r="AA61">
        <f t="shared" si="1"/>
        <v>75.995515695067269</v>
      </c>
      <c r="AB61">
        <f>SUM(AF30_ByRubLot34[[#This Row],[0-10]:[131-140]])</f>
        <v>1</v>
      </c>
    </row>
    <row r="62" spans="1:28" x14ac:dyDescent="0.25">
      <c r="A62" t="s">
        <v>17</v>
      </c>
      <c r="B62" s="146" t="s">
        <v>182</v>
      </c>
      <c r="C62" s="148">
        <v>2010</v>
      </c>
      <c r="D62" s="151" t="str">
        <f>MID(AF30_ByRubLot34[[#This Row],[AF-30 Lot]],2,3)</f>
        <v>300</v>
      </c>
      <c r="E62" s="151" t="str">
        <f>CONCATENATE(RIGHT(AF30_ByRubLot34[[#This Row],[Year of Production]],2),AF30_ByRubLot34[[#This Row],[Julian Date Jumbo Production]])</f>
        <v>10300</v>
      </c>
      <c r="F62">
        <f>(AF30_ByRubLot[[#This Row],[0-10]]/AF30_ByRubLot34[[Total Charge]:[Total Charge]])</f>
        <v>0</v>
      </c>
      <c r="G62">
        <f>(AF30_ByRubLot[[#This Row],[11-20]]/AF30_ByRubLot34[[Total Charge]:[Total Charge]])</f>
        <v>0</v>
      </c>
      <c r="H62">
        <f>(AF30_ByRubLot[[#This Row],[21-30]]/AF30_ByRubLot34[[Total Charge]:[Total Charge]])</f>
        <v>0.1</v>
      </c>
      <c r="I62">
        <f>(AF30_ByRubLot[[#This Row],[31-40]]/AF30_ByRubLot34[[Total Charge]:[Total Charge]])</f>
        <v>0</v>
      </c>
      <c r="J62">
        <f>(AF30_ByRubLot[[#This Row],[41-50]]/AF30_ByRubLot34[[Total Charge]:[Total Charge]])</f>
        <v>0</v>
      </c>
      <c r="K62">
        <f>(AF30_ByRubLot[[#This Row],[51-60]]/AF30_ByRubLot34[[Total Charge]:[Total Charge]])</f>
        <v>0.2</v>
      </c>
      <c r="L62">
        <f>(AF30_ByRubLot[[#This Row],[61-70]]/AF30_ByRubLot34[[Total Charge]:[Total Charge]])</f>
        <v>0</v>
      </c>
      <c r="M62">
        <f>(AF30_ByRubLot[[#This Row],[71-80]]/AF30_ByRubLot34[[Total Charge]:[Total Charge]])</f>
        <v>0</v>
      </c>
      <c r="N62">
        <f>(AF30_ByRubLot[[#This Row],[81-90]]/AF30_ByRubLot34[[Total Charge]:[Total Charge]])</f>
        <v>0.1</v>
      </c>
      <c r="O62">
        <f>(AF30_ByRubLot[[#This Row],[91-100]]/AF30_ByRubLot34[[Total Charge]:[Total Charge]])</f>
        <v>0</v>
      </c>
      <c r="P62">
        <f>(AF30_ByRubLot[[#This Row],[101-110]]/AF30_ByRubLot34[[Total Charge]:[Total Charge]])</f>
        <v>0.3</v>
      </c>
      <c r="Q62">
        <f>(AF30_ByRubLot[[#This Row],[111-120]]/AF30_ByRubLot34[[Total Charge]:[Total Charge]])</f>
        <v>0</v>
      </c>
      <c r="R62">
        <f>(AF30_ByRubLot[[#This Row],[121-130]]/AF30_ByRubLot34[[Total Charge]:[Total Charge]])</f>
        <v>0.3</v>
      </c>
      <c r="S62">
        <f>(AF30_ByRubLot[[#This Row],[131-140]]/AF30_ByRubLot34[[Total Charge]:[Total Charge]])</f>
        <v>0</v>
      </c>
      <c r="T62">
        <v>0</v>
      </c>
      <c r="U62">
        <v>0</v>
      </c>
      <c r="V62" t="s">
        <v>6</v>
      </c>
      <c r="W62">
        <v>10</v>
      </c>
      <c r="X62" s="112"/>
      <c r="Y62" s="146">
        <v>925</v>
      </c>
      <c r="Z62">
        <v>600</v>
      </c>
      <c r="AA62">
        <f t="shared" si="1"/>
        <v>64.86486486486487</v>
      </c>
      <c r="AB62">
        <f>SUM(AF30_ByRubLot34[[#This Row],[0-10]:[131-140]])</f>
        <v>1</v>
      </c>
    </row>
    <row r="63" spans="1:28" x14ac:dyDescent="0.25">
      <c r="A63" t="s">
        <v>17</v>
      </c>
      <c r="B63" s="146" t="s">
        <v>181</v>
      </c>
      <c r="C63" s="148">
        <v>2010</v>
      </c>
      <c r="D63" s="151" t="str">
        <f>MID(AF30_ByRubLot34[[#This Row],[AF-30 Lot]],2,3)</f>
        <v>348</v>
      </c>
      <c r="E63" s="151" t="str">
        <f>CONCATENATE(RIGHT(AF30_ByRubLot34[[#This Row],[Year of Production]],2),AF30_ByRubLot34[[#This Row],[Julian Date Jumbo Production]])</f>
        <v>10348</v>
      </c>
      <c r="F63">
        <f>(AF30_ByRubLot[[#This Row],[0-10]]/AF30_ByRubLot34[[Total Charge]:[Total Charge]])</f>
        <v>0</v>
      </c>
      <c r="G63">
        <f>(AF30_ByRubLot[[#This Row],[11-20]]/AF30_ByRubLot34[[Total Charge]:[Total Charge]])</f>
        <v>0</v>
      </c>
      <c r="H63">
        <f>(AF30_ByRubLot[[#This Row],[21-30]]/AF30_ByRubLot34[[Total Charge]:[Total Charge]])</f>
        <v>0.1</v>
      </c>
      <c r="I63">
        <f>(AF30_ByRubLot[[#This Row],[31-40]]/AF30_ByRubLot34[[Total Charge]:[Total Charge]])</f>
        <v>0</v>
      </c>
      <c r="J63">
        <f>(AF30_ByRubLot[[#This Row],[41-50]]/AF30_ByRubLot34[[Total Charge]:[Total Charge]])</f>
        <v>0</v>
      </c>
      <c r="K63">
        <f>(AF30_ByRubLot[[#This Row],[51-60]]/AF30_ByRubLot34[[Total Charge]:[Total Charge]])</f>
        <v>0.2</v>
      </c>
      <c r="L63">
        <f>(AF30_ByRubLot[[#This Row],[61-70]]/AF30_ByRubLot34[[Total Charge]:[Total Charge]])</f>
        <v>0</v>
      </c>
      <c r="M63">
        <f>(AF30_ByRubLot[[#This Row],[71-80]]/AF30_ByRubLot34[[Total Charge]:[Total Charge]])</f>
        <v>0</v>
      </c>
      <c r="N63">
        <f>(AF30_ByRubLot[[#This Row],[81-90]]/AF30_ByRubLot34[[Total Charge]:[Total Charge]])</f>
        <v>0.1</v>
      </c>
      <c r="O63">
        <f>(AF30_ByRubLot[[#This Row],[91-100]]/AF30_ByRubLot34[[Total Charge]:[Total Charge]])</f>
        <v>0</v>
      </c>
      <c r="P63">
        <f>(AF30_ByRubLot[[#This Row],[101-110]]/AF30_ByRubLot34[[Total Charge]:[Total Charge]])</f>
        <v>0.3</v>
      </c>
      <c r="Q63">
        <f>(AF30_ByRubLot[[#This Row],[111-120]]/AF30_ByRubLot34[[Total Charge]:[Total Charge]])</f>
        <v>0</v>
      </c>
      <c r="R63">
        <f>(AF30_ByRubLot[[#This Row],[121-130]]/AF30_ByRubLot34[[Total Charge]:[Total Charge]])</f>
        <v>0.3</v>
      </c>
      <c r="S63">
        <f>(AF30_ByRubLot[[#This Row],[131-140]]/AF30_ByRubLot34[[Total Charge]:[Total Charge]])</f>
        <v>0</v>
      </c>
      <c r="T63">
        <v>0</v>
      </c>
      <c r="U63">
        <v>0</v>
      </c>
      <c r="V63" t="s">
        <v>6</v>
      </c>
      <c r="W63">
        <v>10</v>
      </c>
      <c r="X63" s="112"/>
      <c r="Y63" s="146">
        <v>725</v>
      </c>
      <c r="Z63">
        <v>400</v>
      </c>
      <c r="AA63">
        <f t="shared" si="1"/>
        <v>55.172413793103445</v>
      </c>
      <c r="AB63">
        <f>SUM(AF30_ByRubLot34[[#This Row],[0-10]:[131-140]])</f>
        <v>1</v>
      </c>
    </row>
    <row r="64" spans="1:28" x14ac:dyDescent="0.25">
      <c r="A64" t="s">
        <v>17</v>
      </c>
      <c r="B64" s="146" t="s">
        <v>180</v>
      </c>
      <c r="C64" s="148">
        <v>2011</v>
      </c>
      <c r="D64" s="151" t="str">
        <f>MID(AF30_ByRubLot34[[#This Row],[AF-30 Lot]],2,3)</f>
        <v>011</v>
      </c>
      <c r="E64" s="151" t="str">
        <f>CONCATENATE(RIGHT(AF30_ByRubLot34[[#This Row],[Year of Production]],2),AF30_ByRubLot34[[#This Row],[Julian Date Jumbo Production]])</f>
        <v>11011</v>
      </c>
      <c r="F64">
        <f>(AF30_ByRubLot[[#This Row],[0-10]]/AF30_ByRubLot34[[Total Charge]:[Total Charge]])</f>
        <v>0</v>
      </c>
      <c r="G64">
        <f>(AF30_ByRubLot[[#This Row],[11-20]]/AF30_ByRubLot34[[Total Charge]:[Total Charge]])</f>
        <v>0</v>
      </c>
      <c r="H64">
        <f>(AF30_ByRubLot[[#This Row],[21-30]]/AF30_ByRubLot34[[Total Charge]:[Total Charge]])</f>
        <v>0.1</v>
      </c>
      <c r="I64">
        <f>(AF30_ByRubLot[[#This Row],[31-40]]/AF30_ByRubLot34[[Total Charge]:[Total Charge]])</f>
        <v>0</v>
      </c>
      <c r="J64">
        <f>(AF30_ByRubLot[[#This Row],[41-50]]/AF30_ByRubLot34[[Total Charge]:[Total Charge]])</f>
        <v>0</v>
      </c>
      <c r="K64">
        <f>(AF30_ByRubLot[[#This Row],[51-60]]/AF30_ByRubLot34[[Total Charge]:[Total Charge]])</f>
        <v>0.2</v>
      </c>
      <c r="L64">
        <f>(AF30_ByRubLot[[#This Row],[61-70]]/AF30_ByRubLot34[[Total Charge]:[Total Charge]])</f>
        <v>0</v>
      </c>
      <c r="M64">
        <f>(AF30_ByRubLot[[#This Row],[71-80]]/AF30_ByRubLot34[[Total Charge]:[Total Charge]])</f>
        <v>0</v>
      </c>
      <c r="N64">
        <f>(AF30_ByRubLot[[#This Row],[81-90]]/AF30_ByRubLot34[[Total Charge]:[Total Charge]])</f>
        <v>0.1</v>
      </c>
      <c r="O64">
        <f>(AF30_ByRubLot[[#This Row],[91-100]]/AF30_ByRubLot34[[Total Charge]:[Total Charge]])</f>
        <v>0</v>
      </c>
      <c r="P64">
        <f>(AF30_ByRubLot[[#This Row],[101-110]]/AF30_ByRubLot34[[Total Charge]:[Total Charge]])</f>
        <v>0.3</v>
      </c>
      <c r="Q64">
        <f>(AF30_ByRubLot[[#This Row],[111-120]]/AF30_ByRubLot34[[Total Charge]:[Total Charge]])</f>
        <v>0</v>
      </c>
      <c r="R64">
        <f>(AF30_ByRubLot[[#This Row],[121-130]]/AF30_ByRubLot34[[Total Charge]:[Total Charge]])</f>
        <v>0.3</v>
      </c>
      <c r="S64">
        <f>(AF30_ByRubLot[[#This Row],[131-140]]/AF30_ByRubLot34[[Total Charge]:[Total Charge]])</f>
        <v>0</v>
      </c>
      <c r="T64">
        <v>0</v>
      </c>
      <c r="U64">
        <v>0</v>
      </c>
      <c r="V64" t="s">
        <v>6</v>
      </c>
      <c r="W64">
        <v>10</v>
      </c>
      <c r="X64" s="112"/>
      <c r="Y64" s="146">
        <v>1038.8888888888889</v>
      </c>
      <c r="Z64">
        <v>0</v>
      </c>
      <c r="AA64">
        <f t="shared" si="1"/>
        <v>0</v>
      </c>
      <c r="AB64">
        <f>SUM(AF30_ByRubLot34[[#This Row],[0-10]:[131-140]])</f>
        <v>1</v>
      </c>
    </row>
    <row r="65" spans="1:28" x14ac:dyDescent="0.25">
      <c r="A65" t="s">
        <v>17</v>
      </c>
      <c r="B65" s="146" t="s">
        <v>179</v>
      </c>
      <c r="C65" s="148">
        <v>2011</v>
      </c>
      <c r="D65" s="151" t="str">
        <f>MID(AF30_ByRubLot34[[#This Row],[AF-30 Lot]],2,3)</f>
        <v>019</v>
      </c>
      <c r="E65" s="151" t="str">
        <f>CONCATENATE(RIGHT(AF30_ByRubLot34[[#This Row],[Year of Production]],2),AF30_ByRubLot34[[#This Row],[Julian Date Jumbo Production]])</f>
        <v>11019</v>
      </c>
      <c r="F65">
        <f>(AF30_ByRubLot[[#This Row],[0-10]]/AF30_ByRubLot34[[Total Charge]:[Total Charge]])</f>
        <v>0</v>
      </c>
      <c r="G65">
        <f>(AF30_ByRubLot[[#This Row],[11-20]]/AF30_ByRubLot34[[Total Charge]:[Total Charge]])</f>
        <v>0</v>
      </c>
      <c r="H65">
        <f>(AF30_ByRubLot[[#This Row],[21-30]]/AF30_ByRubLot34[[Total Charge]:[Total Charge]])</f>
        <v>0.1</v>
      </c>
      <c r="I65">
        <f>(AF30_ByRubLot[[#This Row],[31-40]]/AF30_ByRubLot34[[Total Charge]:[Total Charge]])</f>
        <v>0</v>
      </c>
      <c r="J65">
        <f>(AF30_ByRubLot[[#This Row],[41-50]]/AF30_ByRubLot34[[Total Charge]:[Total Charge]])</f>
        <v>0</v>
      </c>
      <c r="K65">
        <f>(AF30_ByRubLot[[#This Row],[51-60]]/AF30_ByRubLot34[[Total Charge]:[Total Charge]])</f>
        <v>0.2</v>
      </c>
      <c r="L65">
        <f>(AF30_ByRubLot[[#This Row],[61-70]]/AF30_ByRubLot34[[Total Charge]:[Total Charge]])</f>
        <v>0</v>
      </c>
      <c r="M65">
        <f>(AF30_ByRubLot[[#This Row],[71-80]]/AF30_ByRubLot34[[Total Charge]:[Total Charge]])</f>
        <v>0</v>
      </c>
      <c r="N65">
        <f>(AF30_ByRubLot[[#This Row],[81-90]]/AF30_ByRubLot34[[Total Charge]:[Total Charge]])</f>
        <v>0.1</v>
      </c>
      <c r="O65">
        <f>(AF30_ByRubLot[[#This Row],[91-100]]/AF30_ByRubLot34[[Total Charge]:[Total Charge]])</f>
        <v>0</v>
      </c>
      <c r="P65">
        <f>(AF30_ByRubLot[[#This Row],[101-110]]/AF30_ByRubLot34[[Total Charge]:[Total Charge]])</f>
        <v>0.3</v>
      </c>
      <c r="Q65">
        <f>(AF30_ByRubLot[[#This Row],[111-120]]/AF30_ByRubLot34[[Total Charge]:[Total Charge]])</f>
        <v>0</v>
      </c>
      <c r="R65">
        <f>(AF30_ByRubLot[[#This Row],[121-130]]/AF30_ByRubLot34[[Total Charge]:[Total Charge]])</f>
        <v>0.3</v>
      </c>
      <c r="S65">
        <f>(AF30_ByRubLot[[#This Row],[131-140]]/AF30_ByRubLot34[[Total Charge]:[Total Charge]])</f>
        <v>0</v>
      </c>
      <c r="T65">
        <v>0</v>
      </c>
      <c r="U65">
        <v>0</v>
      </c>
      <c r="V65" t="s">
        <v>6</v>
      </c>
      <c r="W65">
        <v>10</v>
      </c>
      <c r="X65" s="112"/>
      <c r="Y65" s="146">
        <v>222.22222222222223</v>
      </c>
      <c r="Z65">
        <v>0</v>
      </c>
      <c r="AA65">
        <f t="shared" si="1"/>
        <v>0</v>
      </c>
      <c r="AB65">
        <f>SUM(AF30_ByRubLot34[[#This Row],[0-10]:[131-140]])</f>
        <v>1</v>
      </c>
    </row>
    <row r="66" spans="1:28" x14ac:dyDescent="0.25">
      <c r="A66" t="s">
        <v>17</v>
      </c>
      <c r="B66" s="146" t="s">
        <v>178</v>
      </c>
      <c r="C66" s="148">
        <v>2011</v>
      </c>
      <c r="D66" s="151" t="str">
        <f>MID(AF30_ByRubLot34[[#This Row],[AF-30 Lot]],2,3)</f>
        <v>034</v>
      </c>
      <c r="E66" s="151" t="str">
        <f>CONCATENATE(RIGHT(AF30_ByRubLot34[[#This Row],[Year of Production]],2),AF30_ByRubLot34[[#This Row],[Julian Date Jumbo Production]])</f>
        <v>11034</v>
      </c>
      <c r="F66">
        <f>(AF30_ByRubLot[[#This Row],[0-10]]/AF30_ByRubLot34[[Total Charge]:[Total Charge]])</f>
        <v>0</v>
      </c>
      <c r="G66">
        <f>(AF30_ByRubLot[[#This Row],[11-20]]/AF30_ByRubLot34[[Total Charge]:[Total Charge]])</f>
        <v>0</v>
      </c>
      <c r="H66">
        <f>(AF30_ByRubLot[[#This Row],[21-30]]/AF30_ByRubLot34[[Total Charge]:[Total Charge]])</f>
        <v>0.1</v>
      </c>
      <c r="I66">
        <f>(AF30_ByRubLot[[#This Row],[31-40]]/AF30_ByRubLot34[[Total Charge]:[Total Charge]])</f>
        <v>0</v>
      </c>
      <c r="J66">
        <f>(AF30_ByRubLot[[#This Row],[41-50]]/AF30_ByRubLot34[[Total Charge]:[Total Charge]])</f>
        <v>0</v>
      </c>
      <c r="K66">
        <f>(AF30_ByRubLot[[#This Row],[51-60]]/AF30_ByRubLot34[[Total Charge]:[Total Charge]])</f>
        <v>0.2</v>
      </c>
      <c r="L66">
        <f>(AF30_ByRubLot[[#This Row],[61-70]]/AF30_ByRubLot34[[Total Charge]:[Total Charge]])</f>
        <v>0</v>
      </c>
      <c r="M66">
        <f>(AF30_ByRubLot[[#This Row],[71-80]]/AF30_ByRubLot34[[Total Charge]:[Total Charge]])</f>
        <v>0</v>
      </c>
      <c r="N66">
        <f>(AF30_ByRubLot[[#This Row],[81-90]]/AF30_ByRubLot34[[Total Charge]:[Total Charge]])</f>
        <v>0.1</v>
      </c>
      <c r="O66">
        <f>(AF30_ByRubLot[[#This Row],[91-100]]/AF30_ByRubLot34[[Total Charge]:[Total Charge]])</f>
        <v>0</v>
      </c>
      <c r="P66">
        <f>(AF30_ByRubLot[[#This Row],[101-110]]/AF30_ByRubLot34[[Total Charge]:[Total Charge]])</f>
        <v>0.3</v>
      </c>
      <c r="Q66">
        <f>(AF30_ByRubLot[[#This Row],[111-120]]/AF30_ByRubLot34[[Total Charge]:[Total Charge]])</f>
        <v>0</v>
      </c>
      <c r="R66">
        <f>(AF30_ByRubLot[[#This Row],[121-130]]/AF30_ByRubLot34[[Total Charge]:[Total Charge]])</f>
        <v>0.3</v>
      </c>
      <c r="S66">
        <f>(AF30_ByRubLot[[#This Row],[131-140]]/AF30_ByRubLot34[[Total Charge]:[Total Charge]])</f>
        <v>0</v>
      </c>
      <c r="T66">
        <v>0</v>
      </c>
      <c r="U66">
        <v>0</v>
      </c>
      <c r="V66" t="s">
        <v>6</v>
      </c>
      <c r="W66">
        <v>10</v>
      </c>
      <c r="X66" s="112"/>
      <c r="Y66" s="146">
        <v>1286.1111111111111</v>
      </c>
      <c r="Z66">
        <v>718.66663999999992</v>
      </c>
      <c r="AA66">
        <f t="shared" ref="AA66:AA97" si="2">(Z66/Y66)*100</f>
        <v>55.87904760259179</v>
      </c>
      <c r="AB66">
        <f>SUM(AF30_ByRubLot34[[#This Row],[0-10]:[131-140]])</f>
        <v>1</v>
      </c>
    </row>
    <row r="67" spans="1:28" x14ac:dyDescent="0.25">
      <c r="A67" t="s">
        <v>19</v>
      </c>
      <c r="B67" s="146" t="s">
        <v>213</v>
      </c>
      <c r="C67" s="148">
        <v>2011</v>
      </c>
      <c r="D67" s="151" t="str">
        <f>MID(AF30_ByRubLot34[[#This Row],[AF-30 Lot]],2,3)</f>
        <v>045</v>
      </c>
      <c r="E67" s="151" t="str">
        <f>CONCATENATE(RIGHT(AF30_ByRubLot34[[#This Row],[Year of Production]],2),AF30_ByRubLot34[[#This Row],[Julian Date Jumbo Production]])</f>
        <v>11045</v>
      </c>
      <c r="F67">
        <f>(AF30_ByRubLot[[#This Row],[0-10]]/AF30_ByRubLot34[[Total Charge]:[Total Charge]])</f>
        <v>0</v>
      </c>
      <c r="G67">
        <f>(AF30_ByRubLot[[#This Row],[11-20]]/AF30_ByRubLot34[[Total Charge]:[Total Charge]])</f>
        <v>0</v>
      </c>
      <c r="H67">
        <f>(AF30_ByRubLot[[#This Row],[21-30]]/AF30_ByRubLot34[[Total Charge]:[Total Charge]])</f>
        <v>0.16666666666666666</v>
      </c>
      <c r="I67">
        <f>(AF30_ByRubLot[[#This Row],[31-40]]/AF30_ByRubLot34[[Total Charge]:[Total Charge]])</f>
        <v>0</v>
      </c>
      <c r="J67">
        <f>(AF30_ByRubLot[[#This Row],[41-50]]/AF30_ByRubLot34[[Total Charge]:[Total Charge]])</f>
        <v>0</v>
      </c>
      <c r="K67">
        <f>(AF30_ByRubLot[[#This Row],[51-60]]/AF30_ByRubLot34[[Total Charge]:[Total Charge]])</f>
        <v>0.33333333333333331</v>
      </c>
      <c r="L67">
        <f>(AF30_ByRubLot[[#This Row],[61-70]]/AF30_ByRubLot34[[Total Charge]:[Total Charge]])</f>
        <v>0</v>
      </c>
      <c r="M67">
        <f>(AF30_ByRubLot[[#This Row],[71-80]]/AF30_ByRubLot34[[Total Charge]:[Total Charge]])</f>
        <v>0</v>
      </c>
      <c r="N67">
        <f>(AF30_ByRubLot[[#This Row],[81-90]]/AF30_ByRubLot34[[Total Charge]:[Total Charge]])</f>
        <v>0.16666666666666666</v>
      </c>
      <c r="O67">
        <f>(AF30_ByRubLot[[#This Row],[91-100]]/AF30_ByRubLot34[[Total Charge]:[Total Charge]])</f>
        <v>0</v>
      </c>
      <c r="P67">
        <f>(AF30_ByRubLot[[#This Row],[101-110]]/AF30_ByRubLot34[[Total Charge]:[Total Charge]])</f>
        <v>0.5</v>
      </c>
      <c r="Q67">
        <f>(AF30_ByRubLot[[#This Row],[111-120]]/AF30_ByRubLot34[[Total Charge]:[Total Charge]])</f>
        <v>0</v>
      </c>
      <c r="R67">
        <f>(AF30_ByRubLot[[#This Row],[121-130]]/AF30_ByRubLot34[[Total Charge]:[Total Charge]])</f>
        <v>0.5</v>
      </c>
      <c r="S67">
        <f>(AF30_ByRubLot[[#This Row],[131-140]]/AF30_ByRubLot34[[Total Charge]:[Total Charge]])</f>
        <v>0</v>
      </c>
      <c r="T67">
        <v>0</v>
      </c>
      <c r="U67">
        <v>0</v>
      </c>
      <c r="V67" t="s">
        <v>35</v>
      </c>
      <c r="W67">
        <v>6</v>
      </c>
      <c r="X67" s="114"/>
      <c r="Y67">
        <v>1322.2222222222222</v>
      </c>
      <c r="Z67">
        <v>240</v>
      </c>
      <c r="AA67">
        <f t="shared" si="2"/>
        <v>18.15126050420168</v>
      </c>
      <c r="AB67">
        <f>SUM(AF30_ByRubLot34[[#This Row],[0-10]:[131-140]])</f>
        <v>1.6666666666666665</v>
      </c>
    </row>
    <row r="68" spans="1:28" x14ac:dyDescent="0.25">
      <c r="A68" t="s">
        <v>19</v>
      </c>
      <c r="B68" s="146" t="s">
        <v>212</v>
      </c>
      <c r="C68" s="148">
        <v>2011</v>
      </c>
      <c r="D68" s="151" t="str">
        <f>MID(AF30_ByRubLot34[[#This Row],[AF-30 Lot]],2,3)</f>
        <v>055</v>
      </c>
      <c r="E68" s="151" t="str">
        <f>CONCATENATE(RIGHT(AF30_ByRubLot34[[#This Row],[Year of Production]],2),AF30_ByRubLot34[[#This Row],[Julian Date Jumbo Production]])</f>
        <v>11055</v>
      </c>
      <c r="F68">
        <f>(AF30_ByRubLot[[#This Row],[0-10]]/AF30_ByRubLot34[[Total Charge]:[Total Charge]])</f>
        <v>0</v>
      </c>
      <c r="G68">
        <f>(AF30_ByRubLot[[#This Row],[11-20]]/AF30_ByRubLot34[[Total Charge]:[Total Charge]])</f>
        <v>0</v>
      </c>
      <c r="H68">
        <f>(AF30_ByRubLot[[#This Row],[21-30]]/AF30_ByRubLot34[[Total Charge]:[Total Charge]])</f>
        <v>0</v>
      </c>
      <c r="I68">
        <f>(AF30_ByRubLot[[#This Row],[31-40]]/AF30_ByRubLot34[[Total Charge]:[Total Charge]])</f>
        <v>0</v>
      </c>
      <c r="J68">
        <f>(AF30_ByRubLot[[#This Row],[41-50]]/AF30_ByRubLot34[[Total Charge]:[Total Charge]])</f>
        <v>0</v>
      </c>
      <c r="K68">
        <f>(AF30_ByRubLot[[#This Row],[51-60]]/AF30_ByRubLot34[[Total Charge]:[Total Charge]])</f>
        <v>0</v>
      </c>
      <c r="L68">
        <f>(AF30_ByRubLot[[#This Row],[61-70]]/AF30_ByRubLot34[[Total Charge]:[Total Charge]])</f>
        <v>0.33333333333333331</v>
      </c>
      <c r="M68">
        <f>(AF30_ByRubLot[[#This Row],[71-80]]/AF30_ByRubLot34[[Total Charge]:[Total Charge]])</f>
        <v>0.16666666666666666</v>
      </c>
      <c r="N68">
        <f>(AF30_ByRubLot[[#This Row],[81-90]]/AF30_ByRubLot34[[Total Charge]:[Total Charge]])</f>
        <v>0.33333333333333331</v>
      </c>
      <c r="O68">
        <f>(AF30_ByRubLot[[#This Row],[91-100]]/AF30_ByRubLot34[[Total Charge]:[Total Charge]])</f>
        <v>0</v>
      </c>
      <c r="P68">
        <f>(AF30_ByRubLot[[#This Row],[101-110]]/AF30_ByRubLot34[[Total Charge]:[Total Charge]])</f>
        <v>0</v>
      </c>
      <c r="Q68">
        <f>(AF30_ByRubLot[[#This Row],[111-120]]/AF30_ByRubLot34[[Total Charge]:[Total Charge]])</f>
        <v>0</v>
      </c>
      <c r="R68">
        <f>(AF30_ByRubLot[[#This Row],[121-130]]/AF30_ByRubLot34[[Total Charge]:[Total Charge]])</f>
        <v>0</v>
      </c>
      <c r="S68">
        <f>(AF30_ByRubLot[[#This Row],[131-140]]/AF30_ByRubLot34[[Total Charge]:[Total Charge]])</f>
        <v>0</v>
      </c>
      <c r="T68">
        <v>0</v>
      </c>
      <c r="U68">
        <v>0</v>
      </c>
      <c r="V68" t="s">
        <v>35</v>
      </c>
      <c r="W68">
        <v>6</v>
      </c>
      <c r="X68" s="114"/>
      <c r="Y68">
        <v>669.44444444444446</v>
      </c>
      <c r="Z68">
        <v>258.33326</v>
      </c>
      <c r="AA68">
        <f t="shared" si="2"/>
        <v>38.589200663900414</v>
      </c>
      <c r="AB68">
        <f>SUM(AF30_ByRubLot34[[#This Row],[0-10]:[131-140]])</f>
        <v>0.83333333333333326</v>
      </c>
    </row>
    <row r="69" spans="1:28" x14ac:dyDescent="0.25">
      <c r="A69" t="str">
        <f>'Data From Lance'!$A$35</f>
        <v>1D09L01</v>
      </c>
      <c r="B69" s="146" t="s">
        <v>206</v>
      </c>
      <c r="C69" s="148">
        <v>2011</v>
      </c>
      <c r="D69" s="151" t="str">
        <f>MID(AF30_ByRubLot34[[#This Row],[AF-30 Lot]],2,3)</f>
        <v>063</v>
      </c>
      <c r="E69" s="151" t="str">
        <f>CONCATENATE(RIGHT(AF30_ByRubLot34[[#This Row],[Year of Production]],2),AF30_ByRubLot34[[#This Row],[Julian Date Jumbo Production]])</f>
        <v>11063</v>
      </c>
      <c r="F69">
        <f>(AF30_ByRubLot[[#This Row],[0-10]]/AF30_ByRubLot34[[Total Charge]:[Total Charge]])</f>
        <v>0</v>
      </c>
      <c r="G69">
        <f>(AF30_ByRubLot[[#This Row],[11-20]]/AF30_ByRubLot34[[Total Charge]:[Total Charge]])</f>
        <v>0</v>
      </c>
      <c r="H69">
        <f>(AF30_ByRubLot[[#This Row],[21-30]]/AF30_ByRubLot34[[Total Charge]:[Total Charge]])</f>
        <v>0</v>
      </c>
      <c r="I69">
        <f>(AF30_ByRubLot[[#This Row],[31-40]]/AF30_ByRubLot34[[Total Charge]:[Total Charge]])</f>
        <v>0</v>
      </c>
      <c r="J69">
        <f>(AF30_ByRubLot[[#This Row],[41-50]]/AF30_ByRubLot34[[Total Charge]:[Total Charge]])</f>
        <v>0</v>
      </c>
      <c r="K69">
        <f>(AF30_ByRubLot[[#This Row],[51-60]]/AF30_ByRubLot34[[Total Charge]:[Total Charge]])</f>
        <v>0</v>
      </c>
      <c r="L69">
        <f>(AF30_ByRubLot[[#This Row],[61-70]]/AF30_ByRubLot34[[Total Charge]:[Total Charge]])</f>
        <v>0.4</v>
      </c>
      <c r="M69">
        <f>(AF30_ByRubLot[[#This Row],[71-80]]/AF30_ByRubLot34[[Total Charge]:[Total Charge]])</f>
        <v>0.2</v>
      </c>
      <c r="N69">
        <f>(AF30_ByRubLot[[#This Row],[81-90]]/AF30_ByRubLot34[[Total Charge]:[Total Charge]])</f>
        <v>0.4</v>
      </c>
      <c r="O69">
        <f>(AF30_ByRubLot[[#This Row],[91-100]]/AF30_ByRubLot34[[Total Charge]:[Total Charge]])</f>
        <v>0</v>
      </c>
      <c r="P69">
        <f>(AF30_ByRubLot[[#This Row],[101-110]]/AF30_ByRubLot34[[Total Charge]:[Total Charge]])</f>
        <v>0</v>
      </c>
      <c r="Q69">
        <f>(AF30_ByRubLot[[#This Row],[111-120]]/AF30_ByRubLot34[[Total Charge]:[Total Charge]])</f>
        <v>0</v>
      </c>
      <c r="R69">
        <f>(AF30_ByRubLot[[#This Row],[121-130]]/AF30_ByRubLot34[[Total Charge]:[Total Charge]])</f>
        <v>0</v>
      </c>
      <c r="S69">
        <f>(AF30_ByRubLot[[#This Row],[131-140]]/AF30_ByRubLot34[[Total Charge]:[Total Charge]])</f>
        <v>0</v>
      </c>
      <c r="T69">
        <v>1</v>
      </c>
      <c r="U69">
        <v>1</v>
      </c>
      <c r="V69" t="s">
        <v>77</v>
      </c>
      <c r="W69">
        <v>5</v>
      </c>
      <c r="X69" s="113"/>
      <c r="Y69" s="146">
        <v>688.88888888888891</v>
      </c>
      <c r="Z69">
        <v>120</v>
      </c>
      <c r="AA69">
        <f t="shared" si="2"/>
        <v>17.419354838709676</v>
      </c>
      <c r="AB69">
        <f>SUM(AF30_ByRubLot34[[#This Row],[0-10]:[131-140]])</f>
        <v>1</v>
      </c>
    </row>
    <row r="70" spans="1:28" x14ac:dyDescent="0.25">
      <c r="A70" t="str">
        <f>'Data From Lance'!$A$35</f>
        <v>1D09L01</v>
      </c>
      <c r="B70" s="146" t="s">
        <v>205</v>
      </c>
      <c r="C70" s="148">
        <v>2011</v>
      </c>
      <c r="D70" s="151" t="str">
        <f>MID(AF30_ByRubLot34[[#This Row],[AF-30 Lot]],2,3)</f>
        <v>074</v>
      </c>
      <c r="E70" s="151" t="str">
        <f>CONCATENATE(RIGHT(AF30_ByRubLot34[[#This Row],[Year of Production]],2),AF30_ByRubLot34[[#This Row],[Julian Date Jumbo Production]])</f>
        <v>11074</v>
      </c>
      <c r="F70">
        <f>(AF30_ByRubLot[[#This Row],[0-10]]/AF30_ByRubLot34[[Total Charge]:[Total Charge]])</f>
        <v>0</v>
      </c>
      <c r="G70">
        <f>(AF30_ByRubLot[[#This Row],[11-20]]/AF30_ByRubLot34[[Total Charge]:[Total Charge]])</f>
        <v>0</v>
      </c>
      <c r="H70">
        <f>(AF30_ByRubLot[[#This Row],[21-30]]/AF30_ByRubLot34[[Total Charge]:[Total Charge]])</f>
        <v>0</v>
      </c>
      <c r="I70">
        <f>(AF30_ByRubLot[[#This Row],[31-40]]/AF30_ByRubLot34[[Total Charge]:[Total Charge]])</f>
        <v>0</v>
      </c>
      <c r="J70">
        <f>(AF30_ByRubLot[[#This Row],[41-50]]/AF30_ByRubLot34[[Total Charge]:[Total Charge]])</f>
        <v>0</v>
      </c>
      <c r="K70">
        <f>(AF30_ByRubLot[[#This Row],[51-60]]/AF30_ByRubLot34[[Total Charge]:[Total Charge]])</f>
        <v>0</v>
      </c>
      <c r="L70">
        <f>(AF30_ByRubLot[[#This Row],[61-70]]/AF30_ByRubLot34[[Total Charge]:[Total Charge]])</f>
        <v>0.4</v>
      </c>
      <c r="M70">
        <f>(AF30_ByRubLot[[#This Row],[71-80]]/AF30_ByRubLot34[[Total Charge]:[Total Charge]])</f>
        <v>0.2</v>
      </c>
      <c r="N70">
        <f>(AF30_ByRubLot[[#This Row],[81-90]]/AF30_ByRubLot34[[Total Charge]:[Total Charge]])</f>
        <v>0.4</v>
      </c>
      <c r="O70">
        <f>(AF30_ByRubLot[[#This Row],[91-100]]/AF30_ByRubLot34[[Total Charge]:[Total Charge]])</f>
        <v>0</v>
      </c>
      <c r="P70">
        <f>(AF30_ByRubLot[[#This Row],[101-110]]/AF30_ByRubLot34[[Total Charge]:[Total Charge]])</f>
        <v>0</v>
      </c>
      <c r="Q70">
        <f>(AF30_ByRubLot[[#This Row],[111-120]]/AF30_ByRubLot34[[Total Charge]:[Total Charge]])</f>
        <v>0</v>
      </c>
      <c r="R70">
        <f>(AF30_ByRubLot[[#This Row],[121-130]]/AF30_ByRubLot34[[Total Charge]:[Total Charge]])</f>
        <v>0</v>
      </c>
      <c r="S70">
        <f>(AF30_ByRubLot[[#This Row],[131-140]]/AF30_ByRubLot34[[Total Charge]:[Total Charge]])</f>
        <v>0</v>
      </c>
      <c r="T70">
        <v>1</v>
      </c>
      <c r="U70">
        <v>1</v>
      </c>
      <c r="V70" t="s">
        <v>77</v>
      </c>
      <c r="W70">
        <v>5</v>
      </c>
      <c r="X70" s="113"/>
      <c r="Y70" s="146">
        <v>1392.2222222222222</v>
      </c>
      <c r="Z70">
        <v>920</v>
      </c>
      <c r="AA70">
        <f t="shared" si="2"/>
        <v>66.081404628890667</v>
      </c>
      <c r="AB70">
        <f>SUM(AF30_ByRubLot34[[#This Row],[0-10]:[131-140]])</f>
        <v>1</v>
      </c>
    </row>
    <row r="71" spans="1:28" x14ac:dyDescent="0.25">
      <c r="A71" t="str">
        <f>'Data From Lance'!$A$35</f>
        <v>1D09L01</v>
      </c>
      <c r="B71" s="146" t="s">
        <v>204</v>
      </c>
      <c r="C71" s="148">
        <v>2011</v>
      </c>
      <c r="D71" s="151" t="str">
        <f>MID(AF30_ByRubLot34[[#This Row],[AF-30 Lot]],2,3)</f>
        <v>087</v>
      </c>
      <c r="E71" s="151" t="str">
        <f>CONCATENATE(RIGHT(AF30_ByRubLot34[[#This Row],[Year of Production]],2),AF30_ByRubLot34[[#This Row],[Julian Date Jumbo Production]])</f>
        <v>11087</v>
      </c>
      <c r="F71">
        <f>(AF30_ByRubLot[[#This Row],[0-10]]/AF30_ByRubLot34[[Total Charge]:[Total Charge]])</f>
        <v>0</v>
      </c>
      <c r="G71">
        <f>(AF30_ByRubLot[[#This Row],[11-20]]/AF30_ByRubLot34[[Total Charge]:[Total Charge]])</f>
        <v>0</v>
      </c>
      <c r="H71">
        <f>(AF30_ByRubLot[[#This Row],[21-30]]/AF30_ByRubLot34[[Total Charge]:[Total Charge]])</f>
        <v>0</v>
      </c>
      <c r="I71">
        <f>(AF30_ByRubLot[[#This Row],[31-40]]/AF30_ByRubLot34[[Total Charge]:[Total Charge]])</f>
        <v>0</v>
      </c>
      <c r="J71">
        <f>(AF30_ByRubLot[[#This Row],[41-50]]/AF30_ByRubLot34[[Total Charge]:[Total Charge]])</f>
        <v>0</v>
      </c>
      <c r="K71">
        <f>(AF30_ByRubLot[[#This Row],[51-60]]/AF30_ByRubLot34[[Total Charge]:[Total Charge]])</f>
        <v>0</v>
      </c>
      <c r="L71">
        <f>(AF30_ByRubLot[[#This Row],[61-70]]/AF30_ByRubLot34[[Total Charge]:[Total Charge]])</f>
        <v>0.4</v>
      </c>
      <c r="M71">
        <f>(AF30_ByRubLot[[#This Row],[71-80]]/AF30_ByRubLot34[[Total Charge]:[Total Charge]])</f>
        <v>0.2</v>
      </c>
      <c r="N71">
        <f>(AF30_ByRubLot[[#This Row],[81-90]]/AF30_ByRubLot34[[Total Charge]:[Total Charge]])</f>
        <v>0.4</v>
      </c>
      <c r="O71">
        <f>(AF30_ByRubLot[[#This Row],[91-100]]/AF30_ByRubLot34[[Total Charge]:[Total Charge]])</f>
        <v>0</v>
      </c>
      <c r="P71">
        <f>(AF30_ByRubLot[[#This Row],[101-110]]/AF30_ByRubLot34[[Total Charge]:[Total Charge]])</f>
        <v>0</v>
      </c>
      <c r="Q71">
        <f>(AF30_ByRubLot[[#This Row],[111-120]]/AF30_ByRubLot34[[Total Charge]:[Total Charge]])</f>
        <v>0</v>
      </c>
      <c r="R71">
        <f>(AF30_ByRubLot[[#This Row],[121-130]]/AF30_ByRubLot34[[Total Charge]:[Total Charge]])</f>
        <v>0</v>
      </c>
      <c r="S71">
        <f>(AF30_ByRubLot[[#This Row],[131-140]]/AF30_ByRubLot34[[Total Charge]:[Total Charge]])</f>
        <v>0</v>
      </c>
      <c r="T71">
        <v>1</v>
      </c>
      <c r="U71">
        <v>1</v>
      </c>
      <c r="V71" t="s">
        <v>77</v>
      </c>
      <c r="W71">
        <v>5</v>
      </c>
      <c r="X71" s="113"/>
      <c r="Y71" s="146">
        <v>1451.6666666666665</v>
      </c>
      <c r="Z71">
        <v>883.33331999999996</v>
      </c>
      <c r="AA71">
        <f t="shared" si="2"/>
        <v>60.849597244546501</v>
      </c>
      <c r="AB71">
        <f>SUM(AF30_ByRubLot34[[#This Row],[0-10]:[131-140]])</f>
        <v>1</v>
      </c>
    </row>
    <row r="72" spans="1:28" x14ac:dyDescent="0.25">
      <c r="A72" t="str">
        <f>'Data From Lance'!$A$35</f>
        <v>1D09L01</v>
      </c>
      <c r="B72" s="146" t="s">
        <v>203</v>
      </c>
      <c r="C72" s="148">
        <v>2011</v>
      </c>
      <c r="D72" s="151" t="str">
        <f>MID(AF30_ByRubLot34[[#This Row],[AF-30 Lot]],2,3)</f>
        <v>121</v>
      </c>
      <c r="E72" s="151" t="str">
        <f>CONCATENATE(RIGHT(AF30_ByRubLot34[[#This Row],[Year of Production]],2),AF30_ByRubLot34[[#This Row],[Julian Date Jumbo Production]])</f>
        <v>11121</v>
      </c>
      <c r="F72">
        <f>(AF30_ByRubLot[[#This Row],[0-10]]/AF30_ByRubLot34[[Total Charge]:[Total Charge]])</f>
        <v>0</v>
      </c>
      <c r="G72">
        <f>(AF30_ByRubLot[[#This Row],[11-20]]/AF30_ByRubLot34[[Total Charge]:[Total Charge]])</f>
        <v>0</v>
      </c>
      <c r="H72">
        <f>(AF30_ByRubLot[[#This Row],[21-30]]/AF30_ByRubLot34[[Total Charge]:[Total Charge]])</f>
        <v>0</v>
      </c>
      <c r="I72">
        <f>(AF30_ByRubLot[[#This Row],[31-40]]/AF30_ByRubLot34[[Total Charge]:[Total Charge]])</f>
        <v>0</v>
      </c>
      <c r="J72">
        <f>(AF30_ByRubLot[[#This Row],[41-50]]/AF30_ByRubLot34[[Total Charge]:[Total Charge]])</f>
        <v>0</v>
      </c>
      <c r="K72">
        <f>(AF30_ByRubLot[[#This Row],[51-60]]/AF30_ByRubLot34[[Total Charge]:[Total Charge]])</f>
        <v>0</v>
      </c>
      <c r="L72">
        <f>(AF30_ByRubLot[[#This Row],[61-70]]/AF30_ByRubLot34[[Total Charge]:[Total Charge]])</f>
        <v>0.4</v>
      </c>
      <c r="M72">
        <f>(AF30_ByRubLot[[#This Row],[71-80]]/AF30_ByRubLot34[[Total Charge]:[Total Charge]])</f>
        <v>0.2</v>
      </c>
      <c r="N72">
        <f>(AF30_ByRubLot[[#This Row],[81-90]]/AF30_ByRubLot34[[Total Charge]:[Total Charge]])</f>
        <v>0.4</v>
      </c>
      <c r="O72">
        <f>(AF30_ByRubLot[[#This Row],[91-100]]/AF30_ByRubLot34[[Total Charge]:[Total Charge]])</f>
        <v>0</v>
      </c>
      <c r="P72">
        <f>(AF30_ByRubLot[[#This Row],[101-110]]/AF30_ByRubLot34[[Total Charge]:[Total Charge]])</f>
        <v>0</v>
      </c>
      <c r="Q72">
        <f>(AF30_ByRubLot[[#This Row],[111-120]]/AF30_ByRubLot34[[Total Charge]:[Total Charge]])</f>
        <v>0</v>
      </c>
      <c r="R72">
        <f>(AF30_ByRubLot[[#This Row],[121-130]]/AF30_ByRubLot34[[Total Charge]:[Total Charge]])</f>
        <v>0</v>
      </c>
      <c r="S72">
        <f>(AF30_ByRubLot[[#This Row],[131-140]]/AF30_ByRubLot34[[Total Charge]:[Total Charge]])</f>
        <v>0</v>
      </c>
      <c r="T72">
        <v>1</v>
      </c>
      <c r="U72">
        <v>1</v>
      </c>
      <c r="V72" t="s">
        <v>77</v>
      </c>
      <c r="W72">
        <v>5</v>
      </c>
      <c r="X72" s="113"/>
      <c r="Y72" s="146">
        <v>1988.8888888888887</v>
      </c>
      <c r="Z72">
        <v>1080</v>
      </c>
      <c r="AA72">
        <f t="shared" si="2"/>
        <v>54.301675977653638</v>
      </c>
      <c r="AB72">
        <f>SUM(AF30_ByRubLot34[[#This Row],[0-10]:[131-140]])</f>
        <v>1</v>
      </c>
    </row>
    <row r="73" spans="1:28" x14ac:dyDescent="0.25">
      <c r="A73" t="s">
        <v>19</v>
      </c>
      <c r="B73" s="146" t="s">
        <v>211</v>
      </c>
      <c r="C73" s="148">
        <v>2011</v>
      </c>
      <c r="D73" s="151" t="str">
        <f>MID(AF30_ByRubLot34[[#This Row],[AF-30 Lot]],2,3)</f>
        <v>146</v>
      </c>
      <c r="E73" s="151" t="str">
        <f>CONCATENATE(RIGHT(AF30_ByRubLot34[[#This Row],[Year of Production]],2),AF30_ByRubLot34[[#This Row],[Julian Date Jumbo Production]])</f>
        <v>11146</v>
      </c>
      <c r="F73">
        <f>(AF30_ByRubLot[[#This Row],[0-10]]/AF30_ByRubLot34[[Total Charge]:[Total Charge]])</f>
        <v>0</v>
      </c>
      <c r="G73">
        <f>(AF30_ByRubLot[[#This Row],[11-20]]/AF30_ByRubLot34[[Total Charge]:[Total Charge]])</f>
        <v>0</v>
      </c>
      <c r="H73">
        <f>(AF30_ByRubLot[[#This Row],[21-30]]/AF30_ByRubLot34[[Total Charge]:[Total Charge]])</f>
        <v>0</v>
      </c>
      <c r="I73">
        <f>(AF30_ByRubLot[[#This Row],[31-40]]/AF30_ByRubLot34[[Total Charge]:[Total Charge]])</f>
        <v>0</v>
      </c>
      <c r="J73">
        <f>(AF30_ByRubLot[[#This Row],[41-50]]/AF30_ByRubLot34[[Total Charge]:[Total Charge]])</f>
        <v>0</v>
      </c>
      <c r="K73">
        <f>(AF30_ByRubLot[[#This Row],[51-60]]/AF30_ByRubLot34[[Total Charge]:[Total Charge]])</f>
        <v>0</v>
      </c>
      <c r="L73">
        <f>(AF30_ByRubLot[[#This Row],[61-70]]/AF30_ByRubLot34[[Total Charge]:[Total Charge]])</f>
        <v>0.33333333333333331</v>
      </c>
      <c r="M73">
        <f>(AF30_ByRubLot[[#This Row],[71-80]]/AF30_ByRubLot34[[Total Charge]:[Total Charge]])</f>
        <v>0.16666666666666666</v>
      </c>
      <c r="N73">
        <f>(AF30_ByRubLot[[#This Row],[81-90]]/AF30_ByRubLot34[[Total Charge]:[Total Charge]])</f>
        <v>0.33333333333333331</v>
      </c>
      <c r="O73">
        <f>(AF30_ByRubLot[[#This Row],[91-100]]/AF30_ByRubLot34[[Total Charge]:[Total Charge]])</f>
        <v>0</v>
      </c>
      <c r="P73">
        <f>(AF30_ByRubLot[[#This Row],[101-110]]/AF30_ByRubLot34[[Total Charge]:[Total Charge]])</f>
        <v>0</v>
      </c>
      <c r="Q73">
        <f>(AF30_ByRubLot[[#This Row],[111-120]]/AF30_ByRubLot34[[Total Charge]:[Total Charge]])</f>
        <v>0</v>
      </c>
      <c r="R73">
        <f>(AF30_ByRubLot[[#This Row],[121-130]]/AF30_ByRubLot34[[Total Charge]:[Total Charge]])</f>
        <v>0</v>
      </c>
      <c r="S73">
        <f>(AF30_ByRubLot[[#This Row],[131-140]]/AF30_ByRubLot34[[Total Charge]:[Total Charge]])</f>
        <v>0</v>
      </c>
      <c r="T73">
        <v>0</v>
      </c>
      <c r="U73">
        <v>0</v>
      </c>
      <c r="V73" t="s">
        <v>35</v>
      </c>
      <c r="W73">
        <v>6</v>
      </c>
      <c r="X73" s="114"/>
      <c r="Y73">
        <v>1919.4444444444446</v>
      </c>
      <c r="Z73">
        <v>1344</v>
      </c>
      <c r="AA73">
        <f t="shared" si="2"/>
        <v>70.020260492040521</v>
      </c>
      <c r="AB73">
        <f>SUM(AF30_ByRubLot34[[#This Row],[0-10]:[131-140]])</f>
        <v>0.83333333333333326</v>
      </c>
    </row>
    <row r="74" spans="1:28" x14ac:dyDescent="0.25">
      <c r="A74" t="str">
        <f>'Data From Lance'!$A$35</f>
        <v>1D09L01</v>
      </c>
      <c r="B74" s="146" t="s">
        <v>202</v>
      </c>
      <c r="C74" s="148">
        <v>2011</v>
      </c>
      <c r="D74" s="151" t="str">
        <f>MID(AF30_ByRubLot34[[#This Row],[AF-30 Lot]],2,3)</f>
        <v>174</v>
      </c>
      <c r="E74" s="151" t="str">
        <f>CONCATENATE(RIGHT(AF30_ByRubLot34[[#This Row],[Year of Production]],2),AF30_ByRubLot34[[#This Row],[Julian Date Jumbo Production]])</f>
        <v>11174</v>
      </c>
      <c r="F74">
        <f>(AF30_ByRubLot[[#This Row],[0-10]]/AF30_ByRubLot34[[Total Charge]:[Total Charge]])</f>
        <v>0</v>
      </c>
      <c r="G74">
        <f>(AF30_ByRubLot[[#This Row],[11-20]]/AF30_ByRubLot34[[Total Charge]:[Total Charge]])</f>
        <v>0</v>
      </c>
      <c r="H74">
        <f>(AF30_ByRubLot[[#This Row],[21-30]]/AF30_ByRubLot34[[Total Charge]:[Total Charge]])</f>
        <v>0</v>
      </c>
      <c r="I74">
        <f>(AF30_ByRubLot[[#This Row],[31-40]]/AF30_ByRubLot34[[Total Charge]:[Total Charge]])</f>
        <v>0</v>
      </c>
      <c r="J74">
        <f>(AF30_ByRubLot[[#This Row],[41-50]]/AF30_ByRubLot34[[Total Charge]:[Total Charge]])</f>
        <v>0</v>
      </c>
      <c r="K74">
        <f>(AF30_ByRubLot[[#This Row],[51-60]]/AF30_ByRubLot34[[Total Charge]:[Total Charge]])</f>
        <v>0</v>
      </c>
      <c r="L74">
        <f>(AF30_ByRubLot[[#This Row],[61-70]]/AF30_ByRubLot34[[Total Charge]:[Total Charge]])</f>
        <v>0.4</v>
      </c>
      <c r="M74">
        <f>(AF30_ByRubLot[[#This Row],[71-80]]/AF30_ByRubLot34[[Total Charge]:[Total Charge]])</f>
        <v>0.2</v>
      </c>
      <c r="N74">
        <f>(AF30_ByRubLot[[#This Row],[81-90]]/AF30_ByRubLot34[[Total Charge]:[Total Charge]])</f>
        <v>0.4</v>
      </c>
      <c r="O74">
        <f>(AF30_ByRubLot[[#This Row],[91-100]]/AF30_ByRubLot34[[Total Charge]:[Total Charge]])</f>
        <v>0</v>
      </c>
      <c r="P74">
        <f>(AF30_ByRubLot[[#This Row],[101-110]]/AF30_ByRubLot34[[Total Charge]:[Total Charge]])</f>
        <v>0</v>
      </c>
      <c r="Q74">
        <f>(AF30_ByRubLot[[#This Row],[111-120]]/AF30_ByRubLot34[[Total Charge]:[Total Charge]])</f>
        <v>0</v>
      </c>
      <c r="R74">
        <f>(AF30_ByRubLot[[#This Row],[121-130]]/AF30_ByRubLot34[[Total Charge]:[Total Charge]])</f>
        <v>0</v>
      </c>
      <c r="S74">
        <f>(AF30_ByRubLot[[#This Row],[131-140]]/AF30_ByRubLot34[[Total Charge]:[Total Charge]])</f>
        <v>0</v>
      </c>
      <c r="T74">
        <v>1</v>
      </c>
      <c r="U74">
        <v>1</v>
      </c>
      <c r="V74" t="s">
        <v>77</v>
      </c>
      <c r="W74">
        <v>5</v>
      </c>
      <c r="X74" s="113"/>
      <c r="Y74" s="146">
        <v>1888.8888888888891</v>
      </c>
      <c r="Z74">
        <v>1480</v>
      </c>
      <c r="AA74">
        <f t="shared" si="2"/>
        <v>78.35294117647058</v>
      </c>
      <c r="AB74">
        <f>SUM(AF30_ByRubLot34[[#This Row],[0-10]:[131-140]])</f>
        <v>1</v>
      </c>
    </row>
    <row r="75" spans="1:28" x14ac:dyDescent="0.25">
      <c r="A75" t="str">
        <f>'Data From Lance'!$A$35</f>
        <v>1D09L01</v>
      </c>
      <c r="B75" s="146" t="s">
        <v>201</v>
      </c>
      <c r="C75" s="148">
        <v>2011</v>
      </c>
      <c r="D75" s="151" t="str">
        <f>MID(AF30_ByRubLot34[[#This Row],[AF-30 Lot]],2,3)</f>
        <v>205</v>
      </c>
      <c r="E75" s="151" t="str">
        <f>CONCATENATE(RIGHT(AF30_ByRubLot34[[#This Row],[Year of Production]],2),AF30_ByRubLot34[[#This Row],[Julian Date Jumbo Production]])</f>
        <v>11205</v>
      </c>
      <c r="F75">
        <f>(AF30_ByRubLot[[#This Row],[0-10]]/AF30_ByRubLot34[[Total Charge]:[Total Charge]])</f>
        <v>0</v>
      </c>
      <c r="G75">
        <f>(AF30_ByRubLot[[#This Row],[11-20]]/AF30_ByRubLot34[[Total Charge]:[Total Charge]])</f>
        <v>0</v>
      </c>
      <c r="H75">
        <f>(AF30_ByRubLot[[#This Row],[21-30]]/AF30_ByRubLot34[[Total Charge]:[Total Charge]])</f>
        <v>0</v>
      </c>
      <c r="I75">
        <f>(AF30_ByRubLot[[#This Row],[31-40]]/AF30_ByRubLot34[[Total Charge]:[Total Charge]])</f>
        <v>0</v>
      </c>
      <c r="J75">
        <f>(AF30_ByRubLot[[#This Row],[41-50]]/AF30_ByRubLot34[[Total Charge]:[Total Charge]])</f>
        <v>0</v>
      </c>
      <c r="K75">
        <f>(AF30_ByRubLot[[#This Row],[51-60]]/AF30_ByRubLot34[[Total Charge]:[Total Charge]])</f>
        <v>0</v>
      </c>
      <c r="L75">
        <f>(AF30_ByRubLot[[#This Row],[61-70]]/AF30_ByRubLot34[[Total Charge]:[Total Charge]])</f>
        <v>0.4</v>
      </c>
      <c r="M75">
        <f>(AF30_ByRubLot[[#This Row],[71-80]]/AF30_ByRubLot34[[Total Charge]:[Total Charge]])</f>
        <v>0.2</v>
      </c>
      <c r="N75">
        <f>(AF30_ByRubLot[[#This Row],[81-90]]/AF30_ByRubLot34[[Total Charge]:[Total Charge]])</f>
        <v>0.4</v>
      </c>
      <c r="O75">
        <f>(AF30_ByRubLot[[#This Row],[91-100]]/AF30_ByRubLot34[[Total Charge]:[Total Charge]])</f>
        <v>0</v>
      </c>
      <c r="P75">
        <f>(AF30_ByRubLot[[#This Row],[101-110]]/AF30_ByRubLot34[[Total Charge]:[Total Charge]])</f>
        <v>0</v>
      </c>
      <c r="Q75">
        <f>(AF30_ByRubLot[[#This Row],[111-120]]/AF30_ByRubLot34[[Total Charge]:[Total Charge]])</f>
        <v>0</v>
      </c>
      <c r="R75">
        <f>(AF30_ByRubLot[[#This Row],[121-130]]/AF30_ByRubLot34[[Total Charge]:[Total Charge]])</f>
        <v>0</v>
      </c>
      <c r="S75">
        <f>(AF30_ByRubLot[[#This Row],[131-140]]/AF30_ByRubLot34[[Total Charge]:[Total Charge]])</f>
        <v>0</v>
      </c>
      <c r="T75">
        <v>1</v>
      </c>
      <c r="U75">
        <v>1</v>
      </c>
      <c r="V75" t="s">
        <v>77</v>
      </c>
      <c r="W75">
        <v>5</v>
      </c>
      <c r="X75" s="113"/>
      <c r="Y75" s="146">
        <v>3522.2222222222226</v>
      </c>
      <c r="Z75">
        <v>1280</v>
      </c>
      <c r="AA75">
        <f t="shared" si="2"/>
        <v>36.340694006309143</v>
      </c>
      <c r="AB75">
        <f>SUM(AF30_ByRubLot34[[#This Row],[0-10]:[131-140]])</f>
        <v>1</v>
      </c>
    </row>
    <row r="76" spans="1:28" x14ac:dyDescent="0.25">
      <c r="A76" t="s">
        <v>19</v>
      </c>
      <c r="B76" s="146" t="s">
        <v>210</v>
      </c>
      <c r="C76" s="148">
        <v>2011</v>
      </c>
      <c r="D76" s="151" t="str">
        <f>MID(AF30_ByRubLot34[[#This Row],[AF-30 Lot]],2,3)</f>
        <v>208</v>
      </c>
      <c r="E76" s="151" t="str">
        <f>CONCATENATE(RIGHT(AF30_ByRubLot34[[#This Row],[Year of Production]],2),AF30_ByRubLot34[[#This Row],[Julian Date Jumbo Production]])</f>
        <v>11208</v>
      </c>
      <c r="F76">
        <f>(AF30_ByRubLot[[#This Row],[0-10]]/AF30_ByRubLot34[[Total Charge]:[Total Charge]])</f>
        <v>0</v>
      </c>
      <c r="G76">
        <f>(AF30_ByRubLot[[#This Row],[11-20]]/AF30_ByRubLot34[[Total Charge]:[Total Charge]])</f>
        <v>0</v>
      </c>
      <c r="H76">
        <f>(AF30_ByRubLot[[#This Row],[21-30]]/AF30_ByRubLot34[[Total Charge]:[Total Charge]])</f>
        <v>0</v>
      </c>
      <c r="I76">
        <f>(AF30_ByRubLot[[#This Row],[31-40]]/AF30_ByRubLot34[[Total Charge]:[Total Charge]])</f>
        <v>0</v>
      </c>
      <c r="J76">
        <f>(AF30_ByRubLot[[#This Row],[41-50]]/AF30_ByRubLot34[[Total Charge]:[Total Charge]])</f>
        <v>0</v>
      </c>
      <c r="K76">
        <f>(AF30_ByRubLot[[#This Row],[51-60]]/AF30_ByRubLot34[[Total Charge]:[Total Charge]])</f>
        <v>0</v>
      </c>
      <c r="L76">
        <f>(AF30_ByRubLot[[#This Row],[61-70]]/AF30_ByRubLot34[[Total Charge]:[Total Charge]])</f>
        <v>0.33333333333333331</v>
      </c>
      <c r="M76">
        <f>(AF30_ByRubLot[[#This Row],[71-80]]/AF30_ByRubLot34[[Total Charge]:[Total Charge]])</f>
        <v>0.16666666666666666</v>
      </c>
      <c r="N76">
        <f>(AF30_ByRubLot[[#This Row],[81-90]]/AF30_ByRubLot34[[Total Charge]:[Total Charge]])</f>
        <v>0.33333333333333331</v>
      </c>
      <c r="O76">
        <f>(AF30_ByRubLot[[#This Row],[91-100]]/AF30_ByRubLot34[[Total Charge]:[Total Charge]])</f>
        <v>0</v>
      </c>
      <c r="P76">
        <f>(AF30_ByRubLot[[#This Row],[101-110]]/AF30_ByRubLot34[[Total Charge]:[Total Charge]])</f>
        <v>0</v>
      </c>
      <c r="Q76">
        <f>(AF30_ByRubLot[[#This Row],[111-120]]/AF30_ByRubLot34[[Total Charge]:[Total Charge]])</f>
        <v>0</v>
      </c>
      <c r="R76">
        <f>(AF30_ByRubLot[[#This Row],[121-130]]/AF30_ByRubLot34[[Total Charge]:[Total Charge]])</f>
        <v>0</v>
      </c>
      <c r="S76">
        <f>(AF30_ByRubLot[[#This Row],[131-140]]/AF30_ByRubLot34[[Total Charge]:[Total Charge]])</f>
        <v>0</v>
      </c>
      <c r="T76">
        <v>0</v>
      </c>
      <c r="U76">
        <v>0</v>
      </c>
      <c r="V76" t="s">
        <v>35</v>
      </c>
      <c r="W76">
        <v>6</v>
      </c>
      <c r="X76" s="114"/>
      <c r="Y76">
        <v>388.88888888888891</v>
      </c>
      <c r="Z76">
        <v>0</v>
      </c>
      <c r="AA76">
        <f t="shared" si="2"/>
        <v>0</v>
      </c>
      <c r="AB76">
        <f>SUM(AF30_ByRubLot34[[#This Row],[0-10]:[131-140]])</f>
        <v>0.83333333333333326</v>
      </c>
    </row>
    <row r="77" spans="1:28" x14ac:dyDescent="0.25">
      <c r="A77" t="str">
        <f>'Data From Lance'!$A$35</f>
        <v>1D09L01</v>
      </c>
      <c r="B77" s="146" t="s">
        <v>200</v>
      </c>
      <c r="C77" s="148">
        <v>2011</v>
      </c>
      <c r="D77" s="151" t="str">
        <f>MID(AF30_ByRubLot34[[#This Row],[AF-30 Lot]],2,3)</f>
        <v>214</v>
      </c>
      <c r="E77" s="151" t="str">
        <f>CONCATENATE(RIGHT(AF30_ByRubLot34[[#This Row],[Year of Production]],2),AF30_ByRubLot34[[#This Row],[Julian Date Jumbo Production]])</f>
        <v>11214</v>
      </c>
      <c r="F77">
        <f>(AF30_ByRubLot[[#This Row],[0-10]]/AF30_ByRubLot34[[Total Charge]:[Total Charge]])</f>
        <v>0</v>
      </c>
      <c r="G77">
        <f>(AF30_ByRubLot[[#This Row],[11-20]]/AF30_ByRubLot34[[Total Charge]:[Total Charge]])</f>
        <v>0</v>
      </c>
      <c r="H77">
        <f>(AF30_ByRubLot[[#This Row],[21-30]]/AF30_ByRubLot34[[Total Charge]:[Total Charge]])</f>
        <v>0</v>
      </c>
      <c r="I77">
        <f>(AF30_ByRubLot[[#This Row],[31-40]]/AF30_ByRubLot34[[Total Charge]:[Total Charge]])</f>
        <v>0</v>
      </c>
      <c r="J77">
        <f>(AF30_ByRubLot[[#This Row],[41-50]]/AF30_ByRubLot34[[Total Charge]:[Total Charge]])</f>
        <v>0</v>
      </c>
      <c r="K77">
        <f>(AF30_ByRubLot[[#This Row],[51-60]]/AF30_ByRubLot34[[Total Charge]:[Total Charge]])</f>
        <v>0</v>
      </c>
      <c r="L77">
        <f>(AF30_ByRubLot[[#This Row],[61-70]]/AF30_ByRubLot34[[Total Charge]:[Total Charge]])</f>
        <v>0.4</v>
      </c>
      <c r="M77">
        <f>(AF30_ByRubLot[[#This Row],[71-80]]/AF30_ByRubLot34[[Total Charge]:[Total Charge]])</f>
        <v>0</v>
      </c>
      <c r="N77">
        <f>(AF30_ByRubLot[[#This Row],[81-90]]/AF30_ByRubLot34[[Total Charge]:[Total Charge]])</f>
        <v>0.4</v>
      </c>
      <c r="O77">
        <f>(AF30_ByRubLot[[#This Row],[91-100]]/AF30_ByRubLot34[[Total Charge]:[Total Charge]])</f>
        <v>0</v>
      </c>
      <c r="P77">
        <f>(AF30_ByRubLot[[#This Row],[101-110]]/AF30_ByRubLot34[[Total Charge]:[Total Charge]])</f>
        <v>0.2</v>
      </c>
      <c r="Q77">
        <f>(AF30_ByRubLot[[#This Row],[111-120]]/AF30_ByRubLot34[[Total Charge]:[Total Charge]])</f>
        <v>0</v>
      </c>
      <c r="R77">
        <f>(AF30_ByRubLot[[#This Row],[121-130]]/AF30_ByRubLot34[[Total Charge]:[Total Charge]])</f>
        <v>0.2</v>
      </c>
      <c r="S77">
        <f>(AF30_ByRubLot[[#This Row],[131-140]]/AF30_ByRubLot34[[Total Charge]:[Total Charge]])</f>
        <v>0</v>
      </c>
      <c r="T77">
        <v>1</v>
      </c>
      <c r="U77">
        <v>1</v>
      </c>
      <c r="V77" t="s">
        <v>77</v>
      </c>
      <c r="W77">
        <v>5</v>
      </c>
      <c r="X77" s="113"/>
      <c r="Y77" s="146">
        <v>627.22222222222217</v>
      </c>
      <c r="Z77">
        <v>0</v>
      </c>
      <c r="AA77">
        <f t="shared" si="2"/>
        <v>0</v>
      </c>
      <c r="AB77">
        <f>SUM(AF30_ByRubLot34[[#This Row],[0-10]:[131-140]])</f>
        <v>1.2</v>
      </c>
    </row>
    <row r="78" spans="1:28" x14ac:dyDescent="0.25">
      <c r="A78" t="s">
        <v>21</v>
      </c>
      <c r="B78" t="s">
        <v>218</v>
      </c>
      <c r="C78" s="148">
        <v>2011</v>
      </c>
      <c r="D78" s="151" t="str">
        <f>MID(AF30_ByRubLot34[[#This Row],[AF-30 Lot]],2,3)</f>
        <v>290</v>
      </c>
      <c r="E78" s="151" t="str">
        <f>CONCATENATE(RIGHT(AF30_ByRubLot34[[#This Row],[Year of Production]],2),AF30_ByRubLot34[[#This Row],[Julian Date Jumbo Production]])</f>
        <v>11290</v>
      </c>
      <c r="F78">
        <f>(AF30_ByRubLot[[#This Row],[0-10]]/AF30_ByRubLot34[[Total Charge]:[Total Charge]])</f>
        <v>0</v>
      </c>
      <c r="G78">
        <f>(AF30_ByRubLot[[#This Row],[11-20]]/AF30_ByRubLot34[[Total Charge]:[Total Charge]])</f>
        <v>0</v>
      </c>
      <c r="H78">
        <f>(AF30_ByRubLot[[#This Row],[21-30]]/AF30_ByRubLot34[[Total Charge]:[Total Charge]])</f>
        <v>0</v>
      </c>
      <c r="I78">
        <f>(AF30_ByRubLot[[#This Row],[31-40]]/AF30_ByRubLot34[[Total Charge]:[Total Charge]])</f>
        <v>0</v>
      </c>
      <c r="J78">
        <f>(AF30_ByRubLot[[#This Row],[41-50]]/AF30_ByRubLot34[[Total Charge]:[Total Charge]])</f>
        <v>0</v>
      </c>
      <c r="K78">
        <f>(AF30_ByRubLot[[#This Row],[51-60]]/AF30_ByRubLot34[[Total Charge]:[Total Charge]])</f>
        <v>0</v>
      </c>
      <c r="L78">
        <f>(AF30_ByRubLot[[#This Row],[61-70]]/AF30_ByRubLot34[[Total Charge]:[Total Charge]])</f>
        <v>0.2</v>
      </c>
      <c r="M78">
        <f>(AF30_ByRubLot[[#This Row],[71-80]]/AF30_ByRubLot34[[Total Charge]:[Total Charge]])</f>
        <v>0</v>
      </c>
      <c r="N78">
        <f>(AF30_ByRubLot[[#This Row],[81-90]]/AF30_ByRubLot34[[Total Charge]:[Total Charge]])</f>
        <v>0.2</v>
      </c>
      <c r="O78">
        <f>(AF30_ByRubLot[[#This Row],[91-100]]/AF30_ByRubLot34[[Total Charge]:[Total Charge]])</f>
        <v>0</v>
      </c>
      <c r="P78">
        <f>(AF30_ByRubLot[[#This Row],[101-110]]/AF30_ByRubLot34[[Total Charge]:[Total Charge]])</f>
        <v>0.1</v>
      </c>
      <c r="Q78">
        <f>(AF30_ByRubLot[[#This Row],[111-120]]/AF30_ByRubLot34[[Total Charge]:[Total Charge]])</f>
        <v>0</v>
      </c>
      <c r="R78">
        <f>(AF30_ByRubLot[[#This Row],[121-130]]/AF30_ByRubLot34[[Total Charge]:[Total Charge]])</f>
        <v>0.1</v>
      </c>
      <c r="S78">
        <f>(AF30_ByRubLot[[#This Row],[131-140]]/AF30_ByRubLot34[[Total Charge]:[Total Charge]])</f>
        <v>0</v>
      </c>
      <c r="T78">
        <v>1</v>
      </c>
      <c r="U78">
        <v>0</v>
      </c>
      <c r="V78" t="s">
        <v>38</v>
      </c>
      <c r="W78">
        <v>10</v>
      </c>
      <c r="X78" s="114"/>
      <c r="Y78">
        <v>2963.8888888888891</v>
      </c>
      <c r="Z78">
        <v>2352</v>
      </c>
      <c r="AA78">
        <f t="shared" si="2"/>
        <v>79.35520149953139</v>
      </c>
      <c r="AB78">
        <f>SUM(AF30_ByRubLot34[[#This Row],[0-10]:[131-140]])</f>
        <v>0.6</v>
      </c>
    </row>
    <row r="79" spans="1:28" x14ac:dyDescent="0.25">
      <c r="A79" t="s">
        <v>21</v>
      </c>
      <c r="B79" t="s">
        <v>217</v>
      </c>
      <c r="C79" s="148">
        <v>2012</v>
      </c>
      <c r="D79" s="151" t="str">
        <f>MID(AF30_ByRubLot34[[#This Row],[AF-30 Lot]],2,3)</f>
        <v>128</v>
      </c>
      <c r="E79" s="151" t="str">
        <f>CONCATENATE(RIGHT(AF30_ByRubLot34[[#This Row],[Year of Production]],2),AF30_ByRubLot34[[#This Row],[Julian Date Jumbo Production]])</f>
        <v>12128</v>
      </c>
      <c r="F79">
        <f>(AF30_ByRubLot[[#This Row],[0-10]]/AF30_ByRubLot34[[Total Charge]:[Total Charge]])</f>
        <v>0</v>
      </c>
      <c r="G79">
        <f>(AF30_ByRubLot[[#This Row],[11-20]]/AF30_ByRubLot34[[Total Charge]:[Total Charge]])</f>
        <v>0</v>
      </c>
      <c r="H79">
        <f>(AF30_ByRubLot[[#This Row],[21-30]]/AF30_ByRubLot34[[Total Charge]:[Total Charge]])</f>
        <v>0</v>
      </c>
      <c r="I79">
        <f>(AF30_ByRubLot[[#This Row],[31-40]]/AF30_ByRubLot34[[Total Charge]:[Total Charge]])</f>
        <v>0</v>
      </c>
      <c r="J79">
        <f>(AF30_ByRubLot[[#This Row],[41-50]]/AF30_ByRubLot34[[Total Charge]:[Total Charge]])</f>
        <v>0</v>
      </c>
      <c r="K79">
        <f>(AF30_ByRubLot[[#This Row],[51-60]]/AF30_ByRubLot34[[Total Charge]:[Total Charge]])</f>
        <v>0</v>
      </c>
      <c r="L79">
        <f>(AF30_ByRubLot[[#This Row],[61-70]]/AF30_ByRubLot34[[Total Charge]:[Total Charge]])</f>
        <v>0.2</v>
      </c>
      <c r="M79">
        <f>(AF30_ByRubLot[[#This Row],[71-80]]/AF30_ByRubLot34[[Total Charge]:[Total Charge]])</f>
        <v>0</v>
      </c>
      <c r="N79">
        <f>(AF30_ByRubLot[[#This Row],[81-90]]/AF30_ByRubLot34[[Total Charge]:[Total Charge]])</f>
        <v>0.2</v>
      </c>
      <c r="O79">
        <f>(AF30_ByRubLot[[#This Row],[91-100]]/AF30_ByRubLot34[[Total Charge]:[Total Charge]])</f>
        <v>0</v>
      </c>
      <c r="P79">
        <f>(AF30_ByRubLot[[#This Row],[101-110]]/AF30_ByRubLot34[[Total Charge]:[Total Charge]])</f>
        <v>0.1</v>
      </c>
      <c r="Q79">
        <f>(AF30_ByRubLot[[#This Row],[111-120]]/AF30_ByRubLot34[[Total Charge]:[Total Charge]])</f>
        <v>0</v>
      </c>
      <c r="R79">
        <f>(AF30_ByRubLot[[#This Row],[121-130]]/AF30_ByRubLot34[[Total Charge]:[Total Charge]])</f>
        <v>0.1</v>
      </c>
      <c r="S79">
        <f>(AF30_ByRubLot[[#This Row],[131-140]]/AF30_ByRubLot34[[Total Charge]:[Total Charge]])</f>
        <v>0</v>
      </c>
      <c r="T79">
        <v>1</v>
      </c>
      <c r="U79">
        <v>0</v>
      </c>
      <c r="V79" t="s">
        <v>38</v>
      </c>
      <c r="W79">
        <v>10</v>
      </c>
      <c r="X79" s="114"/>
      <c r="Y79">
        <v>180.55555555555554</v>
      </c>
      <c r="Z79">
        <v>200</v>
      </c>
      <c r="AA79">
        <f t="shared" si="2"/>
        <v>110.76923076923077</v>
      </c>
      <c r="AB79">
        <f>SUM(AF30_ByRubLot34[[#This Row],[0-10]:[131-140]])</f>
        <v>0.6</v>
      </c>
    </row>
    <row r="80" spans="1:28" x14ac:dyDescent="0.25">
      <c r="A80" t="str">
        <f>'Data From Lance'!$A$35</f>
        <v>1D09L01</v>
      </c>
      <c r="B80" s="146" t="s">
        <v>199</v>
      </c>
      <c r="C80" s="148">
        <v>2012</v>
      </c>
      <c r="D80" s="151" t="str">
        <f>MID(AF30_ByRubLot34[[#This Row],[AF-30 Lot]],2,3)</f>
        <v>130</v>
      </c>
      <c r="E80" s="151" t="str">
        <f>CONCATENATE(RIGHT(AF30_ByRubLot34[[#This Row],[Year of Production]],2),AF30_ByRubLot34[[#This Row],[Julian Date Jumbo Production]])</f>
        <v>12130</v>
      </c>
      <c r="F80">
        <f>(AF30_ByRubLot[[#This Row],[0-10]]/AF30_ByRubLot34[[Total Charge]:[Total Charge]])</f>
        <v>0</v>
      </c>
      <c r="G80">
        <f>(AF30_ByRubLot[[#This Row],[11-20]]/AF30_ByRubLot34[[Total Charge]:[Total Charge]])</f>
        <v>0</v>
      </c>
      <c r="H80">
        <f>(AF30_ByRubLot[[#This Row],[21-30]]/AF30_ByRubLot34[[Total Charge]:[Total Charge]])</f>
        <v>0</v>
      </c>
      <c r="I80">
        <f>(AF30_ByRubLot[[#This Row],[31-40]]/AF30_ByRubLot34[[Total Charge]:[Total Charge]])</f>
        <v>0</v>
      </c>
      <c r="J80">
        <f>(AF30_ByRubLot[[#This Row],[41-50]]/AF30_ByRubLot34[[Total Charge]:[Total Charge]])</f>
        <v>0</v>
      </c>
      <c r="K80">
        <f>(AF30_ByRubLot[[#This Row],[51-60]]/AF30_ByRubLot34[[Total Charge]:[Total Charge]])</f>
        <v>0</v>
      </c>
      <c r="L80">
        <f>(AF30_ByRubLot[[#This Row],[61-70]]/AF30_ByRubLot34[[Total Charge]:[Total Charge]])</f>
        <v>0.4</v>
      </c>
      <c r="M80">
        <f>(AF30_ByRubLot[[#This Row],[71-80]]/AF30_ByRubLot34[[Total Charge]:[Total Charge]])</f>
        <v>0</v>
      </c>
      <c r="N80">
        <f>(AF30_ByRubLot[[#This Row],[81-90]]/AF30_ByRubLot34[[Total Charge]:[Total Charge]])</f>
        <v>0.4</v>
      </c>
      <c r="O80">
        <f>(AF30_ByRubLot[[#This Row],[91-100]]/AF30_ByRubLot34[[Total Charge]:[Total Charge]])</f>
        <v>0</v>
      </c>
      <c r="P80">
        <f>(AF30_ByRubLot[[#This Row],[101-110]]/AF30_ByRubLot34[[Total Charge]:[Total Charge]])</f>
        <v>0.2</v>
      </c>
      <c r="Q80">
        <f>(AF30_ByRubLot[[#This Row],[111-120]]/AF30_ByRubLot34[[Total Charge]:[Total Charge]])</f>
        <v>0</v>
      </c>
      <c r="R80">
        <f>(AF30_ByRubLot[[#This Row],[121-130]]/AF30_ByRubLot34[[Total Charge]:[Total Charge]])</f>
        <v>0.2</v>
      </c>
      <c r="S80">
        <f>(AF30_ByRubLot[[#This Row],[131-140]]/AF30_ByRubLot34[[Total Charge]:[Total Charge]])</f>
        <v>0</v>
      </c>
      <c r="T80">
        <v>1</v>
      </c>
      <c r="U80">
        <v>1</v>
      </c>
      <c r="V80" t="s">
        <v>77</v>
      </c>
      <c r="W80">
        <v>5</v>
      </c>
      <c r="X80" s="113"/>
      <c r="Y80" s="146">
        <v>291.66666666666669</v>
      </c>
      <c r="Z80">
        <v>0</v>
      </c>
      <c r="AA80">
        <f t="shared" si="2"/>
        <v>0</v>
      </c>
      <c r="AB80">
        <f>SUM(AF30_ByRubLot34[[#This Row],[0-10]:[131-140]])</f>
        <v>1.2</v>
      </c>
    </row>
    <row r="81" spans="1:28" x14ac:dyDescent="0.25">
      <c r="A81" t="str">
        <f>'Data From Lance'!$A$35</f>
        <v>1D09L01</v>
      </c>
      <c r="B81" t="s">
        <v>198</v>
      </c>
      <c r="C81" s="148">
        <v>2012</v>
      </c>
      <c r="D81" s="151" t="str">
        <f>MID(AF30_ByRubLot34[[#This Row],[AF-30 Lot]],2,3)</f>
        <v>131</v>
      </c>
      <c r="E81" s="151" t="str">
        <f>CONCATENATE(RIGHT(AF30_ByRubLot34[[#This Row],[Year of Production]],2),AF30_ByRubLot34[[#This Row],[Julian Date Jumbo Production]])</f>
        <v>12131</v>
      </c>
      <c r="F81">
        <f>(AF30_ByRubLot[[#This Row],[0-10]]/AF30_ByRubLot34[[Total Charge]:[Total Charge]])</f>
        <v>0</v>
      </c>
      <c r="G81">
        <f>(AF30_ByRubLot[[#This Row],[11-20]]/AF30_ByRubLot34[[Total Charge]:[Total Charge]])</f>
        <v>0</v>
      </c>
      <c r="H81">
        <f>(AF30_ByRubLot[[#This Row],[21-30]]/AF30_ByRubLot34[[Total Charge]:[Total Charge]])</f>
        <v>0</v>
      </c>
      <c r="I81">
        <f>(AF30_ByRubLot[[#This Row],[31-40]]/AF30_ByRubLot34[[Total Charge]:[Total Charge]])</f>
        <v>0</v>
      </c>
      <c r="J81">
        <f>(AF30_ByRubLot[[#This Row],[41-50]]/AF30_ByRubLot34[[Total Charge]:[Total Charge]])</f>
        <v>0</v>
      </c>
      <c r="K81">
        <f>(AF30_ByRubLot[[#This Row],[51-60]]/AF30_ByRubLot34[[Total Charge]:[Total Charge]])</f>
        <v>0</v>
      </c>
      <c r="L81">
        <f>(AF30_ByRubLot[[#This Row],[61-70]]/AF30_ByRubLot34[[Total Charge]:[Total Charge]])</f>
        <v>1</v>
      </c>
      <c r="M81">
        <f>(AF30_ByRubLot[[#This Row],[71-80]]/AF30_ByRubLot34[[Total Charge]:[Total Charge]])</f>
        <v>0.2</v>
      </c>
      <c r="N81">
        <f>(AF30_ByRubLot[[#This Row],[81-90]]/AF30_ByRubLot34[[Total Charge]:[Total Charge]])</f>
        <v>0</v>
      </c>
      <c r="O81">
        <f>(AF30_ByRubLot[[#This Row],[91-100]]/AF30_ByRubLot34[[Total Charge]:[Total Charge]])</f>
        <v>0.4</v>
      </c>
      <c r="P81">
        <f>(AF30_ByRubLot[[#This Row],[101-110]]/AF30_ByRubLot34[[Total Charge]:[Total Charge]])</f>
        <v>0</v>
      </c>
      <c r="Q81">
        <f>(AF30_ByRubLot[[#This Row],[111-120]]/AF30_ByRubLot34[[Total Charge]:[Total Charge]])</f>
        <v>0.2</v>
      </c>
      <c r="R81">
        <f>(AF30_ByRubLot[[#This Row],[121-130]]/AF30_ByRubLot34[[Total Charge]:[Total Charge]])</f>
        <v>0.2</v>
      </c>
      <c r="S81">
        <f>(AF30_ByRubLot[[#This Row],[131-140]]/AF30_ByRubLot34[[Total Charge]:[Total Charge]])</f>
        <v>0</v>
      </c>
      <c r="T81">
        <v>1</v>
      </c>
      <c r="U81">
        <v>1</v>
      </c>
      <c r="V81" t="s">
        <v>77</v>
      </c>
      <c r="W81">
        <v>5</v>
      </c>
      <c r="X81" s="113"/>
      <c r="Y81" s="146">
        <v>286.11111111111109</v>
      </c>
      <c r="Z81">
        <v>0</v>
      </c>
      <c r="AA81">
        <f t="shared" si="2"/>
        <v>0</v>
      </c>
      <c r="AB81">
        <f>SUM(AF30_ByRubLot34[[#This Row],[0-10]:[131-140]])</f>
        <v>2</v>
      </c>
    </row>
    <row r="82" spans="1:28" x14ac:dyDescent="0.25">
      <c r="A82" t="s">
        <v>21</v>
      </c>
      <c r="B82" t="s">
        <v>216</v>
      </c>
      <c r="C82" s="148">
        <v>2012</v>
      </c>
      <c r="D82" s="151" t="str">
        <f>MID(AF30_ByRubLot34[[#This Row],[AF-30 Lot]],2,3)</f>
        <v>205</v>
      </c>
      <c r="E82" s="151" t="str">
        <f>CONCATENATE(RIGHT(AF30_ByRubLot34[[#This Row],[Year of Production]],2),AF30_ByRubLot34[[#This Row],[Julian Date Jumbo Production]])</f>
        <v>12205</v>
      </c>
      <c r="F82">
        <f>(AF30_ByRubLot[[#This Row],[0-10]]/AF30_ByRubLot34[[Total Charge]:[Total Charge]])</f>
        <v>0</v>
      </c>
      <c r="G82">
        <f>(AF30_ByRubLot[[#This Row],[11-20]]/AF30_ByRubLot34[[Total Charge]:[Total Charge]])</f>
        <v>0</v>
      </c>
      <c r="H82">
        <f>(AF30_ByRubLot[[#This Row],[21-30]]/AF30_ByRubLot34[[Total Charge]:[Total Charge]])</f>
        <v>0</v>
      </c>
      <c r="I82">
        <f>(AF30_ByRubLot[[#This Row],[31-40]]/AF30_ByRubLot34[[Total Charge]:[Total Charge]])</f>
        <v>0</v>
      </c>
      <c r="J82">
        <f>(AF30_ByRubLot[[#This Row],[41-50]]/AF30_ByRubLot34[[Total Charge]:[Total Charge]])</f>
        <v>0</v>
      </c>
      <c r="K82">
        <f>(AF30_ByRubLot[[#This Row],[51-60]]/AF30_ByRubLot34[[Total Charge]:[Total Charge]])</f>
        <v>0</v>
      </c>
      <c r="L82">
        <f>(AF30_ByRubLot[[#This Row],[61-70]]/AF30_ByRubLot34[[Total Charge]:[Total Charge]])</f>
        <v>0.5</v>
      </c>
      <c r="M82">
        <f>(AF30_ByRubLot[[#This Row],[71-80]]/AF30_ByRubLot34[[Total Charge]:[Total Charge]])</f>
        <v>0.1</v>
      </c>
      <c r="N82">
        <f>(AF30_ByRubLot[[#This Row],[81-90]]/AF30_ByRubLot34[[Total Charge]:[Total Charge]])</f>
        <v>0</v>
      </c>
      <c r="O82">
        <f>(AF30_ByRubLot[[#This Row],[91-100]]/AF30_ByRubLot34[[Total Charge]:[Total Charge]])</f>
        <v>0.2</v>
      </c>
      <c r="P82">
        <f>(AF30_ByRubLot[[#This Row],[101-110]]/AF30_ByRubLot34[[Total Charge]:[Total Charge]])</f>
        <v>0</v>
      </c>
      <c r="Q82">
        <f>(AF30_ByRubLot[[#This Row],[111-120]]/AF30_ByRubLot34[[Total Charge]:[Total Charge]])</f>
        <v>0.1</v>
      </c>
      <c r="R82">
        <f>(AF30_ByRubLot[[#This Row],[121-130]]/AF30_ByRubLot34[[Total Charge]:[Total Charge]])</f>
        <v>0.1</v>
      </c>
      <c r="S82">
        <f>(AF30_ByRubLot[[#This Row],[131-140]]/AF30_ByRubLot34[[Total Charge]:[Total Charge]])</f>
        <v>0</v>
      </c>
      <c r="T82">
        <v>1</v>
      </c>
      <c r="U82">
        <v>0</v>
      </c>
      <c r="V82" t="s">
        <v>38</v>
      </c>
      <c r="W82">
        <v>10</v>
      </c>
      <c r="X82" s="114"/>
      <c r="Y82">
        <v>2136.1111111111109</v>
      </c>
      <c r="Z82">
        <v>1280</v>
      </c>
      <c r="AA82">
        <f t="shared" si="2"/>
        <v>59.921976592977899</v>
      </c>
      <c r="AB82">
        <f>SUM(AF30_ByRubLot34[[#This Row],[0-10]:[131-140]])</f>
        <v>1</v>
      </c>
    </row>
    <row r="83" spans="1:28" x14ac:dyDescent="0.25">
      <c r="A83" t="s">
        <v>21</v>
      </c>
      <c r="B83" t="s">
        <v>215</v>
      </c>
      <c r="C83" s="148">
        <v>2012</v>
      </c>
      <c r="D83" s="151" t="str">
        <f>MID(AF30_ByRubLot34[[#This Row],[AF-30 Lot]],2,3)</f>
        <v>233</v>
      </c>
      <c r="E83" s="151" t="str">
        <f>CONCATENATE(RIGHT(AF30_ByRubLot34[[#This Row],[Year of Production]],2),AF30_ByRubLot34[[#This Row],[Julian Date Jumbo Production]])</f>
        <v>12233</v>
      </c>
      <c r="F83">
        <f>(AF30_ByRubLot[[#This Row],[0-10]]/AF30_ByRubLot34[[Total Charge]:[Total Charge]])</f>
        <v>0</v>
      </c>
      <c r="G83">
        <f>(AF30_ByRubLot[[#This Row],[11-20]]/AF30_ByRubLot34[[Total Charge]:[Total Charge]])</f>
        <v>0</v>
      </c>
      <c r="H83">
        <f>(AF30_ByRubLot[[#This Row],[21-30]]/AF30_ByRubLot34[[Total Charge]:[Total Charge]])</f>
        <v>0</v>
      </c>
      <c r="I83">
        <f>(AF30_ByRubLot[[#This Row],[31-40]]/AF30_ByRubLot34[[Total Charge]:[Total Charge]])</f>
        <v>0</v>
      </c>
      <c r="J83">
        <f>(AF30_ByRubLot[[#This Row],[41-50]]/AF30_ByRubLot34[[Total Charge]:[Total Charge]])</f>
        <v>0</v>
      </c>
      <c r="K83">
        <f>(AF30_ByRubLot[[#This Row],[51-60]]/AF30_ByRubLot34[[Total Charge]:[Total Charge]])</f>
        <v>0</v>
      </c>
      <c r="L83">
        <f>(AF30_ByRubLot[[#This Row],[61-70]]/AF30_ByRubLot34[[Total Charge]:[Total Charge]])</f>
        <v>0.5</v>
      </c>
      <c r="M83">
        <f>(AF30_ByRubLot[[#This Row],[71-80]]/AF30_ByRubLot34[[Total Charge]:[Total Charge]])</f>
        <v>0.1</v>
      </c>
      <c r="N83">
        <f>(AF30_ByRubLot[[#This Row],[81-90]]/AF30_ByRubLot34[[Total Charge]:[Total Charge]])</f>
        <v>0</v>
      </c>
      <c r="O83">
        <f>(AF30_ByRubLot[[#This Row],[91-100]]/AF30_ByRubLot34[[Total Charge]:[Total Charge]])</f>
        <v>0.2</v>
      </c>
      <c r="P83">
        <f>(AF30_ByRubLot[[#This Row],[101-110]]/AF30_ByRubLot34[[Total Charge]:[Total Charge]])</f>
        <v>0</v>
      </c>
      <c r="Q83">
        <f>(AF30_ByRubLot[[#This Row],[111-120]]/AF30_ByRubLot34[[Total Charge]:[Total Charge]])</f>
        <v>0.1</v>
      </c>
      <c r="R83">
        <f>(AF30_ByRubLot[[#This Row],[121-130]]/AF30_ByRubLot34[[Total Charge]:[Total Charge]])</f>
        <v>0.1</v>
      </c>
      <c r="S83">
        <f>(AF30_ByRubLot[[#This Row],[131-140]]/AF30_ByRubLot34[[Total Charge]:[Total Charge]])</f>
        <v>0</v>
      </c>
      <c r="T83">
        <v>1</v>
      </c>
      <c r="U83">
        <v>0</v>
      </c>
      <c r="V83" t="s">
        <v>38</v>
      </c>
      <c r="W83">
        <v>10</v>
      </c>
      <c r="X83" s="114"/>
      <c r="Y83">
        <v>1860.5555555555554</v>
      </c>
      <c r="Z83">
        <v>1276</v>
      </c>
      <c r="AA83">
        <f t="shared" si="2"/>
        <v>68.581666169005672</v>
      </c>
      <c r="AB83">
        <f>SUM(AF30_ByRubLot34[[#This Row],[0-10]:[131-140]])</f>
        <v>1</v>
      </c>
    </row>
    <row r="84" spans="1:28" x14ac:dyDescent="0.25">
      <c r="A84" t="s">
        <v>21</v>
      </c>
      <c r="B84" t="s">
        <v>214</v>
      </c>
      <c r="C84" s="148">
        <v>2012</v>
      </c>
      <c r="D84" s="151" t="str">
        <f>MID(AF30_ByRubLot34[[#This Row],[AF-30 Lot]],2,3)</f>
        <v>249</v>
      </c>
      <c r="E84" s="151" t="str">
        <f>CONCATENATE(RIGHT(AF30_ByRubLot34[[#This Row],[Year of Production]],2),AF30_ByRubLot34[[#This Row],[Julian Date Jumbo Production]])</f>
        <v>12249</v>
      </c>
      <c r="F84">
        <f>(AF30_ByRubLot[[#This Row],[0-10]]/AF30_ByRubLot34[[Total Charge]:[Total Charge]])</f>
        <v>0</v>
      </c>
      <c r="G84">
        <f>(AF30_ByRubLot[[#This Row],[11-20]]/AF30_ByRubLot34[[Total Charge]:[Total Charge]])</f>
        <v>0</v>
      </c>
      <c r="H84">
        <f>(AF30_ByRubLot[[#This Row],[21-30]]/AF30_ByRubLot34[[Total Charge]:[Total Charge]])</f>
        <v>0</v>
      </c>
      <c r="I84">
        <f>(AF30_ByRubLot[[#This Row],[31-40]]/AF30_ByRubLot34[[Total Charge]:[Total Charge]])</f>
        <v>0</v>
      </c>
      <c r="J84">
        <f>(AF30_ByRubLot[[#This Row],[41-50]]/AF30_ByRubLot34[[Total Charge]:[Total Charge]])</f>
        <v>0</v>
      </c>
      <c r="K84">
        <f>(AF30_ByRubLot[[#This Row],[51-60]]/AF30_ByRubLot34[[Total Charge]:[Total Charge]])</f>
        <v>0</v>
      </c>
      <c r="L84">
        <f>(AF30_ByRubLot[[#This Row],[61-70]]/AF30_ByRubLot34[[Total Charge]:[Total Charge]])</f>
        <v>0.5</v>
      </c>
      <c r="M84">
        <f>(AF30_ByRubLot[[#This Row],[71-80]]/AF30_ByRubLot34[[Total Charge]:[Total Charge]])</f>
        <v>0.1</v>
      </c>
      <c r="N84">
        <f>(AF30_ByRubLot[[#This Row],[81-90]]/AF30_ByRubLot34[[Total Charge]:[Total Charge]])</f>
        <v>0</v>
      </c>
      <c r="O84">
        <f>(AF30_ByRubLot[[#This Row],[91-100]]/AF30_ByRubLot34[[Total Charge]:[Total Charge]])</f>
        <v>0.2</v>
      </c>
      <c r="P84">
        <f>(AF30_ByRubLot[[#This Row],[101-110]]/AF30_ByRubLot34[[Total Charge]:[Total Charge]])</f>
        <v>0</v>
      </c>
      <c r="Q84">
        <f>(AF30_ByRubLot[[#This Row],[111-120]]/AF30_ByRubLot34[[Total Charge]:[Total Charge]])</f>
        <v>0.1</v>
      </c>
      <c r="R84">
        <f>(AF30_ByRubLot[[#This Row],[121-130]]/AF30_ByRubLot34[[Total Charge]:[Total Charge]])</f>
        <v>0.1</v>
      </c>
      <c r="S84">
        <f>(AF30_ByRubLot[[#This Row],[131-140]]/AF30_ByRubLot34[[Total Charge]:[Total Charge]])</f>
        <v>0</v>
      </c>
      <c r="T84">
        <v>1</v>
      </c>
      <c r="U84">
        <v>0</v>
      </c>
      <c r="V84" t="s">
        <v>38</v>
      </c>
      <c r="W84">
        <v>10</v>
      </c>
      <c r="X84" s="114"/>
      <c r="Y84">
        <v>2553.8888888888887</v>
      </c>
      <c r="Z84">
        <v>2081.6666599999999</v>
      </c>
      <c r="AA84">
        <f t="shared" si="2"/>
        <v>81.509679965194692</v>
      </c>
      <c r="AB84">
        <f>SUM(AF30_ByRubLot34[[#This Row],[0-10]:[131-140]])</f>
        <v>1</v>
      </c>
    </row>
    <row r="85" spans="1:28" x14ac:dyDescent="0.25">
      <c r="A85" t="s">
        <v>24</v>
      </c>
      <c r="B85" s="146" t="s">
        <v>248</v>
      </c>
      <c r="C85" s="148">
        <v>2012</v>
      </c>
      <c r="D85" s="151" t="str">
        <f>MID(AF30_ByRubLot34[[#This Row],[AF-30 Lot]],2,3)</f>
        <v>269</v>
      </c>
      <c r="E85" s="151" t="str">
        <f>CONCATENATE(RIGHT(AF30_ByRubLot34[[#This Row],[Year of Production]],2),AF30_ByRubLot34[[#This Row],[Julian Date Jumbo Production]])</f>
        <v>12269</v>
      </c>
      <c r="F85">
        <f>(AF30_ByRubLot[[#This Row],[0-10]]/AF30_ByRubLot34[[Total Charge]:[Total Charge]])</f>
        <v>0</v>
      </c>
      <c r="G85">
        <f>(AF30_ByRubLot[[#This Row],[11-20]]/AF30_ByRubLot34[[Total Charge]:[Total Charge]])</f>
        <v>0</v>
      </c>
      <c r="H85">
        <f>(AF30_ByRubLot[[#This Row],[21-30]]/AF30_ByRubLot34[[Total Charge]:[Total Charge]])</f>
        <v>0</v>
      </c>
      <c r="I85">
        <f>(AF30_ByRubLot[[#This Row],[31-40]]/AF30_ByRubLot34[[Total Charge]:[Total Charge]])</f>
        <v>0</v>
      </c>
      <c r="J85">
        <f>(AF30_ByRubLot[[#This Row],[41-50]]/AF30_ByRubLot34[[Total Charge]:[Total Charge]])</f>
        <v>0</v>
      </c>
      <c r="K85">
        <f>(AF30_ByRubLot[[#This Row],[51-60]]/AF30_ByRubLot34[[Total Charge]:[Total Charge]])</f>
        <v>0</v>
      </c>
      <c r="L85">
        <f>(AF30_ByRubLot[[#This Row],[61-70]]/AF30_ByRubLot34[[Total Charge]:[Total Charge]])</f>
        <v>0.5</v>
      </c>
      <c r="M85">
        <f>(AF30_ByRubLot[[#This Row],[71-80]]/AF30_ByRubLot34[[Total Charge]:[Total Charge]])</f>
        <v>0.1</v>
      </c>
      <c r="N85">
        <f>(AF30_ByRubLot[[#This Row],[81-90]]/AF30_ByRubLot34[[Total Charge]:[Total Charge]])</f>
        <v>0</v>
      </c>
      <c r="O85">
        <f>(AF30_ByRubLot[[#This Row],[91-100]]/AF30_ByRubLot34[[Total Charge]:[Total Charge]])</f>
        <v>0.2</v>
      </c>
      <c r="P85">
        <f>(AF30_ByRubLot[[#This Row],[101-110]]/AF30_ByRubLot34[[Total Charge]:[Total Charge]])</f>
        <v>0</v>
      </c>
      <c r="Q85">
        <f>(AF30_ByRubLot[[#This Row],[111-120]]/AF30_ByRubLot34[[Total Charge]:[Total Charge]])</f>
        <v>0.1</v>
      </c>
      <c r="R85">
        <f>(AF30_ByRubLot[[#This Row],[121-130]]/AF30_ByRubLot34[[Total Charge]:[Total Charge]])</f>
        <v>0.1</v>
      </c>
      <c r="S85">
        <f>(AF30_ByRubLot[[#This Row],[131-140]]/AF30_ByRubLot34[[Total Charge]:[Total Charge]])</f>
        <v>0</v>
      </c>
      <c r="T85">
        <v>0</v>
      </c>
      <c r="U85">
        <v>0</v>
      </c>
      <c r="V85" t="s">
        <v>6</v>
      </c>
      <c r="W85">
        <v>10</v>
      </c>
      <c r="X85" s="112"/>
      <c r="Y85">
        <v>2370</v>
      </c>
      <c r="Z85">
        <v>2029.6666600000001</v>
      </c>
      <c r="AA85">
        <f t="shared" si="2"/>
        <v>85.639943459915614</v>
      </c>
      <c r="AB85">
        <f>SUM(AF30_ByRubLot34[[#This Row],[0-10]:[131-140]])</f>
        <v>1</v>
      </c>
    </row>
    <row r="86" spans="1:28" x14ac:dyDescent="0.25">
      <c r="A86" t="s">
        <v>24</v>
      </c>
      <c r="B86" s="146" t="s">
        <v>247</v>
      </c>
      <c r="C86" s="148">
        <v>2012</v>
      </c>
      <c r="D86" s="151" t="str">
        <f>MID(AF30_ByRubLot34[[#This Row],[AF-30 Lot]],2,3)</f>
        <v>282</v>
      </c>
      <c r="E86" s="151" t="str">
        <f>CONCATENATE(RIGHT(AF30_ByRubLot34[[#This Row],[Year of Production]],2),AF30_ByRubLot34[[#This Row],[Julian Date Jumbo Production]])</f>
        <v>12282</v>
      </c>
      <c r="F86">
        <f>(AF30_ByRubLot[[#This Row],[0-10]]/AF30_ByRubLot34[[Total Charge]:[Total Charge]])</f>
        <v>0</v>
      </c>
      <c r="G86">
        <f>(AF30_ByRubLot[[#This Row],[11-20]]/AF30_ByRubLot34[[Total Charge]:[Total Charge]])</f>
        <v>0</v>
      </c>
      <c r="H86">
        <f>(AF30_ByRubLot[[#This Row],[21-30]]/AF30_ByRubLot34[[Total Charge]:[Total Charge]])</f>
        <v>0</v>
      </c>
      <c r="I86">
        <f>(AF30_ByRubLot[[#This Row],[31-40]]/AF30_ByRubLot34[[Total Charge]:[Total Charge]])</f>
        <v>0.1</v>
      </c>
      <c r="J86">
        <f>(AF30_ByRubLot[[#This Row],[41-50]]/AF30_ByRubLot34[[Total Charge]:[Total Charge]])</f>
        <v>0.1</v>
      </c>
      <c r="K86">
        <f>(AF30_ByRubLot[[#This Row],[51-60]]/AF30_ByRubLot34[[Total Charge]:[Total Charge]])</f>
        <v>0</v>
      </c>
      <c r="L86">
        <f>(AF30_ByRubLot[[#This Row],[61-70]]/AF30_ByRubLot34[[Total Charge]:[Total Charge]])</f>
        <v>0</v>
      </c>
      <c r="M86">
        <f>(AF30_ByRubLot[[#This Row],[71-80]]/AF30_ByRubLot34[[Total Charge]:[Total Charge]])</f>
        <v>0.1</v>
      </c>
      <c r="N86">
        <f>(AF30_ByRubLot[[#This Row],[81-90]]/AF30_ByRubLot34[[Total Charge]:[Total Charge]])</f>
        <v>0.1</v>
      </c>
      <c r="O86">
        <f>(AF30_ByRubLot[[#This Row],[91-100]]/AF30_ByRubLot34[[Total Charge]:[Total Charge]])</f>
        <v>0.5</v>
      </c>
      <c r="P86">
        <f>(AF30_ByRubLot[[#This Row],[101-110]]/AF30_ByRubLot34[[Total Charge]:[Total Charge]])</f>
        <v>0.1</v>
      </c>
      <c r="Q86">
        <f>(AF30_ByRubLot[[#This Row],[111-120]]/AF30_ByRubLot34[[Total Charge]:[Total Charge]])</f>
        <v>0</v>
      </c>
      <c r="R86">
        <f>(AF30_ByRubLot[[#This Row],[121-130]]/AF30_ByRubLot34[[Total Charge]:[Total Charge]])</f>
        <v>0</v>
      </c>
      <c r="S86">
        <f>(AF30_ByRubLot[[#This Row],[131-140]]/AF30_ByRubLot34[[Total Charge]:[Total Charge]])</f>
        <v>0</v>
      </c>
      <c r="T86">
        <v>0</v>
      </c>
      <c r="U86">
        <v>0</v>
      </c>
      <c r="V86" t="s">
        <v>6</v>
      </c>
      <c r="W86">
        <v>10</v>
      </c>
      <c r="X86" s="112"/>
      <c r="Y86">
        <v>1427.7777777777778</v>
      </c>
      <c r="Z86">
        <v>1280</v>
      </c>
      <c r="AA86">
        <f t="shared" si="2"/>
        <v>89.649805447470811</v>
      </c>
      <c r="AB86">
        <f>SUM(AF30_ByRubLot34[[#This Row],[0-10]:[131-140]])</f>
        <v>1</v>
      </c>
    </row>
    <row r="87" spans="1:28" x14ac:dyDescent="0.25">
      <c r="A87" t="s">
        <v>24</v>
      </c>
      <c r="B87" s="146" t="s">
        <v>246</v>
      </c>
      <c r="C87" s="148">
        <v>2012</v>
      </c>
      <c r="D87" s="151" t="str">
        <f>MID(AF30_ByRubLot34[[#This Row],[AF-30 Lot]],2,3)</f>
        <v>291</v>
      </c>
      <c r="E87" s="151" t="str">
        <f>CONCATENATE(RIGHT(AF30_ByRubLot34[[#This Row],[Year of Production]],2),AF30_ByRubLot34[[#This Row],[Julian Date Jumbo Production]])</f>
        <v>12291</v>
      </c>
      <c r="F87">
        <f>(AF30_ByRubLot[[#This Row],[0-10]]/AF30_ByRubLot34[[Total Charge]:[Total Charge]])</f>
        <v>0</v>
      </c>
      <c r="G87">
        <f>(AF30_ByRubLot[[#This Row],[11-20]]/AF30_ByRubLot34[[Total Charge]:[Total Charge]])</f>
        <v>0</v>
      </c>
      <c r="H87">
        <f>(AF30_ByRubLot[[#This Row],[21-30]]/AF30_ByRubLot34[[Total Charge]:[Total Charge]])</f>
        <v>0</v>
      </c>
      <c r="I87">
        <f>(AF30_ByRubLot[[#This Row],[31-40]]/AF30_ByRubLot34[[Total Charge]:[Total Charge]])</f>
        <v>0.1</v>
      </c>
      <c r="J87">
        <f>(AF30_ByRubLot[[#This Row],[41-50]]/AF30_ByRubLot34[[Total Charge]:[Total Charge]])</f>
        <v>0.1</v>
      </c>
      <c r="K87">
        <f>(AF30_ByRubLot[[#This Row],[51-60]]/AF30_ByRubLot34[[Total Charge]:[Total Charge]])</f>
        <v>0</v>
      </c>
      <c r="L87">
        <f>(AF30_ByRubLot[[#This Row],[61-70]]/AF30_ByRubLot34[[Total Charge]:[Total Charge]])</f>
        <v>0</v>
      </c>
      <c r="M87">
        <f>(AF30_ByRubLot[[#This Row],[71-80]]/AF30_ByRubLot34[[Total Charge]:[Total Charge]])</f>
        <v>0.1</v>
      </c>
      <c r="N87">
        <f>(AF30_ByRubLot[[#This Row],[81-90]]/AF30_ByRubLot34[[Total Charge]:[Total Charge]])</f>
        <v>0.1</v>
      </c>
      <c r="O87">
        <f>(AF30_ByRubLot[[#This Row],[91-100]]/AF30_ByRubLot34[[Total Charge]:[Total Charge]])</f>
        <v>0.5</v>
      </c>
      <c r="P87">
        <f>(AF30_ByRubLot[[#This Row],[101-110]]/AF30_ByRubLot34[[Total Charge]:[Total Charge]])</f>
        <v>0.1</v>
      </c>
      <c r="Q87">
        <f>(AF30_ByRubLot[[#This Row],[111-120]]/AF30_ByRubLot34[[Total Charge]:[Total Charge]])</f>
        <v>0</v>
      </c>
      <c r="R87">
        <f>(AF30_ByRubLot[[#This Row],[121-130]]/AF30_ByRubLot34[[Total Charge]:[Total Charge]])</f>
        <v>0</v>
      </c>
      <c r="S87">
        <f>(AF30_ByRubLot[[#This Row],[131-140]]/AF30_ByRubLot34[[Total Charge]:[Total Charge]])</f>
        <v>0</v>
      </c>
      <c r="T87">
        <v>0</v>
      </c>
      <c r="U87">
        <v>0</v>
      </c>
      <c r="V87" t="s">
        <v>6</v>
      </c>
      <c r="W87">
        <v>10</v>
      </c>
      <c r="X87" s="112"/>
      <c r="Y87">
        <v>2093.3333333333335</v>
      </c>
      <c r="Z87">
        <v>1560</v>
      </c>
      <c r="AA87">
        <f t="shared" si="2"/>
        <v>74.522292993630572</v>
      </c>
      <c r="AB87">
        <f>SUM(AF30_ByRubLot34[[#This Row],[0-10]:[131-140]])</f>
        <v>1</v>
      </c>
    </row>
    <row r="88" spans="1:28" x14ac:dyDescent="0.25">
      <c r="A88" t="s">
        <v>24</v>
      </c>
      <c r="B88" s="146" t="s">
        <v>245</v>
      </c>
      <c r="C88" s="148">
        <v>2012</v>
      </c>
      <c r="D88" s="151" t="str">
        <f>MID(AF30_ByRubLot34[[#This Row],[AF-30 Lot]],2,3)</f>
        <v>307</v>
      </c>
      <c r="E88" s="151" t="str">
        <f>CONCATENATE(RIGHT(AF30_ByRubLot34[[#This Row],[Year of Production]],2),AF30_ByRubLot34[[#This Row],[Julian Date Jumbo Production]])</f>
        <v>12307</v>
      </c>
      <c r="F88">
        <f>(AF30_ByRubLot[[#This Row],[0-10]]/AF30_ByRubLot34[[Total Charge]:[Total Charge]])</f>
        <v>0</v>
      </c>
      <c r="G88">
        <f>(AF30_ByRubLot[[#This Row],[11-20]]/AF30_ByRubLot34[[Total Charge]:[Total Charge]])</f>
        <v>0</v>
      </c>
      <c r="H88">
        <f>(AF30_ByRubLot[[#This Row],[21-30]]/AF30_ByRubLot34[[Total Charge]:[Total Charge]])</f>
        <v>0</v>
      </c>
      <c r="I88">
        <f>(AF30_ByRubLot[[#This Row],[31-40]]/AF30_ByRubLot34[[Total Charge]:[Total Charge]])</f>
        <v>0.1</v>
      </c>
      <c r="J88">
        <f>(AF30_ByRubLot[[#This Row],[41-50]]/AF30_ByRubLot34[[Total Charge]:[Total Charge]])</f>
        <v>0.1</v>
      </c>
      <c r="K88">
        <f>(AF30_ByRubLot[[#This Row],[51-60]]/AF30_ByRubLot34[[Total Charge]:[Total Charge]])</f>
        <v>0</v>
      </c>
      <c r="L88">
        <f>(AF30_ByRubLot[[#This Row],[61-70]]/AF30_ByRubLot34[[Total Charge]:[Total Charge]])</f>
        <v>0</v>
      </c>
      <c r="M88">
        <f>(AF30_ByRubLot[[#This Row],[71-80]]/AF30_ByRubLot34[[Total Charge]:[Total Charge]])</f>
        <v>0.1</v>
      </c>
      <c r="N88">
        <f>(AF30_ByRubLot[[#This Row],[81-90]]/AF30_ByRubLot34[[Total Charge]:[Total Charge]])</f>
        <v>0.1</v>
      </c>
      <c r="O88">
        <f>(AF30_ByRubLot[[#This Row],[91-100]]/AF30_ByRubLot34[[Total Charge]:[Total Charge]])</f>
        <v>0.5</v>
      </c>
      <c r="P88">
        <f>(AF30_ByRubLot[[#This Row],[101-110]]/AF30_ByRubLot34[[Total Charge]:[Total Charge]])</f>
        <v>0.1</v>
      </c>
      <c r="Q88">
        <f>(AF30_ByRubLot[[#This Row],[111-120]]/AF30_ByRubLot34[[Total Charge]:[Total Charge]])</f>
        <v>0</v>
      </c>
      <c r="R88">
        <f>(AF30_ByRubLot[[#This Row],[121-130]]/AF30_ByRubLot34[[Total Charge]:[Total Charge]])</f>
        <v>0</v>
      </c>
      <c r="S88">
        <f>(AF30_ByRubLot[[#This Row],[131-140]]/AF30_ByRubLot34[[Total Charge]:[Total Charge]])</f>
        <v>0</v>
      </c>
      <c r="T88">
        <v>0</v>
      </c>
      <c r="U88">
        <v>0</v>
      </c>
      <c r="V88" t="s">
        <v>6</v>
      </c>
      <c r="W88">
        <v>10</v>
      </c>
      <c r="X88" s="112"/>
      <c r="Y88">
        <v>2328.3333333333335</v>
      </c>
      <c r="Z88">
        <v>2040</v>
      </c>
      <c r="AA88">
        <f t="shared" si="2"/>
        <v>87.616320687186828</v>
      </c>
      <c r="AB88">
        <f>SUM(AF30_ByRubLot34[[#This Row],[0-10]:[131-140]])</f>
        <v>1</v>
      </c>
    </row>
    <row r="89" spans="1:28" x14ac:dyDescent="0.25">
      <c r="A89" t="s">
        <v>24</v>
      </c>
      <c r="B89" s="146" t="s">
        <v>244</v>
      </c>
      <c r="C89" s="148">
        <v>2012</v>
      </c>
      <c r="D89" s="151" t="str">
        <f>MID(AF30_ByRubLot34[[#This Row],[AF-30 Lot]],2,3)</f>
        <v>340</v>
      </c>
      <c r="E89" s="151" t="str">
        <f>CONCATENATE(RIGHT(AF30_ByRubLot34[[#This Row],[Year of Production]],2),AF30_ByRubLot34[[#This Row],[Julian Date Jumbo Production]])</f>
        <v>12340</v>
      </c>
      <c r="F89">
        <f>(AF30_ByRubLot[[#This Row],[0-10]]/AF30_ByRubLot34[[Total Charge]:[Total Charge]])</f>
        <v>0</v>
      </c>
      <c r="G89">
        <f>(AF30_ByRubLot[[#This Row],[11-20]]/AF30_ByRubLot34[[Total Charge]:[Total Charge]])</f>
        <v>0</v>
      </c>
      <c r="H89">
        <f>(AF30_ByRubLot[[#This Row],[21-30]]/AF30_ByRubLot34[[Total Charge]:[Total Charge]])</f>
        <v>0</v>
      </c>
      <c r="I89">
        <f>(AF30_ByRubLot[[#This Row],[31-40]]/AF30_ByRubLot34[[Total Charge]:[Total Charge]])</f>
        <v>0.1</v>
      </c>
      <c r="J89">
        <f>(AF30_ByRubLot[[#This Row],[41-50]]/AF30_ByRubLot34[[Total Charge]:[Total Charge]])</f>
        <v>0.1</v>
      </c>
      <c r="K89">
        <f>(AF30_ByRubLot[[#This Row],[51-60]]/AF30_ByRubLot34[[Total Charge]:[Total Charge]])</f>
        <v>0</v>
      </c>
      <c r="L89">
        <f>(AF30_ByRubLot[[#This Row],[61-70]]/AF30_ByRubLot34[[Total Charge]:[Total Charge]])</f>
        <v>0</v>
      </c>
      <c r="M89">
        <f>(AF30_ByRubLot[[#This Row],[71-80]]/AF30_ByRubLot34[[Total Charge]:[Total Charge]])</f>
        <v>0.1</v>
      </c>
      <c r="N89">
        <f>(AF30_ByRubLot[[#This Row],[81-90]]/AF30_ByRubLot34[[Total Charge]:[Total Charge]])</f>
        <v>0.1</v>
      </c>
      <c r="O89">
        <f>(AF30_ByRubLot[[#This Row],[91-100]]/AF30_ByRubLot34[[Total Charge]:[Total Charge]])</f>
        <v>0.5</v>
      </c>
      <c r="P89">
        <f>(AF30_ByRubLot[[#This Row],[101-110]]/AF30_ByRubLot34[[Total Charge]:[Total Charge]])</f>
        <v>0.1</v>
      </c>
      <c r="Q89">
        <f>(AF30_ByRubLot[[#This Row],[111-120]]/AF30_ByRubLot34[[Total Charge]:[Total Charge]])</f>
        <v>0</v>
      </c>
      <c r="R89">
        <f>(AF30_ByRubLot[[#This Row],[121-130]]/AF30_ByRubLot34[[Total Charge]:[Total Charge]])</f>
        <v>0</v>
      </c>
      <c r="S89">
        <f>(AF30_ByRubLot[[#This Row],[131-140]]/AF30_ByRubLot34[[Total Charge]:[Total Charge]])</f>
        <v>0</v>
      </c>
      <c r="T89">
        <v>0</v>
      </c>
      <c r="U89">
        <v>0</v>
      </c>
      <c r="V89" t="s">
        <v>6</v>
      </c>
      <c r="W89">
        <v>10</v>
      </c>
      <c r="X89" s="112"/>
      <c r="Y89">
        <v>1722.2222222222224</v>
      </c>
      <c r="Z89">
        <v>1508</v>
      </c>
      <c r="AA89">
        <f t="shared" si="2"/>
        <v>87.561290322580632</v>
      </c>
      <c r="AB89">
        <f>SUM(AF30_ByRubLot34[[#This Row],[0-10]:[131-140]])</f>
        <v>1</v>
      </c>
    </row>
    <row r="90" spans="1:28" x14ac:dyDescent="0.25">
      <c r="A90" t="s">
        <v>24</v>
      </c>
      <c r="B90" s="146" t="s">
        <v>243</v>
      </c>
      <c r="C90" s="148">
        <v>2013</v>
      </c>
      <c r="D90" s="151" t="str">
        <f>MID(AF30_ByRubLot34[[#This Row],[AF-30 Lot]],2,3)</f>
        <v>002</v>
      </c>
      <c r="E90" s="151" t="str">
        <f>CONCATENATE(RIGHT(AF30_ByRubLot34[[#This Row],[Year of Production]],2),AF30_ByRubLot34[[#This Row],[Julian Date Jumbo Production]])</f>
        <v>13002</v>
      </c>
      <c r="F90">
        <f>(AF30_ByRubLot[[#This Row],[0-10]]/AF30_ByRubLot34[[Total Charge]:[Total Charge]])</f>
        <v>0</v>
      </c>
      <c r="G90">
        <f>(AF30_ByRubLot[[#This Row],[11-20]]/AF30_ByRubLot34[[Total Charge]:[Total Charge]])</f>
        <v>0</v>
      </c>
      <c r="H90">
        <f>(AF30_ByRubLot[[#This Row],[21-30]]/AF30_ByRubLot34[[Total Charge]:[Total Charge]])</f>
        <v>0</v>
      </c>
      <c r="I90">
        <f>(AF30_ByRubLot[[#This Row],[31-40]]/AF30_ByRubLot34[[Total Charge]:[Total Charge]])</f>
        <v>0.1</v>
      </c>
      <c r="J90">
        <f>(AF30_ByRubLot[[#This Row],[41-50]]/AF30_ByRubLot34[[Total Charge]:[Total Charge]])</f>
        <v>0.1</v>
      </c>
      <c r="K90">
        <f>(AF30_ByRubLot[[#This Row],[51-60]]/AF30_ByRubLot34[[Total Charge]:[Total Charge]])</f>
        <v>0</v>
      </c>
      <c r="L90">
        <f>(AF30_ByRubLot[[#This Row],[61-70]]/AF30_ByRubLot34[[Total Charge]:[Total Charge]])</f>
        <v>0</v>
      </c>
      <c r="M90">
        <f>(AF30_ByRubLot[[#This Row],[71-80]]/AF30_ByRubLot34[[Total Charge]:[Total Charge]])</f>
        <v>0.1</v>
      </c>
      <c r="N90">
        <f>(AF30_ByRubLot[[#This Row],[81-90]]/AF30_ByRubLot34[[Total Charge]:[Total Charge]])</f>
        <v>0.1</v>
      </c>
      <c r="O90">
        <f>(AF30_ByRubLot[[#This Row],[91-100]]/AF30_ByRubLot34[[Total Charge]:[Total Charge]])</f>
        <v>0.5</v>
      </c>
      <c r="P90">
        <f>(AF30_ByRubLot[[#This Row],[101-110]]/AF30_ByRubLot34[[Total Charge]:[Total Charge]])</f>
        <v>0.1</v>
      </c>
      <c r="Q90">
        <f>(AF30_ByRubLot[[#This Row],[111-120]]/AF30_ByRubLot34[[Total Charge]:[Total Charge]])</f>
        <v>0</v>
      </c>
      <c r="R90">
        <f>(AF30_ByRubLot[[#This Row],[121-130]]/AF30_ByRubLot34[[Total Charge]:[Total Charge]])</f>
        <v>0</v>
      </c>
      <c r="S90">
        <f>(AF30_ByRubLot[[#This Row],[131-140]]/AF30_ByRubLot34[[Total Charge]:[Total Charge]])</f>
        <v>0</v>
      </c>
      <c r="T90">
        <v>0</v>
      </c>
      <c r="U90">
        <v>0</v>
      </c>
      <c r="V90" t="s">
        <v>6</v>
      </c>
      <c r="W90">
        <v>10</v>
      </c>
      <c r="X90" s="112"/>
      <c r="Y90">
        <v>1605.5555555555554</v>
      </c>
      <c r="Z90">
        <v>1440</v>
      </c>
      <c r="AA90">
        <f t="shared" si="2"/>
        <v>89.688581314878903</v>
      </c>
      <c r="AB90">
        <f>SUM(AF30_ByRubLot34[[#This Row],[0-10]:[131-140]])</f>
        <v>1</v>
      </c>
    </row>
    <row r="91" spans="1:28" x14ac:dyDescent="0.25">
      <c r="A91" t="s">
        <v>24</v>
      </c>
      <c r="B91" s="146" t="s">
        <v>242</v>
      </c>
      <c r="C91" s="148">
        <v>2013</v>
      </c>
      <c r="D91" s="151" t="str">
        <f>MID(AF30_ByRubLot34[[#This Row],[AF-30 Lot]],2,3)</f>
        <v>021</v>
      </c>
      <c r="E91" s="151" t="str">
        <f>CONCATENATE(RIGHT(AF30_ByRubLot34[[#This Row],[Year of Production]],2),AF30_ByRubLot34[[#This Row],[Julian Date Jumbo Production]])</f>
        <v>13021</v>
      </c>
      <c r="F91">
        <f>(AF30_ByRubLot[[#This Row],[0-10]]/AF30_ByRubLot34[[Total Charge]:[Total Charge]])</f>
        <v>0</v>
      </c>
      <c r="G91">
        <f>(AF30_ByRubLot[[#This Row],[11-20]]/AF30_ByRubLot34[[Total Charge]:[Total Charge]])</f>
        <v>0</v>
      </c>
      <c r="H91">
        <f>(AF30_ByRubLot[[#This Row],[21-30]]/AF30_ByRubLot34[[Total Charge]:[Total Charge]])</f>
        <v>0</v>
      </c>
      <c r="I91">
        <f>(AF30_ByRubLot[[#This Row],[31-40]]/AF30_ByRubLot34[[Total Charge]:[Total Charge]])</f>
        <v>0.1</v>
      </c>
      <c r="J91">
        <f>(AF30_ByRubLot[[#This Row],[41-50]]/AF30_ByRubLot34[[Total Charge]:[Total Charge]])</f>
        <v>0.1</v>
      </c>
      <c r="K91">
        <f>(AF30_ByRubLot[[#This Row],[51-60]]/AF30_ByRubLot34[[Total Charge]:[Total Charge]])</f>
        <v>0</v>
      </c>
      <c r="L91">
        <f>(AF30_ByRubLot[[#This Row],[61-70]]/AF30_ByRubLot34[[Total Charge]:[Total Charge]])</f>
        <v>0</v>
      </c>
      <c r="M91">
        <f>(AF30_ByRubLot[[#This Row],[71-80]]/AF30_ByRubLot34[[Total Charge]:[Total Charge]])</f>
        <v>0.1</v>
      </c>
      <c r="N91">
        <f>(AF30_ByRubLot[[#This Row],[81-90]]/AF30_ByRubLot34[[Total Charge]:[Total Charge]])</f>
        <v>0.1</v>
      </c>
      <c r="O91">
        <f>(AF30_ByRubLot[[#This Row],[91-100]]/AF30_ByRubLot34[[Total Charge]:[Total Charge]])</f>
        <v>0.5</v>
      </c>
      <c r="P91">
        <f>(AF30_ByRubLot[[#This Row],[101-110]]/AF30_ByRubLot34[[Total Charge]:[Total Charge]])</f>
        <v>0.1</v>
      </c>
      <c r="Q91">
        <f>(AF30_ByRubLot[[#This Row],[111-120]]/AF30_ByRubLot34[[Total Charge]:[Total Charge]])</f>
        <v>0</v>
      </c>
      <c r="R91">
        <f>(AF30_ByRubLot[[#This Row],[121-130]]/AF30_ByRubLot34[[Total Charge]:[Total Charge]])</f>
        <v>0</v>
      </c>
      <c r="S91">
        <f>(AF30_ByRubLot[[#This Row],[131-140]]/AF30_ByRubLot34[[Total Charge]:[Total Charge]])</f>
        <v>0</v>
      </c>
      <c r="T91">
        <v>0</v>
      </c>
      <c r="U91">
        <v>0</v>
      </c>
      <c r="V91" t="s">
        <v>6</v>
      </c>
      <c r="W91">
        <v>10</v>
      </c>
      <c r="X91" s="112"/>
      <c r="Y91">
        <v>1944.4444444444443</v>
      </c>
      <c r="Z91">
        <v>1708</v>
      </c>
      <c r="AA91">
        <f t="shared" si="2"/>
        <v>87.84</v>
      </c>
      <c r="AB91">
        <f>SUM(AF30_ByRubLot34[[#This Row],[0-10]:[131-140]])</f>
        <v>1</v>
      </c>
    </row>
    <row r="92" spans="1:28" x14ac:dyDescent="0.25">
      <c r="A92" t="s">
        <v>24</v>
      </c>
      <c r="B92" s="146" t="s">
        <v>241</v>
      </c>
      <c r="C92" s="148">
        <v>2013</v>
      </c>
      <c r="D92" s="151" t="str">
        <f>MID(AF30_ByRubLot34[[#This Row],[AF-30 Lot]],2,3)</f>
        <v>049</v>
      </c>
      <c r="E92" s="151" t="str">
        <f>CONCATENATE(RIGHT(AF30_ByRubLot34[[#This Row],[Year of Production]],2),AF30_ByRubLot34[[#This Row],[Julian Date Jumbo Production]])</f>
        <v>13049</v>
      </c>
      <c r="F92">
        <f>(AF30_ByRubLot[[#This Row],[0-10]]/AF30_ByRubLot34[[Total Charge]:[Total Charge]])</f>
        <v>0</v>
      </c>
      <c r="G92">
        <f>(AF30_ByRubLot[[#This Row],[11-20]]/AF30_ByRubLot34[[Total Charge]:[Total Charge]])</f>
        <v>0</v>
      </c>
      <c r="H92">
        <f>(AF30_ByRubLot[[#This Row],[21-30]]/AF30_ByRubLot34[[Total Charge]:[Total Charge]])</f>
        <v>0</v>
      </c>
      <c r="I92">
        <f>(AF30_ByRubLot[[#This Row],[31-40]]/AF30_ByRubLot34[[Total Charge]:[Total Charge]])</f>
        <v>0.1</v>
      </c>
      <c r="J92">
        <f>(AF30_ByRubLot[[#This Row],[41-50]]/AF30_ByRubLot34[[Total Charge]:[Total Charge]])</f>
        <v>0.1</v>
      </c>
      <c r="K92">
        <f>(AF30_ByRubLot[[#This Row],[51-60]]/AF30_ByRubLot34[[Total Charge]:[Total Charge]])</f>
        <v>0</v>
      </c>
      <c r="L92">
        <f>(AF30_ByRubLot[[#This Row],[61-70]]/AF30_ByRubLot34[[Total Charge]:[Total Charge]])</f>
        <v>0</v>
      </c>
      <c r="M92">
        <f>(AF30_ByRubLot[[#This Row],[71-80]]/AF30_ByRubLot34[[Total Charge]:[Total Charge]])</f>
        <v>0.1</v>
      </c>
      <c r="N92">
        <f>(AF30_ByRubLot[[#This Row],[81-90]]/AF30_ByRubLot34[[Total Charge]:[Total Charge]])</f>
        <v>0.1</v>
      </c>
      <c r="O92">
        <f>(AF30_ByRubLot[[#This Row],[91-100]]/AF30_ByRubLot34[[Total Charge]:[Total Charge]])</f>
        <v>0.5</v>
      </c>
      <c r="P92">
        <f>(AF30_ByRubLot[[#This Row],[101-110]]/AF30_ByRubLot34[[Total Charge]:[Total Charge]])</f>
        <v>0.1</v>
      </c>
      <c r="Q92">
        <f>(AF30_ByRubLot[[#This Row],[111-120]]/AF30_ByRubLot34[[Total Charge]:[Total Charge]])</f>
        <v>0</v>
      </c>
      <c r="R92">
        <f>(AF30_ByRubLot[[#This Row],[121-130]]/AF30_ByRubLot34[[Total Charge]:[Total Charge]])</f>
        <v>0</v>
      </c>
      <c r="S92">
        <f>(AF30_ByRubLot[[#This Row],[131-140]]/AF30_ByRubLot34[[Total Charge]:[Total Charge]])</f>
        <v>0</v>
      </c>
      <c r="T92">
        <v>0</v>
      </c>
      <c r="U92">
        <v>0</v>
      </c>
      <c r="V92" t="s">
        <v>6</v>
      </c>
      <c r="W92">
        <v>10</v>
      </c>
      <c r="X92" s="112"/>
      <c r="Y92">
        <v>1877.2222222222222</v>
      </c>
      <c r="Z92">
        <v>720</v>
      </c>
      <c r="AA92">
        <f t="shared" si="2"/>
        <v>38.354542764131402</v>
      </c>
      <c r="AB92">
        <f>SUM(AF30_ByRubLot34[[#This Row],[0-10]:[131-140]])</f>
        <v>1</v>
      </c>
    </row>
    <row r="93" spans="1:28" x14ac:dyDescent="0.25">
      <c r="A93" t="s">
        <v>24</v>
      </c>
      <c r="B93" s="146" t="s">
        <v>240</v>
      </c>
      <c r="C93" s="148">
        <v>2013</v>
      </c>
      <c r="D93" s="151" t="str">
        <f>MID(AF30_ByRubLot34[[#This Row],[AF-30 Lot]],2,3)</f>
        <v>078</v>
      </c>
      <c r="E93" s="151" t="str">
        <f>CONCATENATE(RIGHT(AF30_ByRubLot34[[#This Row],[Year of Production]],2),AF30_ByRubLot34[[#This Row],[Julian Date Jumbo Production]])</f>
        <v>13078</v>
      </c>
      <c r="F93">
        <f>(AF30_ByRubLot[[#This Row],[0-10]]/AF30_ByRubLot34[[Total Charge]:[Total Charge]])</f>
        <v>0</v>
      </c>
      <c r="G93">
        <f>(AF30_ByRubLot[[#This Row],[11-20]]/AF30_ByRubLot34[[Total Charge]:[Total Charge]])</f>
        <v>0</v>
      </c>
      <c r="H93">
        <f>(AF30_ByRubLot[[#This Row],[21-30]]/AF30_ByRubLot34[[Total Charge]:[Total Charge]])</f>
        <v>0</v>
      </c>
      <c r="I93">
        <f>(AF30_ByRubLot[[#This Row],[31-40]]/AF30_ByRubLot34[[Total Charge]:[Total Charge]])</f>
        <v>0.1</v>
      </c>
      <c r="J93">
        <f>(AF30_ByRubLot[[#This Row],[41-50]]/AF30_ByRubLot34[[Total Charge]:[Total Charge]])</f>
        <v>0.1</v>
      </c>
      <c r="K93">
        <f>(AF30_ByRubLot[[#This Row],[51-60]]/AF30_ByRubLot34[[Total Charge]:[Total Charge]])</f>
        <v>0</v>
      </c>
      <c r="L93">
        <f>(AF30_ByRubLot[[#This Row],[61-70]]/AF30_ByRubLot34[[Total Charge]:[Total Charge]])</f>
        <v>0</v>
      </c>
      <c r="M93">
        <f>(AF30_ByRubLot[[#This Row],[71-80]]/AF30_ByRubLot34[[Total Charge]:[Total Charge]])</f>
        <v>0.1</v>
      </c>
      <c r="N93">
        <f>(AF30_ByRubLot[[#This Row],[81-90]]/AF30_ByRubLot34[[Total Charge]:[Total Charge]])</f>
        <v>0.1</v>
      </c>
      <c r="O93">
        <f>(AF30_ByRubLot[[#This Row],[91-100]]/AF30_ByRubLot34[[Total Charge]:[Total Charge]])</f>
        <v>0.5</v>
      </c>
      <c r="P93">
        <f>(AF30_ByRubLot[[#This Row],[101-110]]/AF30_ByRubLot34[[Total Charge]:[Total Charge]])</f>
        <v>0.1</v>
      </c>
      <c r="Q93">
        <f>(AF30_ByRubLot[[#This Row],[111-120]]/AF30_ByRubLot34[[Total Charge]:[Total Charge]])</f>
        <v>0</v>
      </c>
      <c r="R93">
        <f>(AF30_ByRubLot[[#This Row],[121-130]]/AF30_ByRubLot34[[Total Charge]:[Total Charge]])</f>
        <v>0</v>
      </c>
      <c r="S93">
        <f>(AF30_ByRubLot[[#This Row],[131-140]]/AF30_ByRubLot34[[Total Charge]:[Total Charge]])</f>
        <v>0</v>
      </c>
      <c r="T93">
        <v>0</v>
      </c>
      <c r="U93">
        <v>0</v>
      </c>
      <c r="V93" t="s">
        <v>6</v>
      </c>
      <c r="W93">
        <v>10</v>
      </c>
      <c r="X93" s="112"/>
      <c r="Y93">
        <v>2273.3333333333335</v>
      </c>
      <c r="Z93">
        <v>0</v>
      </c>
      <c r="AA93">
        <f t="shared" si="2"/>
        <v>0</v>
      </c>
      <c r="AB93">
        <f>SUM(AF30_ByRubLot34[[#This Row],[0-10]:[131-140]])</f>
        <v>1</v>
      </c>
    </row>
    <row r="94" spans="1:28" x14ac:dyDescent="0.25">
      <c r="A94" t="s">
        <v>24</v>
      </c>
      <c r="B94" s="146" t="s">
        <v>239</v>
      </c>
      <c r="C94" s="148">
        <v>2013</v>
      </c>
      <c r="D94" s="151" t="str">
        <f>MID(AF30_ByRubLot34[[#This Row],[AF-30 Lot]],2,3)</f>
        <v>098</v>
      </c>
      <c r="E94" s="151" t="str">
        <f>CONCATENATE(RIGHT(AF30_ByRubLot34[[#This Row],[Year of Production]],2),AF30_ByRubLot34[[#This Row],[Julian Date Jumbo Production]])</f>
        <v>13098</v>
      </c>
      <c r="F94">
        <f>(AF30_ByRubLot[[#This Row],[0-10]]/AF30_ByRubLot34[[Total Charge]:[Total Charge]])</f>
        <v>0</v>
      </c>
      <c r="G94">
        <f>(AF30_ByRubLot[[#This Row],[11-20]]/AF30_ByRubLot34[[Total Charge]:[Total Charge]])</f>
        <v>0</v>
      </c>
      <c r="H94">
        <f>(AF30_ByRubLot[[#This Row],[21-30]]/AF30_ByRubLot34[[Total Charge]:[Total Charge]])</f>
        <v>0</v>
      </c>
      <c r="I94">
        <f>(AF30_ByRubLot[[#This Row],[31-40]]/AF30_ByRubLot34[[Total Charge]:[Total Charge]])</f>
        <v>0.1</v>
      </c>
      <c r="J94">
        <f>(AF30_ByRubLot[[#This Row],[41-50]]/AF30_ByRubLot34[[Total Charge]:[Total Charge]])</f>
        <v>0.1</v>
      </c>
      <c r="K94">
        <f>(AF30_ByRubLot[[#This Row],[51-60]]/AF30_ByRubLot34[[Total Charge]:[Total Charge]])</f>
        <v>0</v>
      </c>
      <c r="L94">
        <f>(AF30_ByRubLot[[#This Row],[61-70]]/AF30_ByRubLot34[[Total Charge]:[Total Charge]])</f>
        <v>0</v>
      </c>
      <c r="M94">
        <f>(AF30_ByRubLot[[#This Row],[71-80]]/AF30_ByRubLot34[[Total Charge]:[Total Charge]])</f>
        <v>0.1</v>
      </c>
      <c r="N94">
        <f>(AF30_ByRubLot[[#This Row],[81-90]]/AF30_ByRubLot34[[Total Charge]:[Total Charge]])</f>
        <v>0.1</v>
      </c>
      <c r="O94">
        <f>(AF30_ByRubLot[[#This Row],[91-100]]/AF30_ByRubLot34[[Total Charge]:[Total Charge]])</f>
        <v>0.5</v>
      </c>
      <c r="P94">
        <f>(AF30_ByRubLot[[#This Row],[101-110]]/AF30_ByRubLot34[[Total Charge]:[Total Charge]])</f>
        <v>0.1</v>
      </c>
      <c r="Q94">
        <f>(AF30_ByRubLot[[#This Row],[111-120]]/AF30_ByRubLot34[[Total Charge]:[Total Charge]])</f>
        <v>0</v>
      </c>
      <c r="R94">
        <f>(AF30_ByRubLot[[#This Row],[121-130]]/AF30_ByRubLot34[[Total Charge]:[Total Charge]])</f>
        <v>0</v>
      </c>
      <c r="S94">
        <f>(AF30_ByRubLot[[#This Row],[131-140]]/AF30_ByRubLot34[[Total Charge]:[Total Charge]])</f>
        <v>0</v>
      </c>
      <c r="T94">
        <v>0</v>
      </c>
      <c r="U94">
        <v>0</v>
      </c>
      <c r="V94" t="s">
        <v>6</v>
      </c>
      <c r="W94">
        <v>10</v>
      </c>
      <c r="X94" s="112"/>
      <c r="Y94">
        <v>2441.6666666666665</v>
      </c>
      <c r="Z94">
        <v>1984</v>
      </c>
      <c r="AA94">
        <f t="shared" si="2"/>
        <v>81.255972696245735</v>
      </c>
      <c r="AB94">
        <f>SUM(AF30_ByRubLot34[[#This Row],[0-10]:[131-140]])</f>
        <v>1</v>
      </c>
    </row>
    <row r="95" spans="1:28" x14ac:dyDescent="0.25">
      <c r="A95" t="s">
        <v>24</v>
      </c>
      <c r="B95" s="146" t="s">
        <v>238</v>
      </c>
      <c r="C95" s="148">
        <v>2013</v>
      </c>
      <c r="D95" s="151" t="str">
        <f>MID(AF30_ByRubLot34[[#This Row],[AF-30 Lot]],2,3)</f>
        <v>133</v>
      </c>
      <c r="E95" s="151" t="str">
        <f>CONCATENATE(RIGHT(AF30_ByRubLot34[[#This Row],[Year of Production]],2),AF30_ByRubLot34[[#This Row],[Julian Date Jumbo Production]])</f>
        <v>13133</v>
      </c>
      <c r="F95">
        <f>(AF30_ByRubLot[[#This Row],[0-10]]/AF30_ByRubLot34[[Total Charge]:[Total Charge]])</f>
        <v>0</v>
      </c>
      <c r="G95">
        <f>(AF30_ByRubLot[[#This Row],[11-20]]/AF30_ByRubLot34[[Total Charge]:[Total Charge]])</f>
        <v>0</v>
      </c>
      <c r="H95">
        <f>(AF30_ByRubLot[[#This Row],[21-30]]/AF30_ByRubLot34[[Total Charge]:[Total Charge]])</f>
        <v>0</v>
      </c>
      <c r="I95">
        <f>(AF30_ByRubLot[[#This Row],[31-40]]/AF30_ByRubLot34[[Total Charge]:[Total Charge]])</f>
        <v>0.1</v>
      </c>
      <c r="J95">
        <f>(AF30_ByRubLot[[#This Row],[41-50]]/AF30_ByRubLot34[[Total Charge]:[Total Charge]])</f>
        <v>0.1</v>
      </c>
      <c r="K95">
        <f>(AF30_ByRubLot[[#This Row],[51-60]]/AF30_ByRubLot34[[Total Charge]:[Total Charge]])</f>
        <v>0</v>
      </c>
      <c r="L95">
        <f>(AF30_ByRubLot[[#This Row],[61-70]]/AF30_ByRubLot34[[Total Charge]:[Total Charge]])</f>
        <v>0</v>
      </c>
      <c r="M95">
        <f>(AF30_ByRubLot[[#This Row],[71-80]]/AF30_ByRubLot34[[Total Charge]:[Total Charge]])</f>
        <v>0.1</v>
      </c>
      <c r="N95">
        <f>(AF30_ByRubLot[[#This Row],[81-90]]/AF30_ByRubLot34[[Total Charge]:[Total Charge]])</f>
        <v>0.1</v>
      </c>
      <c r="O95">
        <f>(AF30_ByRubLot[[#This Row],[91-100]]/AF30_ByRubLot34[[Total Charge]:[Total Charge]])</f>
        <v>0.5</v>
      </c>
      <c r="P95">
        <f>(AF30_ByRubLot[[#This Row],[101-110]]/AF30_ByRubLot34[[Total Charge]:[Total Charge]])</f>
        <v>0.1</v>
      </c>
      <c r="Q95">
        <f>(AF30_ByRubLot[[#This Row],[111-120]]/AF30_ByRubLot34[[Total Charge]:[Total Charge]])</f>
        <v>0</v>
      </c>
      <c r="R95">
        <f>(AF30_ByRubLot[[#This Row],[121-130]]/AF30_ByRubLot34[[Total Charge]:[Total Charge]])</f>
        <v>0</v>
      </c>
      <c r="S95">
        <f>(AF30_ByRubLot[[#This Row],[131-140]]/AF30_ByRubLot34[[Total Charge]:[Total Charge]])</f>
        <v>0</v>
      </c>
      <c r="T95">
        <v>0</v>
      </c>
      <c r="U95">
        <v>0</v>
      </c>
      <c r="V95" t="s">
        <v>6</v>
      </c>
      <c r="W95">
        <v>10</v>
      </c>
      <c r="X95" s="112"/>
      <c r="Y95">
        <v>2618.3333333333335</v>
      </c>
      <c r="Z95">
        <v>2440</v>
      </c>
      <c r="AA95">
        <f t="shared" si="2"/>
        <v>93.18905155951623</v>
      </c>
      <c r="AB95">
        <f>SUM(AF30_ByRubLot34[[#This Row],[0-10]:[131-140]])</f>
        <v>1</v>
      </c>
    </row>
    <row r="96" spans="1:28" x14ac:dyDescent="0.25">
      <c r="A96" t="s">
        <v>24</v>
      </c>
      <c r="B96" s="146" t="s">
        <v>237</v>
      </c>
      <c r="C96" s="148">
        <v>2013</v>
      </c>
      <c r="D96" s="151" t="str">
        <f>MID(AF30_ByRubLot34[[#This Row],[AF-30 Lot]],2,3)</f>
        <v>168</v>
      </c>
      <c r="E96" s="151" t="str">
        <f>CONCATENATE(RIGHT(AF30_ByRubLot34[[#This Row],[Year of Production]],2),AF30_ByRubLot34[[#This Row],[Julian Date Jumbo Production]])</f>
        <v>13168</v>
      </c>
      <c r="F96">
        <f>(AF30_ByRubLot[[#This Row],[0-10]]/AF30_ByRubLot34[[Total Charge]:[Total Charge]])</f>
        <v>0</v>
      </c>
      <c r="G96">
        <f>(AF30_ByRubLot[[#This Row],[11-20]]/AF30_ByRubLot34[[Total Charge]:[Total Charge]])</f>
        <v>0</v>
      </c>
      <c r="H96">
        <f>(AF30_ByRubLot[[#This Row],[21-30]]/AF30_ByRubLot34[[Total Charge]:[Total Charge]])</f>
        <v>0</v>
      </c>
      <c r="I96">
        <f>(AF30_ByRubLot[[#This Row],[31-40]]/AF30_ByRubLot34[[Total Charge]:[Total Charge]])</f>
        <v>0.1</v>
      </c>
      <c r="J96">
        <f>(AF30_ByRubLot[[#This Row],[41-50]]/AF30_ByRubLot34[[Total Charge]:[Total Charge]])</f>
        <v>0.1</v>
      </c>
      <c r="K96">
        <f>(AF30_ByRubLot[[#This Row],[51-60]]/AF30_ByRubLot34[[Total Charge]:[Total Charge]])</f>
        <v>0</v>
      </c>
      <c r="L96">
        <f>(AF30_ByRubLot[[#This Row],[61-70]]/AF30_ByRubLot34[[Total Charge]:[Total Charge]])</f>
        <v>0</v>
      </c>
      <c r="M96">
        <f>(AF30_ByRubLot[[#This Row],[71-80]]/AF30_ByRubLot34[[Total Charge]:[Total Charge]])</f>
        <v>0.1</v>
      </c>
      <c r="N96">
        <f>(AF30_ByRubLot[[#This Row],[81-90]]/AF30_ByRubLot34[[Total Charge]:[Total Charge]])</f>
        <v>0.1</v>
      </c>
      <c r="O96">
        <f>(AF30_ByRubLot[[#This Row],[91-100]]/AF30_ByRubLot34[[Total Charge]:[Total Charge]])</f>
        <v>0.5</v>
      </c>
      <c r="P96">
        <f>(AF30_ByRubLot[[#This Row],[101-110]]/AF30_ByRubLot34[[Total Charge]:[Total Charge]])</f>
        <v>0.1</v>
      </c>
      <c r="Q96">
        <f>(AF30_ByRubLot[[#This Row],[111-120]]/AF30_ByRubLot34[[Total Charge]:[Total Charge]])</f>
        <v>0</v>
      </c>
      <c r="R96">
        <f>(AF30_ByRubLot[[#This Row],[121-130]]/AF30_ByRubLot34[[Total Charge]:[Total Charge]])</f>
        <v>0</v>
      </c>
      <c r="S96">
        <f>(AF30_ByRubLot[[#This Row],[131-140]]/AF30_ByRubLot34[[Total Charge]:[Total Charge]])</f>
        <v>0</v>
      </c>
      <c r="T96">
        <v>0</v>
      </c>
      <c r="U96">
        <v>0</v>
      </c>
      <c r="V96" t="s">
        <v>6</v>
      </c>
      <c r="W96">
        <v>10</v>
      </c>
      <c r="X96" s="112"/>
      <c r="Y96">
        <v>1938.8888888888889</v>
      </c>
      <c r="Z96">
        <v>1480</v>
      </c>
      <c r="AA96">
        <f t="shared" si="2"/>
        <v>76.332378223495695</v>
      </c>
      <c r="AB96">
        <f>SUM(AF30_ByRubLot34[[#This Row],[0-10]:[131-140]])</f>
        <v>1</v>
      </c>
    </row>
    <row r="97" spans="1:28" x14ac:dyDescent="0.25">
      <c r="A97" t="s">
        <v>24</v>
      </c>
      <c r="B97" s="146" t="s">
        <v>236</v>
      </c>
      <c r="C97" s="148">
        <v>2013</v>
      </c>
      <c r="D97" s="151" t="str">
        <f>MID(AF30_ByRubLot34[[#This Row],[AF-30 Lot]],2,3)</f>
        <v>196</v>
      </c>
      <c r="E97" s="151" t="str">
        <f>CONCATENATE(RIGHT(AF30_ByRubLot34[[#This Row],[Year of Production]],2),AF30_ByRubLot34[[#This Row],[Julian Date Jumbo Production]])</f>
        <v>13196</v>
      </c>
      <c r="F97">
        <f>(AF30_ByRubLot[[#This Row],[0-10]]/AF30_ByRubLot34[[Total Charge]:[Total Charge]])</f>
        <v>0</v>
      </c>
      <c r="G97">
        <f>(AF30_ByRubLot[[#This Row],[11-20]]/AF30_ByRubLot34[[Total Charge]:[Total Charge]])</f>
        <v>0</v>
      </c>
      <c r="H97">
        <f>(AF30_ByRubLot[[#This Row],[21-30]]/AF30_ByRubLot34[[Total Charge]:[Total Charge]])</f>
        <v>0</v>
      </c>
      <c r="I97">
        <f>(AF30_ByRubLot[[#This Row],[31-40]]/AF30_ByRubLot34[[Total Charge]:[Total Charge]])</f>
        <v>0.1</v>
      </c>
      <c r="J97">
        <f>(AF30_ByRubLot[[#This Row],[41-50]]/AF30_ByRubLot34[[Total Charge]:[Total Charge]])</f>
        <v>0.1</v>
      </c>
      <c r="K97">
        <f>(AF30_ByRubLot[[#This Row],[51-60]]/AF30_ByRubLot34[[Total Charge]:[Total Charge]])</f>
        <v>0</v>
      </c>
      <c r="L97">
        <f>(AF30_ByRubLot[[#This Row],[61-70]]/AF30_ByRubLot34[[Total Charge]:[Total Charge]])</f>
        <v>0</v>
      </c>
      <c r="M97">
        <f>(AF30_ByRubLot[[#This Row],[71-80]]/AF30_ByRubLot34[[Total Charge]:[Total Charge]])</f>
        <v>0.1</v>
      </c>
      <c r="N97">
        <f>(AF30_ByRubLot[[#This Row],[81-90]]/AF30_ByRubLot34[[Total Charge]:[Total Charge]])</f>
        <v>0.1</v>
      </c>
      <c r="O97">
        <f>(AF30_ByRubLot[[#This Row],[91-100]]/AF30_ByRubLot34[[Total Charge]:[Total Charge]])</f>
        <v>0.5</v>
      </c>
      <c r="P97">
        <f>(AF30_ByRubLot[[#This Row],[101-110]]/AF30_ByRubLot34[[Total Charge]:[Total Charge]])</f>
        <v>0.1</v>
      </c>
      <c r="Q97">
        <f>(AF30_ByRubLot[[#This Row],[111-120]]/AF30_ByRubLot34[[Total Charge]:[Total Charge]])</f>
        <v>0</v>
      </c>
      <c r="R97">
        <f>(AF30_ByRubLot[[#This Row],[121-130]]/AF30_ByRubLot34[[Total Charge]:[Total Charge]])</f>
        <v>0</v>
      </c>
      <c r="S97">
        <f>(AF30_ByRubLot[[#This Row],[131-140]]/AF30_ByRubLot34[[Total Charge]:[Total Charge]])</f>
        <v>0</v>
      </c>
      <c r="T97">
        <v>0</v>
      </c>
      <c r="U97">
        <v>0</v>
      </c>
      <c r="V97" t="s">
        <v>6</v>
      </c>
      <c r="W97">
        <v>10</v>
      </c>
      <c r="X97" s="112"/>
      <c r="Y97">
        <v>1901.666666666667</v>
      </c>
      <c r="Z97">
        <v>1708</v>
      </c>
      <c r="AA97">
        <f t="shared" si="2"/>
        <v>89.815950920245385</v>
      </c>
      <c r="AB97">
        <f>SUM(AF30_ByRubLot34[[#This Row],[0-10]:[131-140]])</f>
        <v>1</v>
      </c>
    </row>
    <row r="98" spans="1:28" x14ac:dyDescent="0.25">
      <c r="A98" t="s">
        <v>24</v>
      </c>
      <c r="B98" s="146" t="s">
        <v>235</v>
      </c>
      <c r="C98" s="148">
        <v>2013</v>
      </c>
      <c r="D98" s="151" t="str">
        <f>MID(AF30_ByRubLot34[[#This Row],[AF-30 Lot]],2,3)</f>
        <v>204</v>
      </c>
      <c r="E98" s="151" t="str">
        <f>CONCATENATE(RIGHT(AF30_ByRubLot34[[#This Row],[Year of Production]],2),AF30_ByRubLot34[[#This Row],[Julian Date Jumbo Production]])</f>
        <v>13204</v>
      </c>
      <c r="F98">
        <f>(AF30_ByRubLot[[#This Row],[0-10]]/AF30_ByRubLot34[[Total Charge]:[Total Charge]])</f>
        <v>0</v>
      </c>
      <c r="G98">
        <f>(AF30_ByRubLot[[#This Row],[11-20]]/AF30_ByRubLot34[[Total Charge]:[Total Charge]])</f>
        <v>0</v>
      </c>
      <c r="H98">
        <f>(AF30_ByRubLot[[#This Row],[21-30]]/AF30_ByRubLot34[[Total Charge]:[Total Charge]])</f>
        <v>0</v>
      </c>
      <c r="I98">
        <f>(AF30_ByRubLot[[#This Row],[31-40]]/AF30_ByRubLot34[[Total Charge]:[Total Charge]])</f>
        <v>0.1</v>
      </c>
      <c r="J98">
        <f>(AF30_ByRubLot[[#This Row],[41-50]]/AF30_ByRubLot34[[Total Charge]:[Total Charge]])</f>
        <v>0.1</v>
      </c>
      <c r="K98">
        <f>(AF30_ByRubLot[[#This Row],[51-60]]/AF30_ByRubLot34[[Total Charge]:[Total Charge]])</f>
        <v>0</v>
      </c>
      <c r="L98">
        <f>(AF30_ByRubLot[[#This Row],[61-70]]/AF30_ByRubLot34[[Total Charge]:[Total Charge]])</f>
        <v>0</v>
      </c>
      <c r="M98">
        <f>(AF30_ByRubLot[[#This Row],[71-80]]/AF30_ByRubLot34[[Total Charge]:[Total Charge]])</f>
        <v>0.1</v>
      </c>
      <c r="N98">
        <f>(AF30_ByRubLot[[#This Row],[81-90]]/AF30_ByRubLot34[[Total Charge]:[Total Charge]])</f>
        <v>0.1</v>
      </c>
      <c r="O98">
        <f>(AF30_ByRubLot[[#This Row],[91-100]]/AF30_ByRubLot34[[Total Charge]:[Total Charge]])</f>
        <v>0.5</v>
      </c>
      <c r="P98">
        <f>(AF30_ByRubLot[[#This Row],[101-110]]/AF30_ByRubLot34[[Total Charge]:[Total Charge]])</f>
        <v>0.1</v>
      </c>
      <c r="Q98">
        <f>(AF30_ByRubLot[[#This Row],[111-120]]/AF30_ByRubLot34[[Total Charge]:[Total Charge]])</f>
        <v>0</v>
      </c>
      <c r="R98">
        <f>(AF30_ByRubLot[[#This Row],[121-130]]/AF30_ByRubLot34[[Total Charge]:[Total Charge]])</f>
        <v>0</v>
      </c>
      <c r="S98">
        <f>(AF30_ByRubLot[[#This Row],[131-140]]/AF30_ByRubLot34[[Total Charge]:[Total Charge]])</f>
        <v>0</v>
      </c>
      <c r="T98">
        <v>0</v>
      </c>
      <c r="U98">
        <v>0</v>
      </c>
      <c r="V98" t="s">
        <v>6</v>
      </c>
      <c r="W98">
        <v>10</v>
      </c>
      <c r="X98" s="112"/>
      <c r="Y98">
        <v>1246.1111111111111</v>
      </c>
      <c r="Z98">
        <v>960</v>
      </c>
      <c r="AA98">
        <f t="shared" ref="AA98:AA129" si="3">(Z98/Y98)*100</f>
        <v>77.03967900133749</v>
      </c>
      <c r="AB98">
        <f>SUM(AF30_ByRubLot34[[#This Row],[0-10]:[131-140]])</f>
        <v>1</v>
      </c>
    </row>
    <row r="99" spans="1:28" x14ac:dyDescent="0.25">
      <c r="A99" t="s">
        <v>24</v>
      </c>
      <c r="B99" s="146" t="s">
        <v>234</v>
      </c>
      <c r="C99" s="148">
        <v>2013</v>
      </c>
      <c r="D99" s="151" t="str">
        <f>MID(AF30_ByRubLot34[[#This Row],[AF-30 Lot]],2,3)</f>
        <v>260</v>
      </c>
      <c r="E99" s="151" t="str">
        <f>CONCATENATE(RIGHT(AF30_ByRubLot34[[#This Row],[Year of Production]],2),AF30_ByRubLot34[[#This Row],[Julian Date Jumbo Production]])</f>
        <v>13260</v>
      </c>
      <c r="F99">
        <f>(AF30_ByRubLot[[#This Row],[0-10]]/AF30_ByRubLot34[[Total Charge]:[Total Charge]])</f>
        <v>0</v>
      </c>
      <c r="G99">
        <f>(AF30_ByRubLot[[#This Row],[11-20]]/AF30_ByRubLot34[[Total Charge]:[Total Charge]])</f>
        <v>0</v>
      </c>
      <c r="H99">
        <f>(AF30_ByRubLot[[#This Row],[21-30]]/AF30_ByRubLot34[[Total Charge]:[Total Charge]])</f>
        <v>0</v>
      </c>
      <c r="I99">
        <f>(AF30_ByRubLot[[#This Row],[31-40]]/AF30_ByRubLot34[[Total Charge]:[Total Charge]])</f>
        <v>0.1</v>
      </c>
      <c r="J99">
        <f>(AF30_ByRubLot[[#This Row],[41-50]]/AF30_ByRubLot34[[Total Charge]:[Total Charge]])</f>
        <v>0.1</v>
      </c>
      <c r="K99">
        <f>(AF30_ByRubLot[[#This Row],[51-60]]/AF30_ByRubLot34[[Total Charge]:[Total Charge]])</f>
        <v>0</v>
      </c>
      <c r="L99">
        <f>(AF30_ByRubLot[[#This Row],[61-70]]/AF30_ByRubLot34[[Total Charge]:[Total Charge]])</f>
        <v>0</v>
      </c>
      <c r="M99">
        <f>(AF30_ByRubLot[[#This Row],[71-80]]/AF30_ByRubLot34[[Total Charge]:[Total Charge]])</f>
        <v>0.1</v>
      </c>
      <c r="N99">
        <f>(AF30_ByRubLot[[#This Row],[81-90]]/AF30_ByRubLot34[[Total Charge]:[Total Charge]])</f>
        <v>0.1</v>
      </c>
      <c r="O99">
        <f>(AF30_ByRubLot[[#This Row],[91-100]]/AF30_ByRubLot34[[Total Charge]:[Total Charge]])</f>
        <v>0.5</v>
      </c>
      <c r="P99">
        <f>(AF30_ByRubLot[[#This Row],[101-110]]/AF30_ByRubLot34[[Total Charge]:[Total Charge]])</f>
        <v>0.1</v>
      </c>
      <c r="Q99">
        <f>(AF30_ByRubLot[[#This Row],[111-120]]/AF30_ByRubLot34[[Total Charge]:[Total Charge]])</f>
        <v>0</v>
      </c>
      <c r="R99">
        <f>(AF30_ByRubLot[[#This Row],[121-130]]/AF30_ByRubLot34[[Total Charge]:[Total Charge]])</f>
        <v>0</v>
      </c>
      <c r="S99">
        <f>(AF30_ByRubLot[[#This Row],[131-140]]/AF30_ByRubLot34[[Total Charge]:[Total Charge]])</f>
        <v>0</v>
      </c>
      <c r="T99">
        <v>0</v>
      </c>
      <c r="U99">
        <v>0</v>
      </c>
      <c r="V99" t="s">
        <v>6</v>
      </c>
      <c r="W99">
        <v>10</v>
      </c>
      <c r="X99" s="112"/>
      <c r="Y99">
        <v>1701.6666666666665</v>
      </c>
      <c r="Z99">
        <v>680</v>
      </c>
      <c r="AA99">
        <f t="shared" si="3"/>
        <v>39.960822722820765</v>
      </c>
      <c r="AB99">
        <f>SUM(AF30_ByRubLot34[[#This Row],[0-10]:[131-140]])</f>
        <v>1</v>
      </c>
    </row>
    <row r="100" spans="1:28" x14ac:dyDescent="0.25">
      <c r="A100" t="s">
        <v>24</v>
      </c>
      <c r="B100" s="146" t="s">
        <v>233</v>
      </c>
      <c r="C100" s="148">
        <v>2013</v>
      </c>
      <c r="D100" s="151" t="str">
        <f>MID(AF30_ByRubLot34[[#This Row],[AF-30 Lot]],2,3)</f>
        <v>294</v>
      </c>
      <c r="E100" s="151" t="str">
        <f>CONCATENATE(RIGHT(AF30_ByRubLot34[[#This Row],[Year of Production]],2),AF30_ByRubLot34[[#This Row],[Julian Date Jumbo Production]])</f>
        <v>13294</v>
      </c>
      <c r="F100">
        <f>(AF30_ByRubLot[[#This Row],[0-10]]/AF30_ByRubLot34[[Total Charge]:[Total Charge]])</f>
        <v>0</v>
      </c>
      <c r="G100">
        <f>(AF30_ByRubLot[[#This Row],[11-20]]/AF30_ByRubLot34[[Total Charge]:[Total Charge]])</f>
        <v>0</v>
      </c>
      <c r="H100">
        <f>(AF30_ByRubLot[[#This Row],[21-30]]/AF30_ByRubLot34[[Total Charge]:[Total Charge]])</f>
        <v>0</v>
      </c>
      <c r="I100">
        <f>(AF30_ByRubLot[[#This Row],[31-40]]/AF30_ByRubLot34[[Total Charge]:[Total Charge]])</f>
        <v>0.1</v>
      </c>
      <c r="J100">
        <f>(AF30_ByRubLot[[#This Row],[41-50]]/AF30_ByRubLot34[[Total Charge]:[Total Charge]])</f>
        <v>0.1</v>
      </c>
      <c r="K100">
        <f>(AF30_ByRubLot[[#This Row],[51-60]]/AF30_ByRubLot34[[Total Charge]:[Total Charge]])</f>
        <v>0</v>
      </c>
      <c r="L100">
        <f>(AF30_ByRubLot[[#This Row],[61-70]]/AF30_ByRubLot34[[Total Charge]:[Total Charge]])</f>
        <v>0</v>
      </c>
      <c r="M100">
        <f>(AF30_ByRubLot[[#This Row],[71-80]]/AF30_ByRubLot34[[Total Charge]:[Total Charge]])</f>
        <v>0.1</v>
      </c>
      <c r="N100">
        <f>(AF30_ByRubLot[[#This Row],[81-90]]/AF30_ByRubLot34[[Total Charge]:[Total Charge]])</f>
        <v>0.1</v>
      </c>
      <c r="O100">
        <f>(AF30_ByRubLot[[#This Row],[91-100]]/AF30_ByRubLot34[[Total Charge]:[Total Charge]])</f>
        <v>0.5</v>
      </c>
      <c r="P100">
        <f>(AF30_ByRubLot[[#This Row],[101-110]]/AF30_ByRubLot34[[Total Charge]:[Total Charge]])</f>
        <v>0.1</v>
      </c>
      <c r="Q100">
        <f>(AF30_ByRubLot[[#This Row],[111-120]]/AF30_ByRubLot34[[Total Charge]:[Total Charge]])</f>
        <v>0</v>
      </c>
      <c r="R100">
        <f>(AF30_ByRubLot[[#This Row],[121-130]]/AF30_ByRubLot34[[Total Charge]:[Total Charge]])</f>
        <v>0</v>
      </c>
      <c r="S100">
        <f>(AF30_ByRubLot[[#This Row],[131-140]]/AF30_ByRubLot34[[Total Charge]:[Total Charge]])</f>
        <v>0</v>
      </c>
      <c r="T100">
        <v>0</v>
      </c>
      <c r="U100">
        <v>0</v>
      </c>
      <c r="V100" t="s">
        <v>6</v>
      </c>
      <c r="W100">
        <v>10</v>
      </c>
      <c r="X100" s="112"/>
      <c r="Y100">
        <v>1702.7777777777778</v>
      </c>
      <c r="Z100">
        <v>1360</v>
      </c>
      <c r="AA100">
        <f t="shared" si="3"/>
        <v>79.869494290375201</v>
      </c>
      <c r="AB100">
        <f>SUM(AF30_ByRubLot34[[#This Row],[0-10]:[131-140]])</f>
        <v>1</v>
      </c>
    </row>
    <row r="101" spans="1:28" x14ac:dyDescent="0.25">
      <c r="A101" t="s">
        <v>24</v>
      </c>
      <c r="B101" s="146" t="s">
        <v>232</v>
      </c>
      <c r="C101" s="148">
        <v>2013</v>
      </c>
      <c r="D101" s="151" t="str">
        <f>MID(AF30_ByRubLot34[[#This Row],[AF-30 Lot]],2,3)</f>
        <v>351</v>
      </c>
      <c r="E101" s="151" t="str">
        <f>CONCATENATE(RIGHT(AF30_ByRubLot34[[#This Row],[Year of Production]],2),AF30_ByRubLot34[[#This Row],[Julian Date Jumbo Production]])</f>
        <v>13351</v>
      </c>
      <c r="F101">
        <f>(AF30_ByRubLot[[#This Row],[0-10]]/AF30_ByRubLot34[[Total Charge]:[Total Charge]])</f>
        <v>0</v>
      </c>
      <c r="G101">
        <f>(AF30_ByRubLot[[#This Row],[11-20]]/AF30_ByRubLot34[[Total Charge]:[Total Charge]])</f>
        <v>0</v>
      </c>
      <c r="H101">
        <f>(AF30_ByRubLot[[#This Row],[21-30]]/AF30_ByRubLot34[[Total Charge]:[Total Charge]])</f>
        <v>0</v>
      </c>
      <c r="I101">
        <f>(AF30_ByRubLot[[#This Row],[31-40]]/AF30_ByRubLot34[[Total Charge]:[Total Charge]])</f>
        <v>0.1</v>
      </c>
      <c r="J101">
        <f>(AF30_ByRubLot[[#This Row],[41-50]]/AF30_ByRubLot34[[Total Charge]:[Total Charge]])</f>
        <v>0.1</v>
      </c>
      <c r="K101">
        <f>(AF30_ByRubLot[[#This Row],[51-60]]/AF30_ByRubLot34[[Total Charge]:[Total Charge]])</f>
        <v>0</v>
      </c>
      <c r="L101">
        <f>(AF30_ByRubLot[[#This Row],[61-70]]/AF30_ByRubLot34[[Total Charge]:[Total Charge]])</f>
        <v>0</v>
      </c>
      <c r="M101">
        <f>(AF30_ByRubLot[[#This Row],[71-80]]/AF30_ByRubLot34[[Total Charge]:[Total Charge]])</f>
        <v>0.1</v>
      </c>
      <c r="N101">
        <f>(AF30_ByRubLot[[#This Row],[81-90]]/AF30_ByRubLot34[[Total Charge]:[Total Charge]])</f>
        <v>0.1</v>
      </c>
      <c r="O101">
        <f>(AF30_ByRubLot[[#This Row],[91-100]]/AF30_ByRubLot34[[Total Charge]:[Total Charge]])</f>
        <v>0.5</v>
      </c>
      <c r="P101">
        <f>(AF30_ByRubLot[[#This Row],[101-110]]/AF30_ByRubLot34[[Total Charge]:[Total Charge]])</f>
        <v>0.1</v>
      </c>
      <c r="Q101">
        <f>(AF30_ByRubLot[[#This Row],[111-120]]/AF30_ByRubLot34[[Total Charge]:[Total Charge]])</f>
        <v>0</v>
      </c>
      <c r="R101">
        <f>(AF30_ByRubLot[[#This Row],[121-130]]/AF30_ByRubLot34[[Total Charge]:[Total Charge]])</f>
        <v>0</v>
      </c>
      <c r="S101">
        <f>(AF30_ByRubLot[[#This Row],[131-140]]/AF30_ByRubLot34[[Total Charge]:[Total Charge]])</f>
        <v>0</v>
      </c>
      <c r="T101">
        <v>0</v>
      </c>
      <c r="U101">
        <v>0</v>
      </c>
      <c r="V101" t="s">
        <v>6</v>
      </c>
      <c r="W101">
        <v>10</v>
      </c>
      <c r="X101" s="112"/>
      <c r="Y101">
        <v>1258.8888888888889</v>
      </c>
      <c r="Z101">
        <v>1028</v>
      </c>
      <c r="AA101">
        <f t="shared" si="3"/>
        <v>81.659311562224175</v>
      </c>
      <c r="AB101">
        <f>SUM(AF30_ByRubLot34[[#This Row],[0-10]:[131-140]])</f>
        <v>1</v>
      </c>
    </row>
    <row r="102" spans="1:28" x14ac:dyDescent="0.25">
      <c r="A102" t="s">
        <v>24</v>
      </c>
      <c r="B102" s="146" t="s">
        <v>231</v>
      </c>
      <c r="C102" s="148">
        <v>2014</v>
      </c>
      <c r="D102" s="151" t="str">
        <f>MID(AF30_ByRubLot34[[#This Row],[AF-30 Lot]],2,3)</f>
        <v>020</v>
      </c>
      <c r="E102" s="151" t="str">
        <f>CONCATENATE(RIGHT(AF30_ByRubLot34[[#This Row],[Year of Production]],2),AF30_ByRubLot34[[#This Row],[Julian Date Jumbo Production]])</f>
        <v>14020</v>
      </c>
      <c r="F102">
        <f>(AF30_ByRubLot[[#This Row],[0-10]]/AF30_ByRubLot34[[Total Charge]:[Total Charge]])</f>
        <v>0</v>
      </c>
      <c r="G102">
        <f>(AF30_ByRubLot[[#This Row],[11-20]]/AF30_ByRubLot34[[Total Charge]:[Total Charge]])</f>
        <v>0</v>
      </c>
      <c r="H102">
        <f>(AF30_ByRubLot[[#This Row],[21-30]]/AF30_ByRubLot34[[Total Charge]:[Total Charge]])</f>
        <v>0</v>
      </c>
      <c r="I102">
        <f>(AF30_ByRubLot[[#This Row],[31-40]]/AF30_ByRubLot34[[Total Charge]:[Total Charge]])</f>
        <v>0.1</v>
      </c>
      <c r="J102">
        <f>(AF30_ByRubLot[[#This Row],[41-50]]/AF30_ByRubLot34[[Total Charge]:[Total Charge]])</f>
        <v>0.1</v>
      </c>
      <c r="K102">
        <f>(AF30_ByRubLot[[#This Row],[51-60]]/AF30_ByRubLot34[[Total Charge]:[Total Charge]])</f>
        <v>0</v>
      </c>
      <c r="L102">
        <f>(AF30_ByRubLot[[#This Row],[61-70]]/AF30_ByRubLot34[[Total Charge]:[Total Charge]])</f>
        <v>0</v>
      </c>
      <c r="M102">
        <f>(AF30_ByRubLot[[#This Row],[71-80]]/AF30_ByRubLot34[[Total Charge]:[Total Charge]])</f>
        <v>0.1</v>
      </c>
      <c r="N102">
        <f>(AF30_ByRubLot[[#This Row],[81-90]]/AF30_ByRubLot34[[Total Charge]:[Total Charge]])</f>
        <v>0.1</v>
      </c>
      <c r="O102">
        <f>(AF30_ByRubLot[[#This Row],[91-100]]/AF30_ByRubLot34[[Total Charge]:[Total Charge]])</f>
        <v>0.5</v>
      </c>
      <c r="P102">
        <f>(AF30_ByRubLot[[#This Row],[101-110]]/AF30_ByRubLot34[[Total Charge]:[Total Charge]])</f>
        <v>0.1</v>
      </c>
      <c r="Q102">
        <f>(AF30_ByRubLot[[#This Row],[111-120]]/AF30_ByRubLot34[[Total Charge]:[Total Charge]])</f>
        <v>0</v>
      </c>
      <c r="R102">
        <f>(AF30_ByRubLot[[#This Row],[121-130]]/AF30_ByRubLot34[[Total Charge]:[Total Charge]])</f>
        <v>0</v>
      </c>
      <c r="S102">
        <f>(AF30_ByRubLot[[#This Row],[131-140]]/AF30_ByRubLot34[[Total Charge]:[Total Charge]])</f>
        <v>0</v>
      </c>
      <c r="T102">
        <v>0</v>
      </c>
      <c r="U102">
        <v>0</v>
      </c>
      <c r="V102" t="s">
        <v>6</v>
      </c>
      <c r="W102">
        <v>10</v>
      </c>
      <c r="X102" s="112"/>
      <c r="Y102">
        <v>3057.2222222222217</v>
      </c>
      <c r="Z102">
        <v>2720</v>
      </c>
      <c r="AA102">
        <f t="shared" si="3"/>
        <v>88.969652916590974</v>
      </c>
      <c r="AB102">
        <f>SUM(AF30_ByRubLot34[[#This Row],[0-10]:[131-140]])</f>
        <v>1</v>
      </c>
    </row>
    <row r="103" spans="1:28" x14ac:dyDescent="0.25">
      <c r="A103" t="s">
        <v>24</v>
      </c>
      <c r="B103" s="146" t="s">
        <v>230</v>
      </c>
      <c r="C103" s="148">
        <v>2014</v>
      </c>
      <c r="D103" s="151" t="str">
        <f>MID(AF30_ByRubLot34[[#This Row],[AF-30 Lot]],2,3)</f>
        <v>063</v>
      </c>
      <c r="E103" s="151" t="str">
        <f>CONCATENATE(RIGHT(AF30_ByRubLot34[[#This Row],[Year of Production]],2),AF30_ByRubLot34[[#This Row],[Julian Date Jumbo Production]])</f>
        <v>14063</v>
      </c>
      <c r="F103">
        <f>(AF30_ByRubLot[[#This Row],[0-10]]/AF30_ByRubLot34[[Total Charge]:[Total Charge]])</f>
        <v>0</v>
      </c>
      <c r="G103">
        <f>(AF30_ByRubLot[[#This Row],[11-20]]/AF30_ByRubLot34[[Total Charge]:[Total Charge]])</f>
        <v>0</v>
      </c>
      <c r="H103">
        <f>(AF30_ByRubLot[[#This Row],[21-30]]/AF30_ByRubLot34[[Total Charge]:[Total Charge]])</f>
        <v>0</v>
      </c>
      <c r="I103">
        <f>(AF30_ByRubLot[[#This Row],[31-40]]/AF30_ByRubLot34[[Total Charge]:[Total Charge]])</f>
        <v>0.1</v>
      </c>
      <c r="J103">
        <f>(AF30_ByRubLot[[#This Row],[41-50]]/AF30_ByRubLot34[[Total Charge]:[Total Charge]])</f>
        <v>0.1</v>
      </c>
      <c r="K103">
        <f>(AF30_ByRubLot[[#This Row],[51-60]]/AF30_ByRubLot34[[Total Charge]:[Total Charge]])</f>
        <v>0</v>
      </c>
      <c r="L103">
        <f>(AF30_ByRubLot[[#This Row],[61-70]]/AF30_ByRubLot34[[Total Charge]:[Total Charge]])</f>
        <v>0</v>
      </c>
      <c r="M103">
        <f>(AF30_ByRubLot[[#This Row],[71-80]]/AF30_ByRubLot34[[Total Charge]:[Total Charge]])</f>
        <v>0.1</v>
      </c>
      <c r="N103">
        <f>(AF30_ByRubLot[[#This Row],[81-90]]/AF30_ByRubLot34[[Total Charge]:[Total Charge]])</f>
        <v>0.1</v>
      </c>
      <c r="O103">
        <f>(AF30_ByRubLot[[#This Row],[91-100]]/AF30_ByRubLot34[[Total Charge]:[Total Charge]])</f>
        <v>0.5</v>
      </c>
      <c r="P103">
        <f>(AF30_ByRubLot[[#This Row],[101-110]]/AF30_ByRubLot34[[Total Charge]:[Total Charge]])</f>
        <v>0.1</v>
      </c>
      <c r="Q103">
        <f>(AF30_ByRubLot[[#This Row],[111-120]]/AF30_ByRubLot34[[Total Charge]:[Total Charge]])</f>
        <v>0</v>
      </c>
      <c r="R103">
        <f>(AF30_ByRubLot[[#This Row],[121-130]]/AF30_ByRubLot34[[Total Charge]:[Total Charge]])</f>
        <v>0</v>
      </c>
      <c r="S103">
        <f>(AF30_ByRubLot[[#This Row],[131-140]]/AF30_ByRubLot34[[Total Charge]:[Total Charge]])</f>
        <v>0</v>
      </c>
      <c r="T103">
        <v>0</v>
      </c>
      <c r="U103">
        <v>0</v>
      </c>
      <c r="V103" t="s">
        <v>6</v>
      </c>
      <c r="W103">
        <v>10</v>
      </c>
      <c r="X103" s="112"/>
      <c r="Y103">
        <v>3002.7777777777778</v>
      </c>
      <c r="Z103">
        <v>2595.66662</v>
      </c>
      <c r="AA103">
        <f t="shared" si="3"/>
        <v>86.442181609620718</v>
      </c>
      <c r="AB103">
        <f>SUM(AF30_ByRubLot34[[#This Row],[0-10]:[131-140]])</f>
        <v>1</v>
      </c>
    </row>
    <row r="104" spans="1:28" x14ac:dyDescent="0.25">
      <c r="A104" t="s">
        <v>24</v>
      </c>
      <c r="B104" s="146" t="s">
        <v>229</v>
      </c>
      <c r="C104" s="148">
        <v>2014</v>
      </c>
      <c r="D104" s="151" t="str">
        <f>MID(AF30_ByRubLot34[[#This Row],[AF-30 Lot]],2,3)</f>
        <v>099</v>
      </c>
      <c r="E104" s="151" t="str">
        <f>CONCATENATE(RIGHT(AF30_ByRubLot34[[#This Row],[Year of Production]],2),AF30_ByRubLot34[[#This Row],[Julian Date Jumbo Production]])</f>
        <v>14099</v>
      </c>
      <c r="F104">
        <f>(AF30_ByRubLot[[#This Row],[0-10]]/AF30_ByRubLot34[[Total Charge]:[Total Charge]])</f>
        <v>0</v>
      </c>
      <c r="G104">
        <f>(AF30_ByRubLot[[#This Row],[11-20]]/AF30_ByRubLot34[[Total Charge]:[Total Charge]])</f>
        <v>0</v>
      </c>
      <c r="H104">
        <f>(AF30_ByRubLot[[#This Row],[21-30]]/AF30_ByRubLot34[[Total Charge]:[Total Charge]])</f>
        <v>0</v>
      </c>
      <c r="I104">
        <f>(AF30_ByRubLot[[#This Row],[31-40]]/AF30_ByRubLot34[[Total Charge]:[Total Charge]])</f>
        <v>0.1</v>
      </c>
      <c r="J104">
        <f>(AF30_ByRubLot[[#This Row],[41-50]]/AF30_ByRubLot34[[Total Charge]:[Total Charge]])</f>
        <v>0.1</v>
      </c>
      <c r="K104">
        <f>(AF30_ByRubLot[[#This Row],[51-60]]/AF30_ByRubLot34[[Total Charge]:[Total Charge]])</f>
        <v>0</v>
      </c>
      <c r="L104">
        <f>(AF30_ByRubLot[[#This Row],[61-70]]/AF30_ByRubLot34[[Total Charge]:[Total Charge]])</f>
        <v>0</v>
      </c>
      <c r="M104">
        <f>(AF30_ByRubLot[[#This Row],[71-80]]/AF30_ByRubLot34[[Total Charge]:[Total Charge]])</f>
        <v>0.1</v>
      </c>
      <c r="N104">
        <f>(AF30_ByRubLot[[#This Row],[81-90]]/AF30_ByRubLot34[[Total Charge]:[Total Charge]])</f>
        <v>0.1</v>
      </c>
      <c r="O104">
        <f>(AF30_ByRubLot[[#This Row],[91-100]]/AF30_ByRubLot34[[Total Charge]:[Total Charge]])</f>
        <v>0.5</v>
      </c>
      <c r="P104">
        <f>(AF30_ByRubLot[[#This Row],[101-110]]/AF30_ByRubLot34[[Total Charge]:[Total Charge]])</f>
        <v>0.1</v>
      </c>
      <c r="Q104">
        <f>(AF30_ByRubLot[[#This Row],[111-120]]/AF30_ByRubLot34[[Total Charge]:[Total Charge]])</f>
        <v>0</v>
      </c>
      <c r="R104">
        <f>(AF30_ByRubLot[[#This Row],[121-130]]/AF30_ByRubLot34[[Total Charge]:[Total Charge]])</f>
        <v>0</v>
      </c>
      <c r="S104">
        <f>(AF30_ByRubLot[[#This Row],[131-140]]/AF30_ByRubLot34[[Total Charge]:[Total Charge]])</f>
        <v>0</v>
      </c>
      <c r="T104">
        <v>0</v>
      </c>
      <c r="U104">
        <v>0</v>
      </c>
      <c r="V104" t="s">
        <v>6</v>
      </c>
      <c r="W104">
        <v>10</v>
      </c>
      <c r="X104" s="112"/>
      <c r="Y104">
        <v>1983.3333333333333</v>
      </c>
      <c r="Z104">
        <v>1761.6666599999999</v>
      </c>
      <c r="AA104">
        <f t="shared" si="3"/>
        <v>88.823529075630248</v>
      </c>
      <c r="AB104">
        <f>SUM(AF30_ByRubLot34[[#This Row],[0-10]:[131-140]])</f>
        <v>1</v>
      </c>
    </row>
    <row r="105" spans="1:28" x14ac:dyDescent="0.25">
      <c r="A105" t="s">
        <v>24</v>
      </c>
      <c r="B105" s="146" t="s">
        <v>228</v>
      </c>
      <c r="C105" s="148">
        <v>2014</v>
      </c>
      <c r="D105" s="151" t="str">
        <f>MID(AF30_ByRubLot34[[#This Row],[AF-30 Lot]],2,3)</f>
        <v>132</v>
      </c>
      <c r="E105" s="151" t="str">
        <f>CONCATENATE(RIGHT(AF30_ByRubLot34[[#This Row],[Year of Production]],2),AF30_ByRubLot34[[#This Row],[Julian Date Jumbo Production]])</f>
        <v>14132</v>
      </c>
      <c r="F105">
        <f>(AF30_ByRubLot[[#This Row],[0-10]]/AF30_ByRubLot34[[Total Charge]:[Total Charge]])</f>
        <v>0</v>
      </c>
      <c r="G105">
        <f>(AF30_ByRubLot[[#This Row],[11-20]]/AF30_ByRubLot34[[Total Charge]:[Total Charge]])</f>
        <v>0</v>
      </c>
      <c r="H105">
        <f>(AF30_ByRubLot[[#This Row],[21-30]]/AF30_ByRubLot34[[Total Charge]:[Total Charge]])</f>
        <v>0</v>
      </c>
      <c r="I105">
        <f>(AF30_ByRubLot[[#This Row],[31-40]]/AF30_ByRubLot34[[Total Charge]:[Total Charge]])</f>
        <v>0.1</v>
      </c>
      <c r="J105">
        <f>(AF30_ByRubLot[[#This Row],[41-50]]/AF30_ByRubLot34[[Total Charge]:[Total Charge]])</f>
        <v>0.1</v>
      </c>
      <c r="K105">
        <f>(AF30_ByRubLot[[#This Row],[51-60]]/AF30_ByRubLot34[[Total Charge]:[Total Charge]])</f>
        <v>0</v>
      </c>
      <c r="L105">
        <f>(AF30_ByRubLot[[#This Row],[61-70]]/AF30_ByRubLot34[[Total Charge]:[Total Charge]])</f>
        <v>0</v>
      </c>
      <c r="M105">
        <f>(AF30_ByRubLot[[#This Row],[71-80]]/AF30_ByRubLot34[[Total Charge]:[Total Charge]])</f>
        <v>0.1</v>
      </c>
      <c r="N105">
        <f>(AF30_ByRubLot[[#This Row],[81-90]]/AF30_ByRubLot34[[Total Charge]:[Total Charge]])</f>
        <v>0.1</v>
      </c>
      <c r="O105">
        <f>(AF30_ByRubLot[[#This Row],[91-100]]/AF30_ByRubLot34[[Total Charge]:[Total Charge]])</f>
        <v>0.5</v>
      </c>
      <c r="P105">
        <f>(AF30_ByRubLot[[#This Row],[101-110]]/AF30_ByRubLot34[[Total Charge]:[Total Charge]])</f>
        <v>0.1</v>
      </c>
      <c r="Q105">
        <f>(AF30_ByRubLot[[#This Row],[111-120]]/AF30_ByRubLot34[[Total Charge]:[Total Charge]])</f>
        <v>0</v>
      </c>
      <c r="R105">
        <f>(AF30_ByRubLot[[#This Row],[121-130]]/AF30_ByRubLot34[[Total Charge]:[Total Charge]])</f>
        <v>0</v>
      </c>
      <c r="S105">
        <f>(AF30_ByRubLot[[#This Row],[131-140]]/AF30_ByRubLot34[[Total Charge]:[Total Charge]])</f>
        <v>0</v>
      </c>
      <c r="T105">
        <v>0</v>
      </c>
      <c r="U105">
        <v>0</v>
      </c>
      <c r="V105" t="s">
        <v>6</v>
      </c>
      <c r="W105">
        <v>10</v>
      </c>
      <c r="X105" s="112"/>
      <c r="Y105">
        <v>1855.5555555555557</v>
      </c>
      <c r="Z105">
        <v>1681.6666599999999</v>
      </c>
      <c r="AA105">
        <f t="shared" si="3"/>
        <v>90.628742155688613</v>
      </c>
      <c r="AB105">
        <f>SUM(AF30_ByRubLot34[[#This Row],[0-10]:[131-140]])</f>
        <v>1</v>
      </c>
    </row>
    <row r="106" spans="1:28" x14ac:dyDescent="0.25">
      <c r="A106" t="s">
        <v>24</v>
      </c>
      <c r="B106" s="146" t="s">
        <v>227</v>
      </c>
      <c r="C106" s="148">
        <v>2014</v>
      </c>
      <c r="D106" s="151" t="str">
        <f>MID(AF30_ByRubLot34[[#This Row],[AF-30 Lot]],2,3)</f>
        <v>136</v>
      </c>
      <c r="E106" s="151" t="str">
        <f>CONCATENATE(RIGHT(AF30_ByRubLot34[[#This Row],[Year of Production]],2),AF30_ByRubLot34[[#This Row],[Julian Date Jumbo Production]])</f>
        <v>14136</v>
      </c>
      <c r="F106">
        <f>(AF30_ByRubLot[[#This Row],[0-10]]/AF30_ByRubLot34[[Total Charge]:[Total Charge]])</f>
        <v>0</v>
      </c>
      <c r="G106">
        <f>(AF30_ByRubLot[[#This Row],[11-20]]/AF30_ByRubLot34[[Total Charge]:[Total Charge]])</f>
        <v>0</v>
      </c>
      <c r="H106">
        <f>(AF30_ByRubLot[[#This Row],[21-30]]/AF30_ByRubLot34[[Total Charge]:[Total Charge]])</f>
        <v>0</v>
      </c>
      <c r="I106">
        <f>(AF30_ByRubLot[[#This Row],[31-40]]/AF30_ByRubLot34[[Total Charge]:[Total Charge]])</f>
        <v>0.1</v>
      </c>
      <c r="J106">
        <f>(AF30_ByRubLot[[#This Row],[41-50]]/AF30_ByRubLot34[[Total Charge]:[Total Charge]])</f>
        <v>0.1</v>
      </c>
      <c r="K106">
        <f>(AF30_ByRubLot[[#This Row],[51-60]]/AF30_ByRubLot34[[Total Charge]:[Total Charge]])</f>
        <v>0</v>
      </c>
      <c r="L106">
        <f>(AF30_ByRubLot[[#This Row],[61-70]]/AF30_ByRubLot34[[Total Charge]:[Total Charge]])</f>
        <v>0</v>
      </c>
      <c r="M106">
        <f>(AF30_ByRubLot[[#This Row],[71-80]]/AF30_ByRubLot34[[Total Charge]:[Total Charge]])</f>
        <v>0.1</v>
      </c>
      <c r="N106">
        <f>(AF30_ByRubLot[[#This Row],[81-90]]/AF30_ByRubLot34[[Total Charge]:[Total Charge]])</f>
        <v>0.1</v>
      </c>
      <c r="O106">
        <f>(AF30_ByRubLot[[#This Row],[91-100]]/AF30_ByRubLot34[[Total Charge]:[Total Charge]])</f>
        <v>0.5</v>
      </c>
      <c r="P106">
        <f>(AF30_ByRubLot[[#This Row],[101-110]]/AF30_ByRubLot34[[Total Charge]:[Total Charge]])</f>
        <v>0.1</v>
      </c>
      <c r="Q106">
        <f>(AF30_ByRubLot[[#This Row],[111-120]]/AF30_ByRubLot34[[Total Charge]:[Total Charge]])</f>
        <v>0</v>
      </c>
      <c r="R106">
        <f>(AF30_ByRubLot[[#This Row],[121-130]]/AF30_ByRubLot34[[Total Charge]:[Total Charge]])</f>
        <v>0</v>
      </c>
      <c r="S106">
        <f>(AF30_ByRubLot[[#This Row],[131-140]]/AF30_ByRubLot34[[Total Charge]:[Total Charge]])</f>
        <v>0</v>
      </c>
      <c r="T106">
        <v>0</v>
      </c>
      <c r="U106">
        <v>0</v>
      </c>
      <c r="V106" t="s">
        <v>6</v>
      </c>
      <c r="W106">
        <v>10</v>
      </c>
      <c r="X106" s="112"/>
      <c r="Y106">
        <v>266.66666666666669</v>
      </c>
      <c r="Z106">
        <v>0</v>
      </c>
      <c r="AA106">
        <f t="shared" si="3"/>
        <v>0</v>
      </c>
      <c r="AB106">
        <f>SUM(AF30_ByRubLot34[[#This Row],[0-10]:[131-140]])</f>
        <v>1</v>
      </c>
    </row>
    <row r="107" spans="1:28" x14ac:dyDescent="0.25">
      <c r="A107" t="s">
        <v>24</v>
      </c>
      <c r="B107" s="146" t="s">
        <v>226</v>
      </c>
      <c r="C107" s="148">
        <v>2014</v>
      </c>
      <c r="D107" s="151" t="str">
        <f>MID(AF30_ByRubLot34[[#This Row],[AF-30 Lot]],2,3)</f>
        <v>174</v>
      </c>
      <c r="E107" s="151" t="str">
        <f>CONCATENATE(RIGHT(AF30_ByRubLot34[[#This Row],[Year of Production]],2),AF30_ByRubLot34[[#This Row],[Julian Date Jumbo Production]])</f>
        <v>14174</v>
      </c>
      <c r="F107">
        <f>(AF30_ByRubLot[[#This Row],[0-10]]/AF30_ByRubLot34[[Total Charge]:[Total Charge]])</f>
        <v>0</v>
      </c>
      <c r="G107">
        <f>(AF30_ByRubLot[[#This Row],[11-20]]/AF30_ByRubLot34[[Total Charge]:[Total Charge]])</f>
        <v>0</v>
      </c>
      <c r="H107">
        <f>(AF30_ByRubLot[[#This Row],[21-30]]/AF30_ByRubLot34[[Total Charge]:[Total Charge]])</f>
        <v>0</v>
      </c>
      <c r="I107">
        <f>(AF30_ByRubLot[[#This Row],[31-40]]/AF30_ByRubLot34[[Total Charge]:[Total Charge]])</f>
        <v>0.1</v>
      </c>
      <c r="J107">
        <f>(AF30_ByRubLot[[#This Row],[41-50]]/AF30_ByRubLot34[[Total Charge]:[Total Charge]])</f>
        <v>0.1</v>
      </c>
      <c r="K107">
        <f>(AF30_ByRubLot[[#This Row],[51-60]]/AF30_ByRubLot34[[Total Charge]:[Total Charge]])</f>
        <v>0</v>
      </c>
      <c r="L107">
        <f>(AF30_ByRubLot[[#This Row],[61-70]]/AF30_ByRubLot34[[Total Charge]:[Total Charge]])</f>
        <v>0</v>
      </c>
      <c r="M107">
        <f>(AF30_ByRubLot[[#This Row],[71-80]]/AF30_ByRubLot34[[Total Charge]:[Total Charge]])</f>
        <v>0.1</v>
      </c>
      <c r="N107">
        <f>(AF30_ByRubLot[[#This Row],[81-90]]/AF30_ByRubLot34[[Total Charge]:[Total Charge]])</f>
        <v>0.1</v>
      </c>
      <c r="O107">
        <f>(AF30_ByRubLot[[#This Row],[91-100]]/AF30_ByRubLot34[[Total Charge]:[Total Charge]])</f>
        <v>0.5</v>
      </c>
      <c r="P107">
        <f>(AF30_ByRubLot[[#This Row],[101-110]]/AF30_ByRubLot34[[Total Charge]:[Total Charge]])</f>
        <v>0.1</v>
      </c>
      <c r="Q107">
        <f>(AF30_ByRubLot[[#This Row],[111-120]]/AF30_ByRubLot34[[Total Charge]:[Total Charge]])</f>
        <v>0</v>
      </c>
      <c r="R107">
        <f>(AF30_ByRubLot[[#This Row],[121-130]]/AF30_ByRubLot34[[Total Charge]:[Total Charge]])</f>
        <v>0</v>
      </c>
      <c r="S107">
        <f>(AF30_ByRubLot[[#This Row],[131-140]]/AF30_ByRubLot34[[Total Charge]:[Total Charge]])</f>
        <v>0</v>
      </c>
      <c r="T107">
        <v>0</v>
      </c>
      <c r="U107">
        <v>0</v>
      </c>
      <c r="V107" t="s">
        <v>6</v>
      </c>
      <c r="W107">
        <v>10</v>
      </c>
      <c r="X107" s="112"/>
      <c r="Y107">
        <v>2527.7777777777778</v>
      </c>
      <c r="Z107">
        <v>1989.6666599999999</v>
      </c>
      <c r="AA107">
        <f t="shared" si="3"/>
        <v>78.712087648351641</v>
      </c>
      <c r="AB107">
        <f>SUM(AF30_ByRubLot34[[#This Row],[0-10]:[131-140]])</f>
        <v>1</v>
      </c>
    </row>
    <row r="108" spans="1:28" x14ac:dyDescent="0.25">
      <c r="A108" t="s">
        <v>26</v>
      </c>
      <c r="B108" s="146" t="s">
        <v>254</v>
      </c>
      <c r="C108" s="148">
        <v>2014</v>
      </c>
      <c r="D108" s="151" t="str">
        <f>MID(AF30_ByRubLot34[[#This Row],[AF-30 Lot]],2,3)</f>
        <v>225</v>
      </c>
      <c r="E108" s="151" t="str">
        <f>CONCATENATE(RIGHT(AF30_ByRubLot34[[#This Row],[Year of Production]],2),AF30_ByRubLot34[[#This Row],[Julian Date Jumbo Production]])</f>
        <v>14225</v>
      </c>
      <c r="F108">
        <f>(AF30_ByRubLot[[#This Row],[0-10]]/AF30_ByRubLot34[[Total Charge]:[Total Charge]])</f>
        <v>0</v>
      </c>
      <c r="G108">
        <f>(AF30_ByRubLot[[#This Row],[11-20]]/AF30_ByRubLot34[[Total Charge]:[Total Charge]])</f>
        <v>0</v>
      </c>
      <c r="H108">
        <f>(AF30_ByRubLot[[#This Row],[21-30]]/AF30_ByRubLot34[[Total Charge]:[Total Charge]])</f>
        <v>0</v>
      </c>
      <c r="I108">
        <f>(AF30_ByRubLot[[#This Row],[31-40]]/AF30_ByRubLot34[[Total Charge]:[Total Charge]])</f>
        <v>0.125</v>
      </c>
      <c r="J108">
        <f>(AF30_ByRubLot[[#This Row],[41-50]]/AF30_ByRubLot34[[Total Charge]:[Total Charge]])</f>
        <v>0.125</v>
      </c>
      <c r="K108">
        <f>(AF30_ByRubLot[[#This Row],[51-60]]/AF30_ByRubLot34[[Total Charge]:[Total Charge]])</f>
        <v>0</v>
      </c>
      <c r="L108">
        <f>(AF30_ByRubLot[[#This Row],[61-70]]/AF30_ByRubLot34[[Total Charge]:[Total Charge]])</f>
        <v>0</v>
      </c>
      <c r="M108">
        <f>(AF30_ByRubLot[[#This Row],[71-80]]/AF30_ByRubLot34[[Total Charge]:[Total Charge]])</f>
        <v>0.125</v>
      </c>
      <c r="N108">
        <f>(AF30_ByRubLot[[#This Row],[81-90]]/AF30_ByRubLot34[[Total Charge]:[Total Charge]])</f>
        <v>0.125</v>
      </c>
      <c r="O108">
        <f>(AF30_ByRubLot[[#This Row],[91-100]]/AF30_ByRubLot34[[Total Charge]:[Total Charge]])</f>
        <v>0.625</v>
      </c>
      <c r="P108">
        <f>(AF30_ByRubLot[[#This Row],[101-110]]/AF30_ByRubLot34[[Total Charge]:[Total Charge]])</f>
        <v>0.125</v>
      </c>
      <c r="Q108">
        <f>(AF30_ByRubLot[[#This Row],[111-120]]/AF30_ByRubLot34[[Total Charge]:[Total Charge]])</f>
        <v>0</v>
      </c>
      <c r="R108">
        <f>(AF30_ByRubLot[[#This Row],[121-130]]/AF30_ByRubLot34[[Total Charge]:[Total Charge]])</f>
        <v>0</v>
      </c>
      <c r="S108">
        <f>(AF30_ByRubLot[[#This Row],[131-140]]/AF30_ByRubLot34[[Total Charge]:[Total Charge]])</f>
        <v>0</v>
      </c>
      <c r="T108">
        <v>1</v>
      </c>
      <c r="U108">
        <v>0</v>
      </c>
      <c r="V108" t="s">
        <v>97</v>
      </c>
      <c r="W108">
        <v>8</v>
      </c>
      <c r="X108" s="114"/>
      <c r="Y108">
        <v>1975</v>
      </c>
      <c r="Z108">
        <v>1108</v>
      </c>
      <c r="AA108">
        <f t="shared" si="3"/>
        <v>56.101265822784811</v>
      </c>
      <c r="AB108">
        <f>SUM(AF30_ByRubLot34[[#This Row],[0-10]:[131-140]])</f>
        <v>1.25</v>
      </c>
    </row>
    <row r="109" spans="1:28" x14ac:dyDescent="0.25">
      <c r="A109" t="s">
        <v>24</v>
      </c>
      <c r="B109" s="146" t="s">
        <v>225</v>
      </c>
      <c r="C109" s="148">
        <v>2014</v>
      </c>
      <c r="D109" s="151" t="str">
        <f>MID(AF30_ByRubLot34[[#This Row],[AF-30 Lot]],2,3)</f>
        <v>265</v>
      </c>
      <c r="E109" s="151" t="str">
        <f>CONCATENATE(RIGHT(AF30_ByRubLot34[[#This Row],[Year of Production]],2),AF30_ByRubLot34[[#This Row],[Julian Date Jumbo Production]])</f>
        <v>14265</v>
      </c>
      <c r="F109">
        <f>(AF30_ByRubLot[[#This Row],[0-10]]/AF30_ByRubLot34[[Total Charge]:[Total Charge]])</f>
        <v>0</v>
      </c>
      <c r="G109">
        <f>(AF30_ByRubLot[[#This Row],[11-20]]/AF30_ByRubLot34[[Total Charge]:[Total Charge]])</f>
        <v>0</v>
      </c>
      <c r="H109">
        <f>(AF30_ByRubLot[[#This Row],[21-30]]/AF30_ByRubLot34[[Total Charge]:[Total Charge]])</f>
        <v>0</v>
      </c>
      <c r="I109">
        <f>(AF30_ByRubLot[[#This Row],[31-40]]/AF30_ByRubLot34[[Total Charge]:[Total Charge]])</f>
        <v>0.1</v>
      </c>
      <c r="J109">
        <f>(AF30_ByRubLot[[#This Row],[41-50]]/AF30_ByRubLot34[[Total Charge]:[Total Charge]])</f>
        <v>0.1</v>
      </c>
      <c r="K109">
        <f>(AF30_ByRubLot[[#This Row],[51-60]]/AF30_ByRubLot34[[Total Charge]:[Total Charge]])</f>
        <v>0</v>
      </c>
      <c r="L109">
        <f>(AF30_ByRubLot[[#This Row],[61-70]]/AF30_ByRubLot34[[Total Charge]:[Total Charge]])</f>
        <v>0</v>
      </c>
      <c r="M109">
        <f>(AF30_ByRubLot[[#This Row],[71-80]]/AF30_ByRubLot34[[Total Charge]:[Total Charge]])</f>
        <v>0.1</v>
      </c>
      <c r="N109">
        <f>(AF30_ByRubLot[[#This Row],[81-90]]/AF30_ByRubLot34[[Total Charge]:[Total Charge]])</f>
        <v>0.1</v>
      </c>
      <c r="O109">
        <f>(AF30_ByRubLot[[#This Row],[91-100]]/AF30_ByRubLot34[[Total Charge]:[Total Charge]])</f>
        <v>0.5</v>
      </c>
      <c r="P109">
        <f>(AF30_ByRubLot[[#This Row],[101-110]]/AF30_ByRubLot34[[Total Charge]:[Total Charge]])</f>
        <v>0.1</v>
      </c>
      <c r="Q109">
        <f>(AF30_ByRubLot[[#This Row],[111-120]]/AF30_ByRubLot34[[Total Charge]:[Total Charge]])</f>
        <v>0</v>
      </c>
      <c r="R109">
        <f>(AF30_ByRubLot[[#This Row],[121-130]]/AF30_ByRubLot34[[Total Charge]:[Total Charge]])</f>
        <v>0</v>
      </c>
      <c r="S109">
        <f>(AF30_ByRubLot[[#This Row],[131-140]]/AF30_ByRubLot34[[Total Charge]:[Total Charge]])</f>
        <v>0</v>
      </c>
      <c r="T109">
        <v>0</v>
      </c>
      <c r="U109">
        <v>0</v>
      </c>
      <c r="V109" t="s">
        <v>6</v>
      </c>
      <c r="W109">
        <v>10</v>
      </c>
      <c r="X109" s="112"/>
      <c r="Y109">
        <v>3269.4444444444448</v>
      </c>
      <c r="Z109">
        <v>3036</v>
      </c>
      <c r="AA109">
        <f t="shared" si="3"/>
        <v>92.859813084112147</v>
      </c>
      <c r="AB109">
        <f>SUM(AF30_ByRubLot34[[#This Row],[0-10]:[131-140]])</f>
        <v>1</v>
      </c>
    </row>
    <row r="110" spans="1:28" x14ac:dyDescent="0.25">
      <c r="A110" t="s">
        <v>24</v>
      </c>
      <c r="B110" s="146" t="s">
        <v>224</v>
      </c>
      <c r="C110" s="148">
        <v>2014</v>
      </c>
      <c r="D110" s="151" t="str">
        <f>MID(AF30_ByRubLot34[[#This Row],[AF-30 Lot]],2,3)</f>
        <v>295</v>
      </c>
      <c r="E110" s="151" t="str">
        <f>CONCATENATE(RIGHT(AF30_ByRubLot34[[#This Row],[Year of Production]],2),AF30_ByRubLot34[[#This Row],[Julian Date Jumbo Production]])</f>
        <v>14295</v>
      </c>
      <c r="F110">
        <f>(AF30_ByRubLot[[#This Row],[0-10]]/AF30_ByRubLot34[[Total Charge]:[Total Charge]])</f>
        <v>0</v>
      </c>
      <c r="G110">
        <f>(AF30_ByRubLot[[#This Row],[11-20]]/AF30_ByRubLot34[[Total Charge]:[Total Charge]])</f>
        <v>0</v>
      </c>
      <c r="H110">
        <f>(AF30_ByRubLot[[#This Row],[21-30]]/AF30_ByRubLot34[[Total Charge]:[Total Charge]])</f>
        <v>0</v>
      </c>
      <c r="I110">
        <f>(AF30_ByRubLot[[#This Row],[31-40]]/AF30_ByRubLot34[[Total Charge]:[Total Charge]])</f>
        <v>0.1</v>
      </c>
      <c r="J110">
        <f>(AF30_ByRubLot[[#This Row],[41-50]]/AF30_ByRubLot34[[Total Charge]:[Total Charge]])</f>
        <v>0.1</v>
      </c>
      <c r="K110">
        <f>(AF30_ByRubLot[[#This Row],[51-60]]/AF30_ByRubLot34[[Total Charge]:[Total Charge]])</f>
        <v>0</v>
      </c>
      <c r="L110">
        <f>(AF30_ByRubLot[[#This Row],[61-70]]/AF30_ByRubLot34[[Total Charge]:[Total Charge]])</f>
        <v>0</v>
      </c>
      <c r="M110">
        <f>(AF30_ByRubLot[[#This Row],[71-80]]/AF30_ByRubLot34[[Total Charge]:[Total Charge]])</f>
        <v>0.1</v>
      </c>
      <c r="N110">
        <f>(AF30_ByRubLot[[#This Row],[81-90]]/AF30_ByRubLot34[[Total Charge]:[Total Charge]])</f>
        <v>0.1</v>
      </c>
      <c r="O110">
        <f>(AF30_ByRubLot[[#This Row],[91-100]]/AF30_ByRubLot34[[Total Charge]:[Total Charge]])</f>
        <v>0.5</v>
      </c>
      <c r="P110">
        <f>(AF30_ByRubLot[[#This Row],[101-110]]/AF30_ByRubLot34[[Total Charge]:[Total Charge]])</f>
        <v>0.1</v>
      </c>
      <c r="Q110">
        <f>(AF30_ByRubLot[[#This Row],[111-120]]/AF30_ByRubLot34[[Total Charge]:[Total Charge]])</f>
        <v>0</v>
      </c>
      <c r="R110">
        <f>(AF30_ByRubLot[[#This Row],[121-130]]/AF30_ByRubLot34[[Total Charge]:[Total Charge]])</f>
        <v>0</v>
      </c>
      <c r="S110">
        <f>(AF30_ByRubLot[[#This Row],[131-140]]/AF30_ByRubLot34[[Total Charge]:[Total Charge]])</f>
        <v>0</v>
      </c>
      <c r="T110">
        <v>0</v>
      </c>
      <c r="U110">
        <v>0</v>
      </c>
      <c r="V110" t="s">
        <v>6</v>
      </c>
      <c r="W110">
        <v>10</v>
      </c>
      <c r="X110" s="112"/>
      <c r="Y110">
        <v>1752.7777777777778</v>
      </c>
      <c r="Z110">
        <v>1320</v>
      </c>
      <c r="AA110">
        <f t="shared" si="3"/>
        <v>75.309033280507137</v>
      </c>
      <c r="AB110">
        <f>SUM(AF30_ByRubLot34[[#This Row],[0-10]:[131-140]])</f>
        <v>1</v>
      </c>
    </row>
    <row r="111" spans="1:28" x14ac:dyDescent="0.25">
      <c r="A111" t="s">
        <v>26</v>
      </c>
      <c r="B111" s="146" t="s">
        <v>253</v>
      </c>
      <c r="C111" s="148">
        <v>2014</v>
      </c>
      <c r="D111" s="151" t="str">
        <f>MID(AF30_ByRubLot34[[#This Row],[AF-30 Lot]],2,3)</f>
        <v>335</v>
      </c>
      <c r="E111" s="151" t="str">
        <f>CONCATENATE(RIGHT(AF30_ByRubLot34[[#This Row],[Year of Production]],2),AF30_ByRubLot34[[#This Row],[Julian Date Jumbo Production]])</f>
        <v>14335</v>
      </c>
      <c r="F111">
        <f>(AF30_ByRubLot[[#This Row],[0-10]]/AF30_ByRubLot34[[Total Charge]:[Total Charge]])</f>
        <v>0</v>
      </c>
      <c r="G111">
        <f>(AF30_ByRubLot[[#This Row],[11-20]]/AF30_ByRubLot34[[Total Charge]:[Total Charge]])</f>
        <v>0</v>
      </c>
      <c r="H111">
        <f>(AF30_ByRubLot[[#This Row],[21-30]]/AF30_ByRubLot34[[Total Charge]:[Total Charge]])</f>
        <v>0</v>
      </c>
      <c r="I111">
        <f>(AF30_ByRubLot[[#This Row],[31-40]]/AF30_ByRubLot34[[Total Charge]:[Total Charge]])</f>
        <v>0.125</v>
      </c>
      <c r="J111">
        <f>(AF30_ByRubLot[[#This Row],[41-50]]/AF30_ByRubLot34[[Total Charge]:[Total Charge]])</f>
        <v>0.125</v>
      </c>
      <c r="K111">
        <f>(AF30_ByRubLot[[#This Row],[51-60]]/AF30_ByRubLot34[[Total Charge]:[Total Charge]])</f>
        <v>0</v>
      </c>
      <c r="L111">
        <f>(AF30_ByRubLot[[#This Row],[61-70]]/AF30_ByRubLot34[[Total Charge]:[Total Charge]])</f>
        <v>0</v>
      </c>
      <c r="M111">
        <f>(AF30_ByRubLot[[#This Row],[71-80]]/AF30_ByRubLot34[[Total Charge]:[Total Charge]])</f>
        <v>0.125</v>
      </c>
      <c r="N111">
        <f>(AF30_ByRubLot[[#This Row],[81-90]]/AF30_ByRubLot34[[Total Charge]:[Total Charge]])</f>
        <v>0.125</v>
      </c>
      <c r="O111">
        <f>(AF30_ByRubLot[[#This Row],[91-100]]/AF30_ByRubLot34[[Total Charge]:[Total Charge]])</f>
        <v>0.625</v>
      </c>
      <c r="P111">
        <f>(AF30_ByRubLot[[#This Row],[101-110]]/AF30_ByRubLot34[[Total Charge]:[Total Charge]])</f>
        <v>0.125</v>
      </c>
      <c r="Q111">
        <f>(AF30_ByRubLot[[#This Row],[111-120]]/AF30_ByRubLot34[[Total Charge]:[Total Charge]])</f>
        <v>0</v>
      </c>
      <c r="R111">
        <f>(AF30_ByRubLot[[#This Row],[121-130]]/AF30_ByRubLot34[[Total Charge]:[Total Charge]])</f>
        <v>0</v>
      </c>
      <c r="S111">
        <f>(AF30_ByRubLot[[#This Row],[131-140]]/AF30_ByRubLot34[[Total Charge]:[Total Charge]])</f>
        <v>0</v>
      </c>
      <c r="T111">
        <v>1</v>
      </c>
      <c r="U111">
        <v>0</v>
      </c>
      <c r="V111" t="s">
        <v>97</v>
      </c>
      <c r="W111">
        <v>8</v>
      </c>
      <c r="X111" s="114"/>
      <c r="Y111">
        <v>1605.5555555555557</v>
      </c>
      <c r="Z111">
        <v>1040</v>
      </c>
      <c r="AA111">
        <f t="shared" si="3"/>
        <v>64.775086505190302</v>
      </c>
      <c r="AB111">
        <f>SUM(AF30_ByRubLot34[[#This Row],[0-10]:[131-140]])</f>
        <v>1.25</v>
      </c>
    </row>
    <row r="112" spans="1:28" x14ac:dyDescent="0.25">
      <c r="A112" t="s">
        <v>24</v>
      </c>
      <c r="B112" s="146" t="s">
        <v>223</v>
      </c>
      <c r="C112" s="148">
        <v>2015</v>
      </c>
      <c r="D112" s="151" t="str">
        <f>MID(AF30_ByRubLot34[[#This Row],[AF-30 Lot]],2,3)</f>
        <v>006</v>
      </c>
      <c r="E112" s="151" t="str">
        <f>CONCATENATE(RIGHT(AF30_ByRubLot34[[#This Row],[Year of Production]],2),AF30_ByRubLot34[[#This Row],[Julian Date Jumbo Production]])</f>
        <v>15006</v>
      </c>
      <c r="F112">
        <f>(AF30_ByRubLot[[#This Row],[0-10]]/AF30_ByRubLot34[[Total Charge]:[Total Charge]])</f>
        <v>0</v>
      </c>
      <c r="G112">
        <f>(AF30_ByRubLot[[#This Row],[11-20]]/AF30_ByRubLot34[[Total Charge]:[Total Charge]])</f>
        <v>0</v>
      </c>
      <c r="H112">
        <f>(AF30_ByRubLot[[#This Row],[21-30]]/AF30_ByRubLot34[[Total Charge]:[Total Charge]])</f>
        <v>0</v>
      </c>
      <c r="I112">
        <f>(AF30_ByRubLot[[#This Row],[31-40]]/AF30_ByRubLot34[[Total Charge]:[Total Charge]])</f>
        <v>0.1</v>
      </c>
      <c r="J112">
        <f>(AF30_ByRubLot[[#This Row],[41-50]]/AF30_ByRubLot34[[Total Charge]:[Total Charge]])</f>
        <v>0.1</v>
      </c>
      <c r="K112">
        <f>(AF30_ByRubLot[[#This Row],[51-60]]/AF30_ByRubLot34[[Total Charge]:[Total Charge]])</f>
        <v>0</v>
      </c>
      <c r="L112">
        <f>(AF30_ByRubLot[[#This Row],[61-70]]/AF30_ByRubLot34[[Total Charge]:[Total Charge]])</f>
        <v>0</v>
      </c>
      <c r="M112">
        <f>(AF30_ByRubLot[[#This Row],[71-80]]/AF30_ByRubLot34[[Total Charge]:[Total Charge]])</f>
        <v>0.1</v>
      </c>
      <c r="N112">
        <f>(AF30_ByRubLot[[#This Row],[81-90]]/AF30_ByRubLot34[[Total Charge]:[Total Charge]])</f>
        <v>0.1</v>
      </c>
      <c r="O112">
        <f>(AF30_ByRubLot[[#This Row],[91-100]]/AF30_ByRubLot34[[Total Charge]:[Total Charge]])</f>
        <v>0.5</v>
      </c>
      <c r="P112">
        <f>(AF30_ByRubLot[[#This Row],[101-110]]/AF30_ByRubLot34[[Total Charge]:[Total Charge]])</f>
        <v>0.1</v>
      </c>
      <c r="Q112">
        <f>(AF30_ByRubLot[[#This Row],[111-120]]/AF30_ByRubLot34[[Total Charge]:[Total Charge]])</f>
        <v>0</v>
      </c>
      <c r="R112">
        <f>(AF30_ByRubLot[[#This Row],[121-130]]/AF30_ByRubLot34[[Total Charge]:[Total Charge]])</f>
        <v>0</v>
      </c>
      <c r="S112">
        <f>(AF30_ByRubLot[[#This Row],[131-140]]/AF30_ByRubLot34[[Total Charge]:[Total Charge]])</f>
        <v>0</v>
      </c>
      <c r="T112">
        <v>0</v>
      </c>
      <c r="U112">
        <v>0</v>
      </c>
      <c r="V112" t="s">
        <v>6</v>
      </c>
      <c r="W112">
        <v>10</v>
      </c>
      <c r="X112" s="112"/>
      <c r="Y112">
        <v>2324.9999999999995</v>
      </c>
      <c r="Z112">
        <v>2121.6666599999999</v>
      </c>
      <c r="AA112">
        <f t="shared" si="3"/>
        <v>91.254480000000015</v>
      </c>
      <c r="AB112">
        <f>SUM(AF30_ByRubLot34[[#This Row],[0-10]:[131-140]])</f>
        <v>1</v>
      </c>
    </row>
    <row r="113" spans="1:28" x14ac:dyDescent="0.25">
      <c r="A113" t="s">
        <v>26</v>
      </c>
      <c r="B113" s="146" t="s">
        <v>252</v>
      </c>
      <c r="C113" s="148">
        <v>2015</v>
      </c>
      <c r="D113" s="151" t="str">
        <f>MID(AF30_ByRubLot34[[#This Row],[AF-30 Lot]],2,3)</f>
        <v>047</v>
      </c>
      <c r="E113" s="151" t="str">
        <f>CONCATENATE(RIGHT(AF30_ByRubLot34[[#This Row],[Year of Production]],2),AF30_ByRubLot34[[#This Row],[Julian Date Jumbo Production]])</f>
        <v>15047</v>
      </c>
      <c r="F113">
        <f>(AF30_ByRubLot[[#This Row],[0-10]]/AF30_ByRubLot34[[Total Charge]:[Total Charge]])</f>
        <v>0</v>
      </c>
      <c r="G113">
        <f>(AF30_ByRubLot[[#This Row],[11-20]]/AF30_ByRubLot34[[Total Charge]:[Total Charge]])</f>
        <v>0</v>
      </c>
      <c r="H113">
        <f>(AF30_ByRubLot[[#This Row],[21-30]]/AF30_ByRubLot34[[Total Charge]:[Total Charge]])</f>
        <v>0</v>
      </c>
      <c r="I113">
        <f>(AF30_ByRubLot[[#This Row],[31-40]]/AF30_ByRubLot34[[Total Charge]:[Total Charge]])</f>
        <v>0.125</v>
      </c>
      <c r="J113">
        <f>(AF30_ByRubLot[[#This Row],[41-50]]/AF30_ByRubLot34[[Total Charge]:[Total Charge]])</f>
        <v>0.125</v>
      </c>
      <c r="K113">
        <f>(AF30_ByRubLot[[#This Row],[51-60]]/AF30_ByRubLot34[[Total Charge]:[Total Charge]])</f>
        <v>0</v>
      </c>
      <c r="L113">
        <f>(AF30_ByRubLot[[#This Row],[61-70]]/AF30_ByRubLot34[[Total Charge]:[Total Charge]])</f>
        <v>0</v>
      </c>
      <c r="M113">
        <f>(AF30_ByRubLot[[#This Row],[71-80]]/AF30_ByRubLot34[[Total Charge]:[Total Charge]])</f>
        <v>0.125</v>
      </c>
      <c r="N113">
        <f>(AF30_ByRubLot[[#This Row],[81-90]]/AF30_ByRubLot34[[Total Charge]:[Total Charge]])</f>
        <v>0.125</v>
      </c>
      <c r="O113">
        <f>(AF30_ByRubLot[[#This Row],[91-100]]/AF30_ByRubLot34[[Total Charge]:[Total Charge]])</f>
        <v>0.625</v>
      </c>
      <c r="P113">
        <f>(AF30_ByRubLot[[#This Row],[101-110]]/AF30_ByRubLot34[[Total Charge]:[Total Charge]])</f>
        <v>0.125</v>
      </c>
      <c r="Q113">
        <f>(AF30_ByRubLot[[#This Row],[111-120]]/AF30_ByRubLot34[[Total Charge]:[Total Charge]])</f>
        <v>0</v>
      </c>
      <c r="R113">
        <f>(AF30_ByRubLot[[#This Row],[121-130]]/AF30_ByRubLot34[[Total Charge]:[Total Charge]])</f>
        <v>0</v>
      </c>
      <c r="S113">
        <f>(AF30_ByRubLot[[#This Row],[131-140]]/AF30_ByRubLot34[[Total Charge]:[Total Charge]])</f>
        <v>0</v>
      </c>
      <c r="T113">
        <v>1</v>
      </c>
      <c r="U113">
        <v>0</v>
      </c>
      <c r="V113" t="s">
        <v>97</v>
      </c>
      <c r="W113">
        <v>8</v>
      </c>
      <c r="X113" s="114"/>
      <c r="Y113">
        <v>1836.1111111111111</v>
      </c>
      <c r="Z113">
        <v>1268</v>
      </c>
      <c r="AA113">
        <f t="shared" si="3"/>
        <v>69.059001512859311</v>
      </c>
      <c r="AB113">
        <f>SUM(AF30_ByRubLot34[[#This Row],[0-10]:[131-140]])</f>
        <v>1.25</v>
      </c>
    </row>
    <row r="114" spans="1:28" x14ac:dyDescent="0.25">
      <c r="A114" t="s">
        <v>26</v>
      </c>
      <c r="B114" s="146" t="s">
        <v>251</v>
      </c>
      <c r="C114" s="148">
        <v>2015</v>
      </c>
      <c r="D114" s="151" t="str">
        <f>MID(AF30_ByRubLot34[[#This Row],[AF-30 Lot]],2,3)</f>
        <v>089</v>
      </c>
      <c r="E114" s="151" t="str">
        <f>CONCATENATE(RIGHT(AF30_ByRubLot34[[#This Row],[Year of Production]],2),AF30_ByRubLot34[[#This Row],[Julian Date Jumbo Production]])</f>
        <v>15089</v>
      </c>
      <c r="F114">
        <f>(AF30_ByRubLot[[#This Row],[0-10]]/AF30_ByRubLot34[[Total Charge]:[Total Charge]])</f>
        <v>0</v>
      </c>
      <c r="G114">
        <f>(AF30_ByRubLot[[#This Row],[11-20]]/AF30_ByRubLot34[[Total Charge]:[Total Charge]])</f>
        <v>0</v>
      </c>
      <c r="H114">
        <f>(AF30_ByRubLot[[#This Row],[21-30]]/AF30_ByRubLot34[[Total Charge]:[Total Charge]])</f>
        <v>0</v>
      </c>
      <c r="I114">
        <f>(AF30_ByRubLot[[#This Row],[31-40]]/AF30_ByRubLot34[[Total Charge]:[Total Charge]])</f>
        <v>0.125</v>
      </c>
      <c r="J114">
        <f>(AF30_ByRubLot[[#This Row],[41-50]]/AF30_ByRubLot34[[Total Charge]:[Total Charge]])</f>
        <v>0.125</v>
      </c>
      <c r="K114">
        <f>(AF30_ByRubLot[[#This Row],[51-60]]/AF30_ByRubLot34[[Total Charge]:[Total Charge]])</f>
        <v>0</v>
      </c>
      <c r="L114">
        <f>(AF30_ByRubLot[[#This Row],[61-70]]/AF30_ByRubLot34[[Total Charge]:[Total Charge]])</f>
        <v>0</v>
      </c>
      <c r="M114">
        <f>(AF30_ByRubLot[[#This Row],[71-80]]/AF30_ByRubLot34[[Total Charge]:[Total Charge]])</f>
        <v>0.125</v>
      </c>
      <c r="N114">
        <f>(AF30_ByRubLot[[#This Row],[81-90]]/AF30_ByRubLot34[[Total Charge]:[Total Charge]])</f>
        <v>0.125</v>
      </c>
      <c r="O114">
        <f>(AF30_ByRubLot[[#This Row],[91-100]]/AF30_ByRubLot34[[Total Charge]:[Total Charge]])</f>
        <v>0.625</v>
      </c>
      <c r="P114">
        <f>(AF30_ByRubLot[[#This Row],[101-110]]/AF30_ByRubLot34[[Total Charge]:[Total Charge]])</f>
        <v>0.125</v>
      </c>
      <c r="Q114">
        <f>(AF30_ByRubLot[[#This Row],[111-120]]/AF30_ByRubLot34[[Total Charge]:[Total Charge]])</f>
        <v>0</v>
      </c>
      <c r="R114">
        <f>(AF30_ByRubLot[[#This Row],[121-130]]/AF30_ByRubLot34[[Total Charge]:[Total Charge]])</f>
        <v>0</v>
      </c>
      <c r="S114">
        <f>(AF30_ByRubLot[[#This Row],[131-140]]/AF30_ByRubLot34[[Total Charge]:[Total Charge]])</f>
        <v>0</v>
      </c>
      <c r="T114">
        <v>1</v>
      </c>
      <c r="U114">
        <v>0</v>
      </c>
      <c r="V114" t="s">
        <v>97</v>
      </c>
      <c r="W114">
        <v>8</v>
      </c>
      <c r="X114" s="114"/>
      <c r="Y114">
        <v>1958.3333333333333</v>
      </c>
      <c r="Z114">
        <v>1760</v>
      </c>
      <c r="AA114">
        <f t="shared" si="3"/>
        <v>89.872340425531917</v>
      </c>
      <c r="AB114">
        <f>SUM(AF30_ByRubLot34[[#This Row],[0-10]:[131-140]])</f>
        <v>1.25</v>
      </c>
    </row>
    <row r="115" spans="1:28" x14ac:dyDescent="0.25">
      <c r="A115" t="s">
        <v>24</v>
      </c>
      <c r="B115" s="146" t="s">
        <v>222</v>
      </c>
      <c r="C115" s="148">
        <v>2015</v>
      </c>
      <c r="D115" s="151" t="str">
        <f>MID(AF30_ByRubLot34[[#This Row],[AF-30 Lot]],2,3)</f>
        <v>125</v>
      </c>
      <c r="E115" s="151" t="str">
        <f>CONCATENATE(RIGHT(AF30_ByRubLot34[[#This Row],[Year of Production]],2),AF30_ByRubLot34[[#This Row],[Julian Date Jumbo Production]])</f>
        <v>15125</v>
      </c>
      <c r="F115">
        <f>(AF30_ByRubLot[[#This Row],[0-10]]/AF30_ByRubLot34[[Total Charge]:[Total Charge]])</f>
        <v>0</v>
      </c>
      <c r="G115">
        <f>(AF30_ByRubLot[[#This Row],[11-20]]/AF30_ByRubLot34[[Total Charge]:[Total Charge]])</f>
        <v>0</v>
      </c>
      <c r="H115">
        <f>(AF30_ByRubLot[[#This Row],[21-30]]/AF30_ByRubLot34[[Total Charge]:[Total Charge]])</f>
        <v>0</v>
      </c>
      <c r="I115">
        <f>(AF30_ByRubLot[[#This Row],[31-40]]/AF30_ByRubLot34[[Total Charge]:[Total Charge]])</f>
        <v>0.1</v>
      </c>
      <c r="J115">
        <f>(AF30_ByRubLot[[#This Row],[41-50]]/AF30_ByRubLot34[[Total Charge]:[Total Charge]])</f>
        <v>0.1</v>
      </c>
      <c r="K115">
        <f>(AF30_ByRubLot[[#This Row],[51-60]]/AF30_ByRubLot34[[Total Charge]:[Total Charge]])</f>
        <v>0</v>
      </c>
      <c r="L115">
        <f>(AF30_ByRubLot[[#This Row],[61-70]]/AF30_ByRubLot34[[Total Charge]:[Total Charge]])</f>
        <v>0</v>
      </c>
      <c r="M115">
        <f>(AF30_ByRubLot[[#This Row],[71-80]]/AF30_ByRubLot34[[Total Charge]:[Total Charge]])</f>
        <v>0.1</v>
      </c>
      <c r="N115">
        <f>(AF30_ByRubLot[[#This Row],[81-90]]/AF30_ByRubLot34[[Total Charge]:[Total Charge]])</f>
        <v>0.1</v>
      </c>
      <c r="O115">
        <f>(AF30_ByRubLot[[#This Row],[91-100]]/AF30_ByRubLot34[[Total Charge]:[Total Charge]])</f>
        <v>0.5</v>
      </c>
      <c r="P115">
        <f>(AF30_ByRubLot[[#This Row],[101-110]]/AF30_ByRubLot34[[Total Charge]:[Total Charge]])</f>
        <v>0.1</v>
      </c>
      <c r="Q115">
        <f>(AF30_ByRubLot[[#This Row],[111-120]]/AF30_ByRubLot34[[Total Charge]:[Total Charge]])</f>
        <v>0</v>
      </c>
      <c r="R115">
        <f>(AF30_ByRubLot[[#This Row],[121-130]]/AF30_ByRubLot34[[Total Charge]:[Total Charge]])</f>
        <v>0</v>
      </c>
      <c r="S115">
        <f>(AF30_ByRubLot[[#This Row],[131-140]]/AF30_ByRubLot34[[Total Charge]:[Total Charge]])</f>
        <v>0</v>
      </c>
      <c r="T115">
        <v>0</v>
      </c>
      <c r="U115">
        <v>0</v>
      </c>
      <c r="V115" t="s">
        <v>6</v>
      </c>
      <c r="W115">
        <v>10</v>
      </c>
      <c r="X115" s="112"/>
      <c r="Y115">
        <v>2391.6666666666665</v>
      </c>
      <c r="Z115">
        <v>2269.6666599999999</v>
      </c>
      <c r="AA115">
        <f t="shared" si="3"/>
        <v>94.898954425087112</v>
      </c>
      <c r="AB115">
        <f>SUM(AF30_ByRubLot34[[#This Row],[0-10]:[131-140]])</f>
        <v>1</v>
      </c>
    </row>
    <row r="116" spans="1:28" x14ac:dyDescent="0.25">
      <c r="A116" t="s">
        <v>115</v>
      </c>
      <c r="B116" s="146" t="s">
        <v>275</v>
      </c>
      <c r="C116" s="148">
        <v>2015</v>
      </c>
      <c r="D116" s="151" t="str">
        <f>MID(AF30_ByRubLot34[[#This Row],[AF-30 Lot]],2,3)</f>
        <v>152</v>
      </c>
      <c r="E116" s="151" t="str">
        <f>CONCATENATE(RIGHT(AF30_ByRubLot34[[#This Row],[Year of Production]],2),AF30_ByRubLot34[[#This Row],[Julian Date Jumbo Production]])</f>
        <v>15152</v>
      </c>
      <c r="F116">
        <f>(AF30_ByRubLot[[#This Row],[0-10]]/AF30_ByRubLot34[[Total Charge]:[Total Charge]])</f>
        <v>0</v>
      </c>
      <c r="G116">
        <f>(AF30_ByRubLot[[#This Row],[11-20]]/AF30_ByRubLot34[[Total Charge]:[Total Charge]])</f>
        <v>0</v>
      </c>
      <c r="H116">
        <f>(AF30_ByRubLot[[#This Row],[21-30]]/AF30_ByRubLot34[[Total Charge]:[Total Charge]])</f>
        <v>0</v>
      </c>
      <c r="I116">
        <f>(AF30_ByRubLot[[#This Row],[31-40]]/AF30_ByRubLot34[[Total Charge]:[Total Charge]])</f>
        <v>0</v>
      </c>
      <c r="J116">
        <f>(AF30_ByRubLot[[#This Row],[41-50]]/AF30_ByRubLot34[[Total Charge]:[Total Charge]])</f>
        <v>0</v>
      </c>
      <c r="K116">
        <f>(AF30_ByRubLot[[#This Row],[51-60]]/AF30_ByRubLot34[[Total Charge]:[Total Charge]])</f>
        <v>0.16666666666666666</v>
      </c>
      <c r="L116">
        <f>(AF30_ByRubLot[[#This Row],[61-70]]/AF30_ByRubLot34[[Total Charge]:[Total Charge]])</f>
        <v>0.16666666666666666</v>
      </c>
      <c r="M116">
        <f>(AF30_ByRubLot[[#This Row],[71-80]]/AF30_ByRubLot34[[Total Charge]:[Total Charge]])</f>
        <v>0.5</v>
      </c>
      <c r="N116">
        <f>(AF30_ByRubLot[[#This Row],[81-90]]/AF30_ByRubLot34[[Total Charge]:[Total Charge]])</f>
        <v>0.16666666666666666</v>
      </c>
      <c r="O116">
        <f>(AF30_ByRubLot[[#This Row],[91-100]]/AF30_ByRubLot34[[Total Charge]:[Total Charge]])</f>
        <v>0</v>
      </c>
      <c r="P116">
        <f>(AF30_ByRubLot[[#This Row],[101-110]]/AF30_ByRubLot34[[Total Charge]:[Total Charge]])</f>
        <v>0</v>
      </c>
      <c r="Q116">
        <f>(AF30_ByRubLot[[#This Row],[111-120]]/AF30_ByRubLot34[[Total Charge]:[Total Charge]])</f>
        <v>0.33333333333333331</v>
      </c>
      <c r="R116">
        <f>(AF30_ByRubLot[[#This Row],[121-130]]/AF30_ByRubLot34[[Total Charge]:[Total Charge]])</f>
        <v>0</v>
      </c>
      <c r="S116">
        <f>(AF30_ByRubLot[[#This Row],[131-140]]/AF30_ByRubLot34[[Total Charge]:[Total Charge]])</f>
        <v>0</v>
      </c>
      <c r="T116">
        <v>0</v>
      </c>
      <c r="U116">
        <v>0</v>
      </c>
      <c r="V116" t="s">
        <v>73</v>
      </c>
      <c r="W116">
        <v>6</v>
      </c>
      <c r="X116" s="112"/>
      <c r="Y116">
        <v>2155.5555555555557</v>
      </c>
      <c r="Z116">
        <v>1840</v>
      </c>
      <c r="AA116">
        <f t="shared" si="3"/>
        <v>85.360824742268036</v>
      </c>
      <c r="AB116">
        <f>SUM(AF30_ByRubLot34[[#This Row],[0-10]:[131-140]])</f>
        <v>1.3333333333333333</v>
      </c>
    </row>
    <row r="117" spans="1:28" x14ac:dyDescent="0.25">
      <c r="A117" t="s">
        <v>115</v>
      </c>
      <c r="B117" s="146" t="s">
        <v>274</v>
      </c>
      <c r="C117" s="148">
        <v>2015</v>
      </c>
      <c r="D117" s="151" t="str">
        <f>MID(AF30_ByRubLot34[[#This Row],[AF-30 Lot]],2,3)</f>
        <v>180</v>
      </c>
      <c r="E117" s="151" t="str">
        <f>CONCATENATE(RIGHT(AF30_ByRubLot34[[#This Row],[Year of Production]],2),AF30_ByRubLot34[[#This Row],[Julian Date Jumbo Production]])</f>
        <v>15180</v>
      </c>
      <c r="F117">
        <f>(AF30_ByRubLot[[#This Row],[0-10]]/AF30_ByRubLot34[[Total Charge]:[Total Charge]])</f>
        <v>0</v>
      </c>
      <c r="G117">
        <f>(AF30_ByRubLot[[#This Row],[11-20]]/AF30_ByRubLot34[[Total Charge]:[Total Charge]])</f>
        <v>0</v>
      </c>
      <c r="H117">
        <f>(AF30_ByRubLot[[#This Row],[21-30]]/AF30_ByRubLot34[[Total Charge]:[Total Charge]])</f>
        <v>0</v>
      </c>
      <c r="I117">
        <f>(AF30_ByRubLot[[#This Row],[31-40]]/AF30_ByRubLot34[[Total Charge]:[Total Charge]])</f>
        <v>0</v>
      </c>
      <c r="J117">
        <f>(AF30_ByRubLot[[#This Row],[41-50]]/AF30_ByRubLot34[[Total Charge]:[Total Charge]])</f>
        <v>0</v>
      </c>
      <c r="K117">
        <f>(AF30_ByRubLot[[#This Row],[51-60]]/AF30_ByRubLot34[[Total Charge]:[Total Charge]])</f>
        <v>0.16666666666666666</v>
      </c>
      <c r="L117">
        <f>(AF30_ByRubLot[[#This Row],[61-70]]/AF30_ByRubLot34[[Total Charge]:[Total Charge]])</f>
        <v>0.16666666666666666</v>
      </c>
      <c r="M117">
        <f>(AF30_ByRubLot[[#This Row],[71-80]]/AF30_ByRubLot34[[Total Charge]:[Total Charge]])</f>
        <v>0.5</v>
      </c>
      <c r="N117">
        <f>(AF30_ByRubLot[[#This Row],[81-90]]/AF30_ByRubLot34[[Total Charge]:[Total Charge]])</f>
        <v>0.16666666666666666</v>
      </c>
      <c r="O117">
        <f>(AF30_ByRubLot[[#This Row],[91-100]]/AF30_ByRubLot34[[Total Charge]:[Total Charge]])</f>
        <v>0</v>
      </c>
      <c r="P117">
        <f>(AF30_ByRubLot[[#This Row],[101-110]]/AF30_ByRubLot34[[Total Charge]:[Total Charge]])</f>
        <v>0</v>
      </c>
      <c r="Q117">
        <f>(AF30_ByRubLot[[#This Row],[111-120]]/AF30_ByRubLot34[[Total Charge]:[Total Charge]])</f>
        <v>0.33333333333333331</v>
      </c>
      <c r="R117">
        <f>(AF30_ByRubLot[[#This Row],[121-130]]/AF30_ByRubLot34[[Total Charge]:[Total Charge]])</f>
        <v>0</v>
      </c>
      <c r="S117">
        <f>(AF30_ByRubLot[[#This Row],[131-140]]/AF30_ByRubLot34[[Total Charge]:[Total Charge]])</f>
        <v>0</v>
      </c>
      <c r="T117">
        <v>0</v>
      </c>
      <c r="U117">
        <v>0</v>
      </c>
      <c r="V117" t="s">
        <v>73</v>
      </c>
      <c r="W117">
        <v>6</v>
      </c>
      <c r="X117" s="112"/>
      <c r="Y117">
        <v>2639.4444444444448</v>
      </c>
      <c r="Z117">
        <v>2348</v>
      </c>
      <c r="AA117">
        <f t="shared" si="3"/>
        <v>88.958114081246038</v>
      </c>
      <c r="AB117">
        <f>SUM(AF30_ByRubLot34[[#This Row],[0-10]:[131-140]])</f>
        <v>1.3333333333333333</v>
      </c>
    </row>
    <row r="118" spans="1:28" x14ac:dyDescent="0.25">
      <c r="A118" t="s">
        <v>24</v>
      </c>
      <c r="B118" s="146" t="s">
        <v>221</v>
      </c>
      <c r="C118" s="148">
        <v>2015</v>
      </c>
      <c r="D118" s="151" t="str">
        <f>MID(AF30_ByRubLot34[[#This Row],[AF-30 Lot]],2,3)</f>
        <v>222</v>
      </c>
      <c r="E118" s="151" t="str">
        <f>CONCATENATE(RIGHT(AF30_ByRubLot34[[#This Row],[Year of Production]],2),AF30_ByRubLot34[[#This Row],[Julian Date Jumbo Production]])</f>
        <v>15222</v>
      </c>
      <c r="F118">
        <f>(AF30_ByRubLot[[#This Row],[0-10]]/AF30_ByRubLot34[[Total Charge]:[Total Charge]])</f>
        <v>0</v>
      </c>
      <c r="G118">
        <f>(AF30_ByRubLot[[#This Row],[11-20]]/AF30_ByRubLot34[[Total Charge]:[Total Charge]])</f>
        <v>0</v>
      </c>
      <c r="H118">
        <f>(AF30_ByRubLot[[#This Row],[21-30]]/AF30_ByRubLot34[[Total Charge]:[Total Charge]])</f>
        <v>0</v>
      </c>
      <c r="I118">
        <f>(AF30_ByRubLot[[#This Row],[31-40]]/AF30_ByRubLot34[[Total Charge]:[Total Charge]])</f>
        <v>0</v>
      </c>
      <c r="J118">
        <f>(AF30_ByRubLot[[#This Row],[41-50]]/AF30_ByRubLot34[[Total Charge]:[Total Charge]])</f>
        <v>0</v>
      </c>
      <c r="K118">
        <f>(AF30_ByRubLot[[#This Row],[51-60]]/AF30_ByRubLot34[[Total Charge]:[Total Charge]])</f>
        <v>0.1</v>
      </c>
      <c r="L118">
        <f>(AF30_ByRubLot[[#This Row],[61-70]]/AF30_ByRubLot34[[Total Charge]:[Total Charge]])</f>
        <v>0.1</v>
      </c>
      <c r="M118">
        <f>(AF30_ByRubLot[[#This Row],[71-80]]/AF30_ByRubLot34[[Total Charge]:[Total Charge]])</f>
        <v>0.3</v>
      </c>
      <c r="N118">
        <f>(AF30_ByRubLot[[#This Row],[81-90]]/AF30_ByRubLot34[[Total Charge]:[Total Charge]])</f>
        <v>0.1</v>
      </c>
      <c r="O118">
        <f>(AF30_ByRubLot[[#This Row],[91-100]]/AF30_ByRubLot34[[Total Charge]:[Total Charge]])</f>
        <v>0</v>
      </c>
      <c r="P118">
        <f>(AF30_ByRubLot[[#This Row],[101-110]]/AF30_ByRubLot34[[Total Charge]:[Total Charge]])</f>
        <v>0</v>
      </c>
      <c r="Q118">
        <f>(AF30_ByRubLot[[#This Row],[111-120]]/AF30_ByRubLot34[[Total Charge]:[Total Charge]])</f>
        <v>0.2</v>
      </c>
      <c r="R118">
        <f>(AF30_ByRubLot[[#This Row],[121-130]]/AF30_ByRubLot34[[Total Charge]:[Total Charge]])</f>
        <v>0</v>
      </c>
      <c r="S118">
        <f>(AF30_ByRubLot[[#This Row],[131-140]]/AF30_ByRubLot34[[Total Charge]:[Total Charge]])</f>
        <v>0</v>
      </c>
      <c r="T118">
        <v>0</v>
      </c>
      <c r="U118">
        <v>0</v>
      </c>
      <c r="V118" t="s">
        <v>6</v>
      </c>
      <c r="W118">
        <v>10</v>
      </c>
      <c r="X118" s="112"/>
      <c r="Y118">
        <v>1944.4444444444443</v>
      </c>
      <c r="Z118">
        <v>1600</v>
      </c>
      <c r="AA118">
        <f t="shared" si="3"/>
        <v>82.285714285714292</v>
      </c>
      <c r="AB118">
        <f>SUM(AF30_ByRubLot34[[#This Row],[0-10]:[131-140]])</f>
        <v>0.8</v>
      </c>
    </row>
    <row r="119" spans="1:28" x14ac:dyDescent="0.25">
      <c r="A119" t="s">
        <v>115</v>
      </c>
      <c r="B119" s="146" t="s">
        <v>273</v>
      </c>
      <c r="C119" s="148">
        <v>2015</v>
      </c>
      <c r="D119" s="151" t="str">
        <f>MID(AF30_ByRubLot34[[#This Row],[AF-30 Lot]],2,3)</f>
        <v>239</v>
      </c>
      <c r="E119" s="151" t="str">
        <f>CONCATENATE(RIGHT(AF30_ByRubLot34[[#This Row],[Year of Production]],2),AF30_ByRubLot34[[#This Row],[Julian Date Jumbo Production]])</f>
        <v>15239</v>
      </c>
      <c r="F119">
        <f>(AF30_ByRubLot[[#This Row],[0-10]]/AF30_ByRubLot34[[Total Charge]:[Total Charge]])</f>
        <v>0</v>
      </c>
      <c r="G119">
        <f>(AF30_ByRubLot[[#This Row],[11-20]]/AF30_ByRubLot34[[Total Charge]:[Total Charge]])</f>
        <v>0</v>
      </c>
      <c r="H119">
        <f>(AF30_ByRubLot[[#This Row],[21-30]]/AF30_ByRubLot34[[Total Charge]:[Total Charge]])</f>
        <v>0</v>
      </c>
      <c r="I119">
        <f>(AF30_ByRubLot[[#This Row],[31-40]]/AF30_ByRubLot34[[Total Charge]:[Total Charge]])</f>
        <v>0</v>
      </c>
      <c r="J119">
        <f>(AF30_ByRubLot[[#This Row],[41-50]]/AF30_ByRubLot34[[Total Charge]:[Total Charge]])</f>
        <v>0</v>
      </c>
      <c r="K119">
        <f>(AF30_ByRubLot[[#This Row],[51-60]]/AF30_ByRubLot34[[Total Charge]:[Total Charge]])</f>
        <v>0.16666666666666666</v>
      </c>
      <c r="L119">
        <f>(AF30_ByRubLot[[#This Row],[61-70]]/AF30_ByRubLot34[[Total Charge]:[Total Charge]])</f>
        <v>0.16666666666666666</v>
      </c>
      <c r="M119">
        <f>(AF30_ByRubLot[[#This Row],[71-80]]/AF30_ByRubLot34[[Total Charge]:[Total Charge]])</f>
        <v>0.5</v>
      </c>
      <c r="N119">
        <f>(AF30_ByRubLot[[#This Row],[81-90]]/AF30_ByRubLot34[[Total Charge]:[Total Charge]])</f>
        <v>0.16666666666666666</v>
      </c>
      <c r="O119">
        <f>(AF30_ByRubLot[[#This Row],[91-100]]/AF30_ByRubLot34[[Total Charge]:[Total Charge]])</f>
        <v>0</v>
      </c>
      <c r="P119">
        <f>(AF30_ByRubLot[[#This Row],[101-110]]/AF30_ByRubLot34[[Total Charge]:[Total Charge]])</f>
        <v>0</v>
      </c>
      <c r="Q119">
        <f>(AF30_ByRubLot[[#This Row],[111-120]]/AF30_ByRubLot34[[Total Charge]:[Total Charge]])</f>
        <v>0.33333333333333331</v>
      </c>
      <c r="R119">
        <f>(AF30_ByRubLot[[#This Row],[121-130]]/AF30_ByRubLot34[[Total Charge]:[Total Charge]])</f>
        <v>0</v>
      </c>
      <c r="S119">
        <f>(AF30_ByRubLot[[#This Row],[131-140]]/AF30_ByRubLot34[[Total Charge]:[Total Charge]])</f>
        <v>0</v>
      </c>
      <c r="T119">
        <v>0</v>
      </c>
      <c r="U119">
        <v>0</v>
      </c>
      <c r="V119" t="s">
        <v>73</v>
      </c>
      <c r="W119">
        <v>6</v>
      </c>
      <c r="X119" s="112"/>
      <c r="Y119">
        <v>2651.6666666666665</v>
      </c>
      <c r="Z119">
        <v>2361.6666599999999</v>
      </c>
      <c r="AA119">
        <f t="shared" si="3"/>
        <v>89.063481835323699</v>
      </c>
      <c r="AB119">
        <f>SUM(AF30_ByRubLot34[[#This Row],[0-10]:[131-140]])</f>
        <v>1.3333333333333333</v>
      </c>
    </row>
    <row r="120" spans="1:28" x14ac:dyDescent="0.25">
      <c r="A120" t="s">
        <v>24</v>
      </c>
      <c r="B120" s="146" t="s">
        <v>220</v>
      </c>
      <c r="C120" s="148">
        <v>2015</v>
      </c>
      <c r="D120" s="151" t="str">
        <f>MID(AF30_ByRubLot34[[#This Row],[AF-30 Lot]],2,3)</f>
        <v>300</v>
      </c>
      <c r="E120" s="151" t="str">
        <f>CONCATENATE(RIGHT(AF30_ByRubLot34[[#This Row],[Year of Production]],2),AF30_ByRubLot34[[#This Row],[Julian Date Jumbo Production]])</f>
        <v>15300</v>
      </c>
      <c r="F120">
        <f>(AF30_ByRubLot[[#This Row],[0-10]]/AF30_ByRubLot34[[Total Charge]:[Total Charge]])</f>
        <v>0</v>
      </c>
      <c r="G120">
        <f>(AF30_ByRubLot[[#This Row],[11-20]]/AF30_ByRubLot34[[Total Charge]:[Total Charge]])</f>
        <v>0</v>
      </c>
      <c r="H120">
        <f>(AF30_ByRubLot[[#This Row],[21-30]]/AF30_ByRubLot34[[Total Charge]:[Total Charge]])</f>
        <v>0</v>
      </c>
      <c r="I120">
        <f>(AF30_ByRubLot[[#This Row],[31-40]]/AF30_ByRubLot34[[Total Charge]:[Total Charge]])</f>
        <v>0</v>
      </c>
      <c r="J120">
        <f>(AF30_ByRubLot[[#This Row],[41-50]]/AF30_ByRubLot34[[Total Charge]:[Total Charge]])</f>
        <v>0.1</v>
      </c>
      <c r="K120">
        <f>(AF30_ByRubLot[[#This Row],[51-60]]/AF30_ByRubLot34[[Total Charge]:[Total Charge]])</f>
        <v>0</v>
      </c>
      <c r="L120">
        <f>(AF30_ByRubLot[[#This Row],[61-70]]/AF30_ByRubLot34[[Total Charge]:[Total Charge]])</f>
        <v>0.1</v>
      </c>
      <c r="M120">
        <f>(AF30_ByRubLot[[#This Row],[71-80]]/AF30_ByRubLot34[[Total Charge]:[Total Charge]])</f>
        <v>0</v>
      </c>
      <c r="N120">
        <f>(AF30_ByRubLot[[#This Row],[81-90]]/AF30_ByRubLot34[[Total Charge]:[Total Charge]])</f>
        <v>0</v>
      </c>
      <c r="O120">
        <f>(AF30_ByRubLot[[#This Row],[91-100]]/AF30_ByRubLot34[[Total Charge]:[Total Charge]])</f>
        <v>0.2</v>
      </c>
      <c r="P120">
        <f>(AF30_ByRubLot[[#This Row],[101-110]]/AF30_ByRubLot34[[Total Charge]:[Total Charge]])</f>
        <v>0.1</v>
      </c>
      <c r="Q120">
        <f>(AF30_ByRubLot[[#This Row],[111-120]]/AF30_ByRubLot34[[Total Charge]:[Total Charge]])</f>
        <v>0.1</v>
      </c>
      <c r="R120">
        <f>(AF30_ByRubLot[[#This Row],[121-130]]/AF30_ByRubLot34[[Total Charge]:[Total Charge]])</f>
        <v>0</v>
      </c>
      <c r="S120">
        <f>(AF30_ByRubLot[[#This Row],[131-140]]/AF30_ByRubLot34[[Total Charge]:[Total Charge]])</f>
        <v>0</v>
      </c>
      <c r="T120">
        <v>0</v>
      </c>
      <c r="U120">
        <v>0</v>
      </c>
      <c r="V120" t="s">
        <v>6</v>
      </c>
      <c r="W120">
        <v>10</v>
      </c>
      <c r="X120" s="112"/>
      <c r="Y120">
        <v>1972.2222222222222</v>
      </c>
      <c r="Z120">
        <v>1832</v>
      </c>
      <c r="AA120">
        <f t="shared" si="3"/>
        <v>92.89014084507042</v>
      </c>
      <c r="AB120">
        <f>SUM(AF30_ByRubLot34[[#This Row],[0-10]:[131-140]])</f>
        <v>0.6</v>
      </c>
    </row>
    <row r="121" spans="1:28" x14ac:dyDescent="0.25">
      <c r="A121" t="s">
        <v>115</v>
      </c>
      <c r="B121" s="146" t="s">
        <v>272</v>
      </c>
      <c r="C121" s="148">
        <v>2015</v>
      </c>
      <c r="D121" s="151" t="str">
        <f>MID(AF30_ByRubLot34[[#This Row],[AF-30 Lot]],2,3)</f>
        <v>350</v>
      </c>
      <c r="E121" s="151" t="str">
        <f>CONCATENATE(RIGHT(AF30_ByRubLot34[[#This Row],[Year of Production]],2),AF30_ByRubLot34[[#This Row],[Julian Date Jumbo Production]])</f>
        <v>15350</v>
      </c>
      <c r="F121">
        <f>(AF30_ByRubLot[[#This Row],[0-10]]/AF30_ByRubLot34[[Total Charge]:[Total Charge]])</f>
        <v>0</v>
      </c>
      <c r="G121">
        <f>(AF30_ByRubLot[[#This Row],[11-20]]/AF30_ByRubLot34[[Total Charge]:[Total Charge]])</f>
        <v>0</v>
      </c>
      <c r="H121">
        <f>(AF30_ByRubLot[[#This Row],[21-30]]/AF30_ByRubLot34[[Total Charge]:[Total Charge]])</f>
        <v>0</v>
      </c>
      <c r="I121">
        <f>(AF30_ByRubLot[[#This Row],[31-40]]/AF30_ByRubLot34[[Total Charge]:[Total Charge]])</f>
        <v>0</v>
      </c>
      <c r="J121">
        <f>(AF30_ByRubLot[[#This Row],[41-50]]/AF30_ByRubLot34[[Total Charge]:[Total Charge]])</f>
        <v>0.16666666666666666</v>
      </c>
      <c r="K121">
        <f>(AF30_ByRubLot[[#This Row],[51-60]]/AF30_ByRubLot34[[Total Charge]:[Total Charge]])</f>
        <v>0</v>
      </c>
      <c r="L121">
        <f>(AF30_ByRubLot[[#This Row],[61-70]]/AF30_ByRubLot34[[Total Charge]:[Total Charge]])</f>
        <v>0.16666666666666666</v>
      </c>
      <c r="M121">
        <f>(AF30_ByRubLot[[#This Row],[71-80]]/AF30_ByRubLot34[[Total Charge]:[Total Charge]])</f>
        <v>0</v>
      </c>
      <c r="N121">
        <f>(AF30_ByRubLot[[#This Row],[81-90]]/AF30_ByRubLot34[[Total Charge]:[Total Charge]])</f>
        <v>0</v>
      </c>
      <c r="O121">
        <f>(AF30_ByRubLot[[#This Row],[91-100]]/AF30_ByRubLot34[[Total Charge]:[Total Charge]])</f>
        <v>0.33333333333333331</v>
      </c>
      <c r="P121">
        <f>(AF30_ByRubLot[[#This Row],[101-110]]/AF30_ByRubLot34[[Total Charge]:[Total Charge]])</f>
        <v>0.16666666666666666</v>
      </c>
      <c r="Q121">
        <f>(AF30_ByRubLot[[#This Row],[111-120]]/AF30_ByRubLot34[[Total Charge]:[Total Charge]])</f>
        <v>0.16666666666666666</v>
      </c>
      <c r="R121">
        <f>(AF30_ByRubLot[[#This Row],[121-130]]/AF30_ByRubLot34[[Total Charge]:[Total Charge]])</f>
        <v>0</v>
      </c>
      <c r="S121">
        <f>(AF30_ByRubLot[[#This Row],[131-140]]/AF30_ByRubLot34[[Total Charge]:[Total Charge]])</f>
        <v>0</v>
      </c>
      <c r="T121">
        <v>0</v>
      </c>
      <c r="U121">
        <v>0</v>
      </c>
      <c r="V121" t="s">
        <v>73</v>
      </c>
      <c r="W121">
        <v>6</v>
      </c>
      <c r="X121" s="112"/>
      <c r="Y121">
        <v>2033.3333333333333</v>
      </c>
      <c r="Z121">
        <v>1876</v>
      </c>
      <c r="AA121">
        <f t="shared" si="3"/>
        <v>92.26229508196721</v>
      </c>
      <c r="AB121">
        <f>SUM(AF30_ByRubLot34[[#This Row],[0-10]:[131-140]])</f>
        <v>0.99999999999999989</v>
      </c>
    </row>
    <row r="122" spans="1:28" x14ac:dyDescent="0.25">
      <c r="A122" t="s">
        <v>115</v>
      </c>
      <c r="B122" s="146" t="s">
        <v>271</v>
      </c>
      <c r="C122" s="148">
        <v>2016</v>
      </c>
      <c r="D122" s="151" t="str">
        <f>MID(AF30_ByRubLot34[[#This Row],[AF-30 Lot]],2,3)</f>
        <v>027</v>
      </c>
      <c r="E122" s="151" t="str">
        <f>CONCATENATE(RIGHT(AF30_ByRubLot34[[#This Row],[Year of Production]],2),AF30_ByRubLot34[[#This Row],[Julian Date Jumbo Production]])</f>
        <v>16027</v>
      </c>
      <c r="F122">
        <f>(AF30_ByRubLot[[#This Row],[0-10]]/AF30_ByRubLot34[[Total Charge]:[Total Charge]])</f>
        <v>0</v>
      </c>
      <c r="G122">
        <f>(AF30_ByRubLot[[#This Row],[11-20]]/AF30_ByRubLot34[[Total Charge]:[Total Charge]])</f>
        <v>0</v>
      </c>
      <c r="H122">
        <f>(AF30_ByRubLot[[#This Row],[21-30]]/AF30_ByRubLot34[[Total Charge]:[Total Charge]])</f>
        <v>0</v>
      </c>
      <c r="I122">
        <f>(AF30_ByRubLot[[#This Row],[31-40]]/AF30_ByRubLot34[[Total Charge]:[Total Charge]])</f>
        <v>0</v>
      </c>
      <c r="J122">
        <f>(AF30_ByRubLot[[#This Row],[41-50]]/AF30_ByRubLot34[[Total Charge]:[Total Charge]])</f>
        <v>0.16666666666666666</v>
      </c>
      <c r="K122">
        <f>(AF30_ByRubLot[[#This Row],[51-60]]/AF30_ByRubLot34[[Total Charge]:[Total Charge]])</f>
        <v>0</v>
      </c>
      <c r="L122">
        <f>(AF30_ByRubLot[[#This Row],[61-70]]/AF30_ByRubLot34[[Total Charge]:[Total Charge]])</f>
        <v>0.16666666666666666</v>
      </c>
      <c r="M122">
        <f>(AF30_ByRubLot[[#This Row],[71-80]]/AF30_ByRubLot34[[Total Charge]:[Total Charge]])</f>
        <v>0</v>
      </c>
      <c r="N122">
        <f>(AF30_ByRubLot[[#This Row],[81-90]]/AF30_ByRubLot34[[Total Charge]:[Total Charge]])</f>
        <v>0</v>
      </c>
      <c r="O122">
        <f>(AF30_ByRubLot[[#This Row],[91-100]]/AF30_ByRubLot34[[Total Charge]:[Total Charge]])</f>
        <v>0.33333333333333331</v>
      </c>
      <c r="P122">
        <f>(AF30_ByRubLot[[#This Row],[101-110]]/AF30_ByRubLot34[[Total Charge]:[Total Charge]])</f>
        <v>0.16666666666666666</v>
      </c>
      <c r="Q122">
        <f>(AF30_ByRubLot[[#This Row],[111-120]]/AF30_ByRubLot34[[Total Charge]:[Total Charge]])</f>
        <v>0.16666666666666666</v>
      </c>
      <c r="R122">
        <f>(AF30_ByRubLot[[#This Row],[121-130]]/AF30_ByRubLot34[[Total Charge]:[Total Charge]])</f>
        <v>0</v>
      </c>
      <c r="S122">
        <f>(AF30_ByRubLot[[#This Row],[131-140]]/AF30_ByRubLot34[[Total Charge]:[Total Charge]])</f>
        <v>0</v>
      </c>
      <c r="T122">
        <v>0</v>
      </c>
      <c r="U122">
        <v>0</v>
      </c>
      <c r="V122" t="s">
        <v>73</v>
      </c>
      <c r="W122">
        <v>6</v>
      </c>
      <c r="X122" s="112"/>
      <c r="Y122">
        <v>2533.3333333333335</v>
      </c>
      <c r="Z122">
        <v>2320</v>
      </c>
      <c r="AA122">
        <f t="shared" si="3"/>
        <v>91.578947368421055</v>
      </c>
      <c r="AB122">
        <f>SUM(AF30_ByRubLot34[[#This Row],[0-10]:[131-140]])</f>
        <v>0.99999999999999989</v>
      </c>
    </row>
    <row r="123" spans="1:28" x14ac:dyDescent="0.25">
      <c r="A123" t="s">
        <v>115</v>
      </c>
      <c r="B123" s="146" t="s">
        <v>270</v>
      </c>
      <c r="C123" s="148">
        <v>2016</v>
      </c>
      <c r="D123" s="151" t="str">
        <f>MID(AF30_ByRubLot34[[#This Row],[AF-30 Lot]],2,3)</f>
        <v>060</v>
      </c>
      <c r="E123" s="151" t="str">
        <f>CONCATENATE(RIGHT(AF30_ByRubLot34[[#This Row],[Year of Production]],2),AF30_ByRubLot34[[#This Row],[Julian Date Jumbo Production]])</f>
        <v>16060</v>
      </c>
      <c r="F123">
        <f>(AF30_ByRubLot[[#This Row],[0-10]]/AF30_ByRubLot34[[Total Charge]:[Total Charge]])</f>
        <v>0</v>
      </c>
      <c r="G123">
        <f>(AF30_ByRubLot[[#This Row],[11-20]]/AF30_ByRubLot34[[Total Charge]:[Total Charge]])</f>
        <v>0</v>
      </c>
      <c r="H123">
        <f>(AF30_ByRubLot[[#This Row],[21-30]]/AF30_ByRubLot34[[Total Charge]:[Total Charge]])</f>
        <v>0</v>
      </c>
      <c r="I123">
        <f>(AF30_ByRubLot[[#This Row],[31-40]]/AF30_ByRubLot34[[Total Charge]:[Total Charge]])</f>
        <v>0</v>
      </c>
      <c r="J123">
        <f>(AF30_ByRubLot[[#This Row],[41-50]]/AF30_ByRubLot34[[Total Charge]:[Total Charge]])</f>
        <v>0.16666666666666666</v>
      </c>
      <c r="K123">
        <f>(AF30_ByRubLot[[#This Row],[51-60]]/AF30_ByRubLot34[[Total Charge]:[Total Charge]])</f>
        <v>0</v>
      </c>
      <c r="L123">
        <f>(AF30_ByRubLot[[#This Row],[61-70]]/AF30_ByRubLot34[[Total Charge]:[Total Charge]])</f>
        <v>0.16666666666666666</v>
      </c>
      <c r="M123">
        <f>(AF30_ByRubLot[[#This Row],[71-80]]/AF30_ByRubLot34[[Total Charge]:[Total Charge]])</f>
        <v>0</v>
      </c>
      <c r="N123">
        <f>(AF30_ByRubLot[[#This Row],[81-90]]/AF30_ByRubLot34[[Total Charge]:[Total Charge]])</f>
        <v>0</v>
      </c>
      <c r="O123">
        <f>(AF30_ByRubLot[[#This Row],[91-100]]/AF30_ByRubLot34[[Total Charge]:[Total Charge]])</f>
        <v>0.33333333333333331</v>
      </c>
      <c r="P123">
        <f>(AF30_ByRubLot[[#This Row],[101-110]]/AF30_ByRubLot34[[Total Charge]:[Total Charge]])</f>
        <v>0.16666666666666666</v>
      </c>
      <c r="Q123">
        <f>(AF30_ByRubLot[[#This Row],[111-120]]/AF30_ByRubLot34[[Total Charge]:[Total Charge]])</f>
        <v>0.16666666666666666</v>
      </c>
      <c r="R123">
        <f>(AF30_ByRubLot[[#This Row],[121-130]]/AF30_ByRubLot34[[Total Charge]:[Total Charge]])</f>
        <v>0</v>
      </c>
      <c r="S123">
        <f>(AF30_ByRubLot[[#This Row],[131-140]]/AF30_ByRubLot34[[Total Charge]:[Total Charge]])</f>
        <v>0</v>
      </c>
      <c r="T123">
        <v>0</v>
      </c>
      <c r="U123">
        <v>0</v>
      </c>
      <c r="V123" t="s">
        <v>73</v>
      </c>
      <c r="W123">
        <v>6</v>
      </c>
      <c r="X123" s="112"/>
      <c r="Y123">
        <v>2713.8888888888887</v>
      </c>
      <c r="Z123">
        <v>2552</v>
      </c>
      <c r="AA123">
        <f t="shared" si="3"/>
        <v>94.03480040941659</v>
      </c>
      <c r="AB123">
        <f>SUM(AF30_ByRubLot34[[#This Row],[0-10]:[131-140]])</f>
        <v>0.99999999999999989</v>
      </c>
    </row>
    <row r="124" spans="1:28" x14ac:dyDescent="0.25">
      <c r="A124" t="s">
        <v>157</v>
      </c>
      <c r="B124" s="146" t="s">
        <v>158</v>
      </c>
      <c r="C124" s="148">
        <v>2016</v>
      </c>
      <c r="D124" s="151" t="str">
        <f>MID(AF30_ByRubLot34[[#This Row],[AF-30 Lot]],2,3)</f>
        <v>107</v>
      </c>
      <c r="E124" s="151" t="str">
        <f>CONCATENATE(RIGHT(AF30_ByRubLot34[[#This Row],[Year of Production]],2),AF30_ByRubLot34[[#This Row],[Julian Date Jumbo Production]])</f>
        <v>16107</v>
      </c>
      <c r="F124">
        <f>(AF30_ByRubLot[[#This Row],[0-10]]/AF30_ByRubLot34[[Total Charge]:[Total Charge]])</f>
        <v>0</v>
      </c>
      <c r="G124">
        <f>(AF30_ByRubLot[[#This Row],[11-20]]/AF30_ByRubLot34[[Total Charge]:[Total Charge]])</f>
        <v>0</v>
      </c>
      <c r="H124">
        <f>(AF30_ByRubLot[[#This Row],[21-30]]/AF30_ByRubLot34[[Total Charge]:[Total Charge]])</f>
        <v>0</v>
      </c>
      <c r="I124">
        <f>(AF30_ByRubLot[[#This Row],[31-40]]/AF30_ByRubLot34[[Total Charge]:[Total Charge]])</f>
        <v>0</v>
      </c>
      <c r="J124">
        <f>(AF30_ByRubLot[[#This Row],[41-50]]/AF30_ByRubLot34[[Total Charge]:[Total Charge]])</f>
        <v>0.16666666666666666</v>
      </c>
      <c r="K124">
        <f>(AF30_ByRubLot[[#This Row],[51-60]]/AF30_ByRubLot34[[Total Charge]:[Total Charge]])</f>
        <v>0</v>
      </c>
      <c r="L124">
        <f>(AF30_ByRubLot[[#This Row],[61-70]]/AF30_ByRubLot34[[Total Charge]:[Total Charge]])</f>
        <v>0.16666666666666666</v>
      </c>
      <c r="M124">
        <f>(AF30_ByRubLot[[#This Row],[71-80]]/AF30_ByRubLot34[[Total Charge]:[Total Charge]])</f>
        <v>0</v>
      </c>
      <c r="N124">
        <f>(AF30_ByRubLot[[#This Row],[81-90]]/AF30_ByRubLot34[[Total Charge]:[Total Charge]])</f>
        <v>0</v>
      </c>
      <c r="O124">
        <f>(AF30_ByRubLot[[#This Row],[91-100]]/AF30_ByRubLot34[[Total Charge]:[Total Charge]])</f>
        <v>0.33333333333333331</v>
      </c>
      <c r="P124">
        <f>(AF30_ByRubLot[[#This Row],[101-110]]/AF30_ByRubLot34[[Total Charge]:[Total Charge]])</f>
        <v>0.16666666666666666</v>
      </c>
      <c r="Q124">
        <f>(AF30_ByRubLot[[#This Row],[111-120]]/AF30_ByRubLot34[[Total Charge]:[Total Charge]])</f>
        <v>0.16666666666666666</v>
      </c>
      <c r="R124">
        <f>(AF30_ByRubLot[[#This Row],[121-130]]/AF30_ByRubLot34[[Total Charge]:[Total Charge]])</f>
        <v>0</v>
      </c>
      <c r="S124">
        <f>(AF30_ByRubLot[[#This Row],[131-140]]/AF30_ByRubLot34[[Total Charge]:[Total Charge]])</f>
        <v>0</v>
      </c>
      <c r="T124">
        <v>0</v>
      </c>
      <c r="U124">
        <v>0</v>
      </c>
      <c r="V124" t="s">
        <v>6</v>
      </c>
      <c r="W124">
        <v>6</v>
      </c>
      <c r="X124" s="112"/>
      <c r="Y124">
        <v>1075</v>
      </c>
      <c r="Z124">
        <v>1161.6666599999999</v>
      </c>
      <c r="AA124">
        <f t="shared" si="3"/>
        <v>108.06201488372092</v>
      </c>
      <c r="AB124">
        <f>SUM(AF30_ByRubLot34[[#This Row],[0-10]:[131-140]])</f>
        <v>0.99999999999999989</v>
      </c>
    </row>
    <row r="125" spans="1:28" x14ac:dyDescent="0.25">
      <c r="A125" t="s">
        <v>115</v>
      </c>
      <c r="B125" s="146" t="s">
        <v>269</v>
      </c>
      <c r="C125" s="148">
        <v>2016</v>
      </c>
      <c r="D125" s="151" t="str">
        <f>MID(AF30_ByRubLot34[[#This Row],[AF-30 Lot]],2,3)</f>
        <v>123</v>
      </c>
      <c r="E125" s="151" t="str">
        <f>CONCATENATE(RIGHT(AF30_ByRubLot34[[#This Row],[Year of Production]],2),AF30_ByRubLot34[[#This Row],[Julian Date Jumbo Production]])</f>
        <v>16123</v>
      </c>
      <c r="F125">
        <f>(AF30_ByRubLot[[#This Row],[0-10]]/AF30_ByRubLot34[[Total Charge]:[Total Charge]])</f>
        <v>0</v>
      </c>
      <c r="G125">
        <f>(AF30_ByRubLot[[#This Row],[11-20]]/AF30_ByRubLot34[[Total Charge]:[Total Charge]])</f>
        <v>0</v>
      </c>
      <c r="H125">
        <f>(AF30_ByRubLot[[#This Row],[21-30]]/AF30_ByRubLot34[[Total Charge]:[Total Charge]])</f>
        <v>0</v>
      </c>
      <c r="I125">
        <f>(AF30_ByRubLot[[#This Row],[31-40]]/AF30_ByRubLot34[[Total Charge]:[Total Charge]])</f>
        <v>0</v>
      </c>
      <c r="J125">
        <f>(AF30_ByRubLot[[#This Row],[41-50]]/AF30_ByRubLot34[[Total Charge]:[Total Charge]])</f>
        <v>0.16666666666666666</v>
      </c>
      <c r="K125">
        <f>(AF30_ByRubLot[[#This Row],[51-60]]/AF30_ByRubLot34[[Total Charge]:[Total Charge]])</f>
        <v>0</v>
      </c>
      <c r="L125">
        <f>(AF30_ByRubLot[[#This Row],[61-70]]/AF30_ByRubLot34[[Total Charge]:[Total Charge]])</f>
        <v>0.16666666666666666</v>
      </c>
      <c r="M125">
        <f>(AF30_ByRubLot[[#This Row],[71-80]]/AF30_ByRubLot34[[Total Charge]:[Total Charge]])</f>
        <v>0</v>
      </c>
      <c r="N125">
        <f>(AF30_ByRubLot[[#This Row],[81-90]]/AF30_ByRubLot34[[Total Charge]:[Total Charge]])</f>
        <v>0</v>
      </c>
      <c r="O125">
        <f>(AF30_ByRubLot[[#This Row],[91-100]]/AF30_ByRubLot34[[Total Charge]:[Total Charge]])</f>
        <v>0.33333333333333331</v>
      </c>
      <c r="P125">
        <f>(AF30_ByRubLot[[#This Row],[101-110]]/AF30_ByRubLot34[[Total Charge]:[Total Charge]])</f>
        <v>0.16666666666666666</v>
      </c>
      <c r="Q125">
        <f>(AF30_ByRubLot[[#This Row],[111-120]]/AF30_ByRubLot34[[Total Charge]:[Total Charge]])</f>
        <v>0.16666666666666666</v>
      </c>
      <c r="R125">
        <f>(AF30_ByRubLot[[#This Row],[121-130]]/AF30_ByRubLot34[[Total Charge]:[Total Charge]])</f>
        <v>0</v>
      </c>
      <c r="S125">
        <f>(AF30_ByRubLot[[#This Row],[131-140]]/AF30_ByRubLot34[[Total Charge]:[Total Charge]])</f>
        <v>0</v>
      </c>
      <c r="T125">
        <v>0</v>
      </c>
      <c r="U125">
        <v>0</v>
      </c>
      <c r="V125" t="s">
        <v>73</v>
      </c>
      <c r="W125">
        <v>6</v>
      </c>
      <c r="X125" s="112"/>
      <c r="Y125">
        <v>1961.1111111111111</v>
      </c>
      <c r="Z125">
        <v>1801.6666600000001</v>
      </c>
      <c r="AA125">
        <f t="shared" si="3"/>
        <v>91.869688045325788</v>
      </c>
      <c r="AB125">
        <f>SUM(AF30_ByRubLot34[[#This Row],[0-10]:[131-140]])</f>
        <v>0.99999999999999989</v>
      </c>
    </row>
    <row r="126" spans="1:28" x14ac:dyDescent="0.25">
      <c r="A126" t="s">
        <v>115</v>
      </c>
      <c r="B126" s="146" t="s">
        <v>268</v>
      </c>
      <c r="C126" s="148">
        <v>2016</v>
      </c>
      <c r="D126" s="151" t="str">
        <f>MID(AF30_ByRubLot34[[#This Row],[AF-30 Lot]],2,3)</f>
        <v>147</v>
      </c>
      <c r="E126" s="151" t="str">
        <f>CONCATENATE(RIGHT(AF30_ByRubLot34[[#This Row],[Year of Production]],2),AF30_ByRubLot34[[#This Row],[Julian Date Jumbo Production]])</f>
        <v>16147</v>
      </c>
      <c r="F126">
        <f>(AF30_ByRubLot[[#This Row],[0-10]]/AF30_ByRubLot34[[Total Charge]:[Total Charge]])</f>
        <v>0</v>
      </c>
      <c r="G126">
        <f>(AF30_ByRubLot[[#This Row],[11-20]]/AF30_ByRubLot34[[Total Charge]:[Total Charge]])</f>
        <v>0</v>
      </c>
      <c r="H126">
        <f>(AF30_ByRubLot[[#This Row],[21-30]]/AF30_ByRubLot34[[Total Charge]:[Total Charge]])</f>
        <v>0</v>
      </c>
      <c r="I126">
        <f>(AF30_ByRubLot[[#This Row],[31-40]]/AF30_ByRubLot34[[Total Charge]:[Total Charge]])</f>
        <v>0</v>
      </c>
      <c r="J126">
        <f>(AF30_ByRubLot[[#This Row],[41-50]]/AF30_ByRubLot34[[Total Charge]:[Total Charge]])</f>
        <v>0.16666666666666666</v>
      </c>
      <c r="K126">
        <f>(AF30_ByRubLot[[#This Row],[51-60]]/AF30_ByRubLot34[[Total Charge]:[Total Charge]])</f>
        <v>0</v>
      </c>
      <c r="L126">
        <f>(AF30_ByRubLot[[#This Row],[61-70]]/AF30_ByRubLot34[[Total Charge]:[Total Charge]])</f>
        <v>0.16666666666666666</v>
      </c>
      <c r="M126">
        <f>(AF30_ByRubLot[[#This Row],[71-80]]/AF30_ByRubLot34[[Total Charge]:[Total Charge]])</f>
        <v>0</v>
      </c>
      <c r="N126">
        <f>(AF30_ByRubLot[[#This Row],[81-90]]/AF30_ByRubLot34[[Total Charge]:[Total Charge]])</f>
        <v>0</v>
      </c>
      <c r="O126">
        <f>(AF30_ByRubLot[[#This Row],[91-100]]/AF30_ByRubLot34[[Total Charge]:[Total Charge]])</f>
        <v>0.33333333333333331</v>
      </c>
      <c r="P126">
        <f>(AF30_ByRubLot[[#This Row],[101-110]]/AF30_ByRubLot34[[Total Charge]:[Total Charge]])</f>
        <v>0.16666666666666666</v>
      </c>
      <c r="Q126">
        <f>(AF30_ByRubLot[[#This Row],[111-120]]/AF30_ByRubLot34[[Total Charge]:[Total Charge]])</f>
        <v>0.16666666666666666</v>
      </c>
      <c r="R126">
        <f>(AF30_ByRubLot[[#This Row],[121-130]]/AF30_ByRubLot34[[Total Charge]:[Total Charge]])</f>
        <v>0</v>
      </c>
      <c r="S126">
        <f>(AF30_ByRubLot[[#This Row],[131-140]]/AF30_ByRubLot34[[Total Charge]:[Total Charge]])</f>
        <v>0</v>
      </c>
      <c r="T126">
        <v>0</v>
      </c>
      <c r="U126">
        <v>0</v>
      </c>
      <c r="V126" t="s">
        <v>73</v>
      </c>
      <c r="W126">
        <v>6</v>
      </c>
      <c r="X126" s="112"/>
      <c r="Y126">
        <v>1986.1111111111109</v>
      </c>
      <c r="Z126">
        <v>1793.6666599999999</v>
      </c>
      <c r="AA126">
        <f t="shared" si="3"/>
        <v>90.310489174825179</v>
      </c>
      <c r="AB126">
        <f>SUM(AF30_ByRubLot34[[#This Row],[0-10]:[131-140]])</f>
        <v>0.99999999999999989</v>
      </c>
    </row>
    <row r="127" spans="1:28" x14ac:dyDescent="0.25">
      <c r="A127" t="s">
        <v>115</v>
      </c>
      <c r="B127" s="146" t="s">
        <v>267</v>
      </c>
      <c r="C127" s="148">
        <v>2016</v>
      </c>
      <c r="D127" s="151" t="str">
        <f>MID(AF30_ByRubLot34[[#This Row],[AF-30 Lot]],2,3)</f>
        <v>214</v>
      </c>
      <c r="E127" s="151" t="str">
        <f>CONCATENATE(RIGHT(AF30_ByRubLot34[[#This Row],[Year of Production]],2),AF30_ByRubLot34[[#This Row],[Julian Date Jumbo Production]])</f>
        <v>16214</v>
      </c>
      <c r="F127">
        <f>(AF30_ByRubLot[[#This Row],[0-10]]/AF30_ByRubLot34[[Total Charge]:[Total Charge]])</f>
        <v>0</v>
      </c>
      <c r="G127">
        <f>(AF30_ByRubLot[[#This Row],[11-20]]/AF30_ByRubLot34[[Total Charge]:[Total Charge]])</f>
        <v>0</v>
      </c>
      <c r="H127">
        <f>(AF30_ByRubLot[[#This Row],[21-30]]/AF30_ByRubLot34[[Total Charge]:[Total Charge]])</f>
        <v>0</v>
      </c>
      <c r="I127">
        <f>(AF30_ByRubLot[[#This Row],[31-40]]/AF30_ByRubLot34[[Total Charge]:[Total Charge]])</f>
        <v>0</v>
      </c>
      <c r="J127">
        <f>(AF30_ByRubLot[[#This Row],[41-50]]/AF30_ByRubLot34[[Total Charge]:[Total Charge]])</f>
        <v>0.16666666666666666</v>
      </c>
      <c r="K127">
        <f>(AF30_ByRubLot[[#This Row],[51-60]]/AF30_ByRubLot34[[Total Charge]:[Total Charge]])</f>
        <v>0</v>
      </c>
      <c r="L127">
        <f>(AF30_ByRubLot[[#This Row],[61-70]]/AF30_ByRubLot34[[Total Charge]:[Total Charge]])</f>
        <v>0.16666666666666666</v>
      </c>
      <c r="M127">
        <f>(AF30_ByRubLot[[#This Row],[71-80]]/AF30_ByRubLot34[[Total Charge]:[Total Charge]])</f>
        <v>0</v>
      </c>
      <c r="N127">
        <f>(AF30_ByRubLot[[#This Row],[81-90]]/AF30_ByRubLot34[[Total Charge]:[Total Charge]])</f>
        <v>0</v>
      </c>
      <c r="O127">
        <f>(AF30_ByRubLot[[#This Row],[91-100]]/AF30_ByRubLot34[[Total Charge]:[Total Charge]])</f>
        <v>0.33333333333333331</v>
      </c>
      <c r="P127">
        <f>(AF30_ByRubLot[[#This Row],[101-110]]/AF30_ByRubLot34[[Total Charge]:[Total Charge]])</f>
        <v>0.16666666666666666</v>
      </c>
      <c r="Q127">
        <f>(AF30_ByRubLot[[#This Row],[111-120]]/AF30_ByRubLot34[[Total Charge]:[Total Charge]])</f>
        <v>0.16666666666666666</v>
      </c>
      <c r="R127">
        <f>(AF30_ByRubLot[[#This Row],[121-130]]/AF30_ByRubLot34[[Total Charge]:[Total Charge]])</f>
        <v>0</v>
      </c>
      <c r="S127">
        <f>(AF30_ByRubLot[[#This Row],[131-140]]/AF30_ByRubLot34[[Total Charge]:[Total Charge]])</f>
        <v>0</v>
      </c>
      <c r="T127">
        <v>0</v>
      </c>
      <c r="U127">
        <v>0</v>
      </c>
      <c r="V127" t="s">
        <v>73</v>
      </c>
      <c r="W127">
        <v>6</v>
      </c>
      <c r="X127" s="112"/>
      <c r="Y127">
        <v>2641.666666666667</v>
      </c>
      <c r="Z127">
        <v>2240</v>
      </c>
      <c r="AA127">
        <f t="shared" si="3"/>
        <v>84.794952681387997</v>
      </c>
      <c r="AB127">
        <f>SUM(AF30_ByRubLot34[[#This Row],[0-10]:[131-140]])</f>
        <v>0.99999999999999989</v>
      </c>
    </row>
    <row r="128" spans="1:28" x14ac:dyDescent="0.25">
      <c r="A128" t="s">
        <v>115</v>
      </c>
      <c r="B128" s="146" t="s">
        <v>266</v>
      </c>
      <c r="C128" s="148">
        <v>2016</v>
      </c>
      <c r="D128" s="151" t="str">
        <f>MID(AF30_ByRubLot34[[#This Row],[AF-30 Lot]],2,3)</f>
        <v>251</v>
      </c>
      <c r="E128" s="151" t="str">
        <f>CONCATENATE(RIGHT(AF30_ByRubLot34[[#This Row],[Year of Production]],2),AF30_ByRubLot34[[#This Row],[Julian Date Jumbo Production]])</f>
        <v>16251</v>
      </c>
      <c r="F128">
        <f>(AF30_ByRubLot[[#This Row],[0-10]]/AF30_ByRubLot34[[Total Charge]:[Total Charge]])</f>
        <v>0</v>
      </c>
      <c r="G128">
        <f>(AF30_ByRubLot[[#This Row],[11-20]]/AF30_ByRubLot34[[Total Charge]:[Total Charge]])</f>
        <v>0</v>
      </c>
      <c r="H128">
        <f>(AF30_ByRubLot[[#This Row],[21-30]]/AF30_ByRubLot34[[Total Charge]:[Total Charge]])</f>
        <v>0</v>
      </c>
      <c r="I128">
        <f>(AF30_ByRubLot[[#This Row],[31-40]]/AF30_ByRubLot34[[Total Charge]:[Total Charge]])</f>
        <v>0</v>
      </c>
      <c r="J128">
        <f>(AF30_ByRubLot[[#This Row],[41-50]]/AF30_ByRubLot34[[Total Charge]:[Total Charge]])</f>
        <v>0.16666666666666666</v>
      </c>
      <c r="K128">
        <f>(AF30_ByRubLot[[#This Row],[51-60]]/AF30_ByRubLot34[[Total Charge]:[Total Charge]])</f>
        <v>0</v>
      </c>
      <c r="L128">
        <f>(AF30_ByRubLot[[#This Row],[61-70]]/AF30_ByRubLot34[[Total Charge]:[Total Charge]])</f>
        <v>0.16666666666666666</v>
      </c>
      <c r="M128">
        <f>(AF30_ByRubLot[[#This Row],[71-80]]/AF30_ByRubLot34[[Total Charge]:[Total Charge]])</f>
        <v>0</v>
      </c>
      <c r="N128">
        <f>(AF30_ByRubLot[[#This Row],[81-90]]/AF30_ByRubLot34[[Total Charge]:[Total Charge]])</f>
        <v>0</v>
      </c>
      <c r="O128">
        <f>(AF30_ByRubLot[[#This Row],[91-100]]/AF30_ByRubLot34[[Total Charge]:[Total Charge]])</f>
        <v>0.33333333333333331</v>
      </c>
      <c r="P128">
        <f>(AF30_ByRubLot[[#This Row],[101-110]]/AF30_ByRubLot34[[Total Charge]:[Total Charge]])</f>
        <v>0.16666666666666666</v>
      </c>
      <c r="Q128">
        <f>(AF30_ByRubLot[[#This Row],[111-120]]/AF30_ByRubLot34[[Total Charge]:[Total Charge]])</f>
        <v>0.16666666666666666</v>
      </c>
      <c r="R128">
        <f>(AF30_ByRubLot[[#This Row],[121-130]]/AF30_ByRubLot34[[Total Charge]:[Total Charge]])</f>
        <v>0</v>
      </c>
      <c r="S128">
        <f>(AF30_ByRubLot[[#This Row],[131-140]]/AF30_ByRubLot34[[Total Charge]:[Total Charge]])</f>
        <v>0</v>
      </c>
      <c r="T128">
        <v>0</v>
      </c>
      <c r="U128">
        <v>0</v>
      </c>
      <c r="V128" t="s">
        <v>73</v>
      </c>
      <c r="W128">
        <v>6</v>
      </c>
      <c r="X128" s="112"/>
      <c r="Y128">
        <v>1694.4444444444443</v>
      </c>
      <c r="Z128">
        <v>1508</v>
      </c>
      <c r="AA128">
        <f t="shared" si="3"/>
        <v>88.996721311475412</v>
      </c>
      <c r="AB128">
        <f>SUM(AF30_ByRubLot34[[#This Row],[0-10]:[131-140]])</f>
        <v>0.99999999999999989</v>
      </c>
    </row>
    <row r="129" spans="1:28" x14ac:dyDescent="0.25">
      <c r="A129" t="s">
        <v>115</v>
      </c>
      <c r="B129" s="146" t="s">
        <v>265</v>
      </c>
      <c r="C129" s="148">
        <v>2016</v>
      </c>
      <c r="D129" s="151" t="str">
        <f>MID(AF30_ByRubLot34[[#This Row],[AF-30 Lot]],2,3)</f>
        <v>278</v>
      </c>
      <c r="E129" s="151" t="str">
        <f>CONCATENATE(RIGHT(AF30_ByRubLot34[[#This Row],[Year of Production]],2),AF30_ByRubLot34[[#This Row],[Julian Date Jumbo Production]])</f>
        <v>16278</v>
      </c>
      <c r="F129">
        <f>(AF30_ByRubLot[[#This Row],[0-10]]/AF30_ByRubLot34[[Total Charge]:[Total Charge]])</f>
        <v>0</v>
      </c>
      <c r="G129">
        <f>(AF30_ByRubLot[[#This Row],[11-20]]/AF30_ByRubLot34[[Total Charge]:[Total Charge]])</f>
        <v>0</v>
      </c>
      <c r="H129">
        <f>(AF30_ByRubLot[[#This Row],[21-30]]/AF30_ByRubLot34[[Total Charge]:[Total Charge]])</f>
        <v>0</v>
      </c>
      <c r="I129">
        <f>(AF30_ByRubLot[[#This Row],[31-40]]/AF30_ByRubLot34[[Total Charge]:[Total Charge]])</f>
        <v>0</v>
      </c>
      <c r="J129">
        <f>(AF30_ByRubLot[[#This Row],[41-50]]/AF30_ByRubLot34[[Total Charge]:[Total Charge]])</f>
        <v>0.16666666666666666</v>
      </c>
      <c r="K129">
        <f>(AF30_ByRubLot[[#This Row],[51-60]]/AF30_ByRubLot34[[Total Charge]:[Total Charge]])</f>
        <v>0</v>
      </c>
      <c r="L129">
        <f>(AF30_ByRubLot[[#This Row],[61-70]]/AF30_ByRubLot34[[Total Charge]:[Total Charge]])</f>
        <v>0.16666666666666666</v>
      </c>
      <c r="M129">
        <f>(AF30_ByRubLot[[#This Row],[71-80]]/AF30_ByRubLot34[[Total Charge]:[Total Charge]])</f>
        <v>0</v>
      </c>
      <c r="N129">
        <f>(AF30_ByRubLot[[#This Row],[81-90]]/AF30_ByRubLot34[[Total Charge]:[Total Charge]])</f>
        <v>0</v>
      </c>
      <c r="O129">
        <f>(AF30_ByRubLot[[#This Row],[91-100]]/AF30_ByRubLot34[[Total Charge]:[Total Charge]])</f>
        <v>0.33333333333333331</v>
      </c>
      <c r="P129">
        <f>(AF30_ByRubLot[[#This Row],[101-110]]/AF30_ByRubLot34[[Total Charge]:[Total Charge]])</f>
        <v>0.16666666666666666</v>
      </c>
      <c r="Q129">
        <f>(AF30_ByRubLot[[#This Row],[111-120]]/AF30_ByRubLot34[[Total Charge]:[Total Charge]])</f>
        <v>0.16666666666666666</v>
      </c>
      <c r="R129">
        <f>(AF30_ByRubLot[[#This Row],[121-130]]/AF30_ByRubLot34[[Total Charge]:[Total Charge]])</f>
        <v>0</v>
      </c>
      <c r="S129">
        <f>(AF30_ByRubLot[[#This Row],[131-140]]/AF30_ByRubLot34[[Total Charge]:[Total Charge]])</f>
        <v>0</v>
      </c>
      <c r="T129">
        <v>0</v>
      </c>
      <c r="U129">
        <v>0</v>
      </c>
      <c r="V129" t="s">
        <v>73</v>
      </c>
      <c r="W129">
        <v>6</v>
      </c>
      <c r="X129" s="112"/>
      <c r="Y129">
        <v>1888.8888888888889</v>
      </c>
      <c r="Z129">
        <v>1606.6666399999999</v>
      </c>
      <c r="AA129">
        <f t="shared" si="3"/>
        <v>85.058822117647054</v>
      </c>
      <c r="AB129">
        <f>SUM(AF30_ByRubLot34[[#This Row],[0-10]:[131-140]])</f>
        <v>0.99999999999999989</v>
      </c>
    </row>
    <row r="130" spans="1:28" x14ac:dyDescent="0.25">
      <c r="A130" t="s">
        <v>115</v>
      </c>
      <c r="B130" s="146" t="s">
        <v>264</v>
      </c>
      <c r="C130" s="148">
        <v>2016</v>
      </c>
      <c r="D130" s="151" t="str">
        <f>MID(AF30_ByRubLot34[[#This Row],[AF-30 Lot]],2,3)</f>
        <v>305</v>
      </c>
      <c r="E130" s="151" t="str">
        <f>CONCATENATE(RIGHT(AF30_ByRubLot34[[#This Row],[Year of Production]],2),AF30_ByRubLot34[[#This Row],[Julian Date Jumbo Production]])</f>
        <v>16305</v>
      </c>
      <c r="F130">
        <f>(AF30_ByRubLot[[#This Row],[0-10]]/AF30_ByRubLot34[[Total Charge]:[Total Charge]])</f>
        <v>0</v>
      </c>
      <c r="G130">
        <f>(AF30_ByRubLot[[#This Row],[11-20]]/AF30_ByRubLot34[[Total Charge]:[Total Charge]])</f>
        <v>0</v>
      </c>
      <c r="H130">
        <f>(AF30_ByRubLot[[#This Row],[21-30]]/AF30_ByRubLot34[[Total Charge]:[Total Charge]])</f>
        <v>0</v>
      </c>
      <c r="I130">
        <f>(AF30_ByRubLot[[#This Row],[31-40]]/AF30_ByRubLot34[[Total Charge]:[Total Charge]])</f>
        <v>0</v>
      </c>
      <c r="J130">
        <f>(AF30_ByRubLot[[#This Row],[41-50]]/AF30_ByRubLot34[[Total Charge]:[Total Charge]])</f>
        <v>0.16666666666666666</v>
      </c>
      <c r="K130">
        <f>(AF30_ByRubLot[[#This Row],[51-60]]/AF30_ByRubLot34[[Total Charge]:[Total Charge]])</f>
        <v>0</v>
      </c>
      <c r="L130">
        <f>(AF30_ByRubLot[[#This Row],[61-70]]/AF30_ByRubLot34[[Total Charge]:[Total Charge]])</f>
        <v>0.16666666666666666</v>
      </c>
      <c r="M130">
        <f>(AF30_ByRubLot[[#This Row],[71-80]]/AF30_ByRubLot34[[Total Charge]:[Total Charge]])</f>
        <v>0</v>
      </c>
      <c r="N130">
        <f>(AF30_ByRubLot[[#This Row],[81-90]]/AF30_ByRubLot34[[Total Charge]:[Total Charge]])</f>
        <v>0</v>
      </c>
      <c r="O130">
        <f>(AF30_ByRubLot[[#This Row],[91-100]]/AF30_ByRubLot34[[Total Charge]:[Total Charge]])</f>
        <v>0.33333333333333331</v>
      </c>
      <c r="P130">
        <f>(AF30_ByRubLot[[#This Row],[101-110]]/AF30_ByRubLot34[[Total Charge]:[Total Charge]])</f>
        <v>0.16666666666666666</v>
      </c>
      <c r="Q130">
        <f>(AF30_ByRubLot[[#This Row],[111-120]]/AF30_ByRubLot34[[Total Charge]:[Total Charge]])</f>
        <v>0.16666666666666666</v>
      </c>
      <c r="R130">
        <f>(AF30_ByRubLot[[#This Row],[121-130]]/AF30_ByRubLot34[[Total Charge]:[Total Charge]])</f>
        <v>0</v>
      </c>
      <c r="S130">
        <f>(AF30_ByRubLot[[#This Row],[131-140]]/AF30_ByRubLot34[[Total Charge]:[Total Charge]])</f>
        <v>0</v>
      </c>
      <c r="T130">
        <v>0</v>
      </c>
      <c r="U130">
        <v>0</v>
      </c>
      <c r="V130" t="s">
        <v>73</v>
      </c>
      <c r="W130">
        <v>6</v>
      </c>
      <c r="X130" s="112"/>
      <c r="Y130">
        <v>2644.4444444444443</v>
      </c>
      <c r="Z130">
        <v>2161.6666599999999</v>
      </c>
      <c r="AA130">
        <f t="shared" ref="AA130:AA161" si="4">(Z130/Y130)*100</f>
        <v>81.74369722689076</v>
      </c>
      <c r="AB130">
        <f>SUM(AF30_ByRubLot34[[#This Row],[0-10]:[131-140]])</f>
        <v>0.99999999999999989</v>
      </c>
    </row>
    <row r="131" spans="1:28" x14ac:dyDescent="0.25">
      <c r="A131" t="s">
        <v>115</v>
      </c>
      <c r="B131" s="146" t="s">
        <v>263</v>
      </c>
      <c r="C131" s="148">
        <v>2016</v>
      </c>
      <c r="D131" s="151" t="str">
        <f>MID(AF30_ByRubLot34[[#This Row],[AF-30 Lot]],2,3)</f>
        <v>347</v>
      </c>
      <c r="E131" s="151" t="str">
        <f>CONCATENATE(RIGHT(AF30_ByRubLot34[[#This Row],[Year of Production]],2),AF30_ByRubLot34[[#This Row],[Julian Date Jumbo Production]])</f>
        <v>16347</v>
      </c>
      <c r="F131">
        <f>(AF30_ByRubLot[[#This Row],[0-10]]/AF30_ByRubLot34[[Total Charge]:[Total Charge]])</f>
        <v>0</v>
      </c>
      <c r="G131">
        <f>(AF30_ByRubLot[[#This Row],[11-20]]/AF30_ByRubLot34[[Total Charge]:[Total Charge]])</f>
        <v>0</v>
      </c>
      <c r="H131">
        <f>(AF30_ByRubLot[[#This Row],[21-30]]/AF30_ByRubLot34[[Total Charge]:[Total Charge]])</f>
        <v>0</v>
      </c>
      <c r="I131">
        <f>(AF30_ByRubLot[[#This Row],[31-40]]/AF30_ByRubLot34[[Total Charge]:[Total Charge]])</f>
        <v>0</v>
      </c>
      <c r="J131">
        <f>(AF30_ByRubLot[[#This Row],[41-50]]/AF30_ByRubLot34[[Total Charge]:[Total Charge]])</f>
        <v>0.16666666666666666</v>
      </c>
      <c r="K131">
        <f>(AF30_ByRubLot[[#This Row],[51-60]]/AF30_ByRubLot34[[Total Charge]:[Total Charge]])</f>
        <v>0</v>
      </c>
      <c r="L131">
        <f>(AF30_ByRubLot[[#This Row],[61-70]]/AF30_ByRubLot34[[Total Charge]:[Total Charge]])</f>
        <v>0.16666666666666666</v>
      </c>
      <c r="M131">
        <f>(AF30_ByRubLot[[#This Row],[71-80]]/AF30_ByRubLot34[[Total Charge]:[Total Charge]])</f>
        <v>0</v>
      </c>
      <c r="N131">
        <f>(AF30_ByRubLot[[#This Row],[81-90]]/AF30_ByRubLot34[[Total Charge]:[Total Charge]])</f>
        <v>0</v>
      </c>
      <c r="O131">
        <f>(AF30_ByRubLot[[#This Row],[91-100]]/AF30_ByRubLot34[[Total Charge]:[Total Charge]])</f>
        <v>0.33333333333333331</v>
      </c>
      <c r="P131">
        <f>(AF30_ByRubLot[[#This Row],[101-110]]/AF30_ByRubLot34[[Total Charge]:[Total Charge]])</f>
        <v>0.16666666666666666</v>
      </c>
      <c r="Q131">
        <f>(AF30_ByRubLot[[#This Row],[111-120]]/AF30_ByRubLot34[[Total Charge]:[Total Charge]])</f>
        <v>0.16666666666666666</v>
      </c>
      <c r="R131">
        <f>(AF30_ByRubLot[[#This Row],[121-130]]/AF30_ByRubLot34[[Total Charge]:[Total Charge]])</f>
        <v>0</v>
      </c>
      <c r="S131">
        <f>(AF30_ByRubLot[[#This Row],[131-140]]/AF30_ByRubLot34[[Total Charge]:[Total Charge]])</f>
        <v>0</v>
      </c>
      <c r="T131">
        <v>0</v>
      </c>
      <c r="U131">
        <v>0</v>
      </c>
      <c r="V131" t="s">
        <v>73</v>
      </c>
      <c r="W131">
        <v>6</v>
      </c>
      <c r="X131" s="112"/>
      <c r="Y131">
        <v>2033.3333333333333</v>
      </c>
      <c r="Z131">
        <v>1595.3333200000002</v>
      </c>
      <c r="AA131">
        <f t="shared" si="4"/>
        <v>78.459015737704931</v>
      </c>
      <c r="AB131">
        <f>SUM(AF30_ByRubLot34[[#This Row],[0-10]:[131-140]])</f>
        <v>0.99999999999999989</v>
      </c>
    </row>
    <row r="132" spans="1:28" x14ac:dyDescent="0.25">
      <c r="A132" t="s">
        <v>117</v>
      </c>
      <c r="B132" s="146" t="s">
        <v>277</v>
      </c>
      <c r="C132" s="148">
        <v>2016</v>
      </c>
      <c r="D132" s="151" t="str">
        <f>MID(AF30_ByRubLot34[[#This Row],[AF-30 Lot]],2,3)</f>
        <v>356</v>
      </c>
      <c r="E132" s="151" t="str">
        <f>CONCATENATE(RIGHT(AF30_ByRubLot34[[#This Row],[Year of Production]],2),AF30_ByRubLot34[[#This Row],[Julian Date Jumbo Production]])</f>
        <v>16356</v>
      </c>
      <c r="F132">
        <f>(AF30_ByRubLot[[#This Row],[0-10]]/AF30_ByRubLot34[[Total Charge]:[Total Charge]])</f>
        <v>0</v>
      </c>
      <c r="G132">
        <f>(AF30_ByRubLot[[#This Row],[11-20]]/AF30_ByRubLot34[[Total Charge]:[Total Charge]])</f>
        <v>0</v>
      </c>
      <c r="H132">
        <f>(AF30_ByRubLot[[#This Row],[21-30]]/AF30_ByRubLot34[[Total Charge]:[Total Charge]])</f>
        <v>0</v>
      </c>
      <c r="I132">
        <f>(AF30_ByRubLot[[#This Row],[31-40]]/AF30_ByRubLot34[[Total Charge]:[Total Charge]])</f>
        <v>0</v>
      </c>
      <c r="J132">
        <f>(AF30_ByRubLot[[#This Row],[41-50]]/AF30_ByRubLot34[[Total Charge]:[Total Charge]])</f>
        <v>8.3333333333333329E-2</v>
      </c>
      <c r="K132">
        <f>(AF30_ByRubLot[[#This Row],[51-60]]/AF30_ByRubLot34[[Total Charge]:[Total Charge]])</f>
        <v>0</v>
      </c>
      <c r="L132">
        <f>(AF30_ByRubLot[[#This Row],[61-70]]/AF30_ByRubLot34[[Total Charge]:[Total Charge]])</f>
        <v>8.3333333333333329E-2</v>
      </c>
      <c r="M132">
        <f>(AF30_ByRubLot[[#This Row],[71-80]]/AF30_ByRubLot34[[Total Charge]:[Total Charge]])</f>
        <v>0</v>
      </c>
      <c r="N132">
        <f>(AF30_ByRubLot[[#This Row],[81-90]]/AF30_ByRubLot34[[Total Charge]:[Total Charge]])</f>
        <v>0</v>
      </c>
      <c r="O132">
        <f>(AF30_ByRubLot[[#This Row],[91-100]]/AF30_ByRubLot34[[Total Charge]:[Total Charge]])</f>
        <v>0.16666666666666666</v>
      </c>
      <c r="P132">
        <f>(AF30_ByRubLot[[#This Row],[101-110]]/AF30_ByRubLot34[[Total Charge]:[Total Charge]])</f>
        <v>8.3333333333333329E-2</v>
      </c>
      <c r="Q132">
        <f>(AF30_ByRubLot[[#This Row],[111-120]]/AF30_ByRubLot34[[Total Charge]:[Total Charge]])</f>
        <v>8.3333333333333329E-2</v>
      </c>
      <c r="R132">
        <f>(AF30_ByRubLot[[#This Row],[121-130]]/AF30_ByRubLot34[[Total Charge]:[Total Charge]])</f>
        <v>0</v>
      </c>
      <c r="S132">
        <f>(AF30_ByRubLot[[#This Row],[131-140]]/AF30_ByRubLot34[[Total Charge]:[Total Charge]])</f>
        <v>0</v>
      </c>
      <c r="T132">
        <v>0</v>
      </c>
      <c r="U132">
        <v>0</v>
      </c>
      <c r="V132" t="s">
        <v>98</v>
      </c>
      <c r="W132">
        <v>12</v>
      </c>
      <c r="X132" s="112"/>
      <c r="Y132">
        <v>666.66666666666663</v>
      </c>
      <c r="Z132">
        <v>600</v>
      </c>
      <c r="AA132">
        <f t="shared" si="4"/>
        <v>90</v>
      </c>
      <c r="AB132">
        <f>SUM(AF30_ByRubLot34[[#This Row],[0-10]:[131-140]])</f>
        <v>0.49999999999999994</v>
      </c>
    </row>
    <row r="133" spans="1:28" x14ac:dyDescent="0.25">
      <c r="A133" t="s">
        <v>115</v>
      </c>
      <c r="B133" s="146" t="s">
        <v>262</v>
      </c>
      <c r="C133" s="148">
        <v>2017</v>
      </c>
      <c r="D133" s="151" t="str">
        <f>MID(AF30_ByRubLot34[[#This Row],[AF-30 Lot]],2,3)</f>
        <v>038</v>
      </c>
      <c r="E133" s="151" t="str">
        <f>CONCATENATE(RIGHT(AF30_ByRubLot34[[#This Row],[Year of Production]],2),AF30_ByRubLot34[[#This Row],[Julian Date Jumbo Production]])</f>
        <v>17038</v>
      </c>
      <c r="F133">
        <f>(AF30_ByRubLot[[#This Row],[0-10]]/AF30_ByRubLot34[[Total Charge]:[Total Charge]])</f>
        <v>0</v>
      </c>
      <c r="G133">
        <f>(AF30_ByRubLot[[#This Row],[11-20]]/AF30_ByRubLot34[[Total Charge]:[Total Charge]])</f>
        <v>0</v>
      </c>
      <c r="H133">
        <f>(AF30_ByRubLot[[#This Row],[21-30]]/AF30_ByRubLot34[[Total Charge]:[Total Charge]])</f>
        <v>0</v>
      </c>
      <c r="I133">
        <f>(AF30_ByRubLot[[#This Row],[31-40]]/AF30_ByRubLot34[[Total Charge]:[Total Charge]])</f>
        <v>0</v>
      </c>
      <c r="J133">
        <f>(AF30_ByRubLot[[#This Row],[41-50]]/AF30_ByRubLot34[[Total Charge]:[Total Charge]])</f>
        <v>0.16666666666666666</v>
      </c>
      <c r="K133">
        <f>(AF30_ByRubLot[[#This Row],[51-60]]/AF30_ByRubLot34[[Total Charge]:[Total Charge]])</f>
        <v>0</v>
      </c>
      <c r="L133">
        <f>(AF30_ByRubLot[[#This Row],[61-70]]/AF30_ByRubLot34[[Total Charge]:[Total Charge]])</f>
        <v>0.16666666666666666</v>
      </c>
      <c r="M133">
        <f>(AF30_ByRubLot[[#This Row],[71-80]]/AF30_ByRubLot34[[Total Charge]:[Total Charge]])</f>
        <v>0</v>
      </c>
      <c r="N133">
        <f>(AF30_ByRubLot[[#This Row],[81-90]]/AF30_ByRubLot34[[Total Charge]:[Total Charge]])</f>
        <v>0</v>
      </c>
      <c r="O133">
        <f>(AF30_ByRubLot[[#This Row],[91-100]]/AF30_ByRubLot34[[Total Charge]:[Total Charge]])</f>
        <v>0.33333333333333331</v>
      </c>
      <c r="P133">
        <f>(AF30_ByRubLot[[#This Row],[101-110]]/AF30_ByRubLot34[[Total Charge]:[Total Charge]])</f>
        <v>0.16666666666666666</v>
      </c>
      <c r="Q133">
        <f>(AF30_ByRubLot[[#This Row],[111-120]]/AF30_ByRubLot34[[Total Charge]:[Total Charge]])</f>
        <v>0.16666666666666666</v>
      </c>
      <c r="R133">
        <f>(AF30_ByRubLot[[#This Row],[121-130]]/AF30_ByRubLot34[[Total Charge]:[Total Charge]])</f>
        <v>0</v>
      </c>
      <c r="S133">
        <f>(AF30_ByRubLot[[#This Row],[131-140]]/AF30_ByRubLot34[[Total Charge]:[Total Charge]])</f>
        <v>0</v>
      </c>
      <c r="T133">
        <v>0</v>
      </c>
      <c r="U133">
        <v>0</v>
      </c>
      <c r="V133" t="s">
        <v>73</v>
      </c>
      <c r="W133">
        <v>6</v>
      </c>
      <c r="X133" s="112"/>
      <c r="Y133">
        <v>2009.4444444444443</v>
      </c>
      <c r="Z133">
        <v>1840</v>
      </c>
      <c r="AA133">
        <f t="shared" si="4"/>
        <v>91.56759745645563</v>
      </c>
      <c r="AB133">
        <f>SUM(AF30_ByRubLot34[[#This Row],[0-10]:[131-140]])</f>
        <v>0.99999999999999989</v>
      </c>
    </row>
    <row r="134" spans="1:28" x14ac:dyDescent="0.25">
      <c r="A134" t="s">
        <v>115</v>
      </c>
      <c r="B134" s="146" t="s">
        <v>261</v>
      </c>
      <c r="C134" s="148">
        <v>2017</v>
      </c>
      <c r="D134" s="151" t="str">
        <f>MID(AF30_ByRubLot34[[#This Row],[AF-30 Lot]],2,3)</f>
        <v>079</v>
      </c>
      <c r="E134" s="151" t="str">
        <f>CONCATENATE(RIGHT(AF30_ByRubLot34[[#This Row],[Year of Production]],2),AF30_ByRubLot34[[#This Row],[Julian Date Jumbo Production]])</f>
        <v>17079</v>
      </c>
      <c r="F134">
        <f>(AF30_ByRubLot[[#This Row],[0-10]]/AF30_ByRubLot34[[Total Charge]:[Total Charge]])</f>
        <v>0</v>
      </c>
      <c r="G134">
        <f>(AF30_ByRubLot[[#This Row],[11-20]]/AF30_ByRubLot34[[Total Charge]:[Total Charge]])</f>
        <v>0</v>
      </c>
      <c r="H134">
        <f>(AF30_ByRubLot[[#This Row],[21-30]]/AF30_ByRubLot34[[Total Charge]:[Total Charge]])</f>
        <v>0</v>
      </c>
      <c r="I134">
        <f>(AF30_ByRubLot[[#This Row],[31-40]]/AF30_ByRubLot34[[Total Charge]:[Total Charge]])</f>
        <v>0</v>
      </c>
      <c r="J134">
        <f>(AF30_ByRubLot[[#This Row],[41-50]]/AF30_ByRubLot34[[Total Charge]:[Total Charge]])</f>
        <v>0.16666666666666666</v>
      </c>
      <c r="K134">
        <f>(AF30_ByRubLot[[#This Row],[51-60]]/AF30_ByRubLot34[[Total Charge]:[Total Charge]])</f>
        <v>0</v>
      </c>
      <c r="L134">
        <f>(AF30_ByRubLot[[#This Row],[61-70]]/AF30_ByRubLot34[[Total Charge]:[Total Charge]])</f>
        <v>0.16666666666666666</v>
      </c>
      <c r="M134">
        <f>(AF30_ByRubLot[[#This Row],[71-80]]/AF30_ByRubLot34[[Total Charge]:[Total Charge]])</f>
        <v>0</v>
      </c>
      <c r="N134">
        <f>(AF30_ByRubLot[[#This Row],[81-90]]/AF30_ByRubLot34[[Total Charge]:[Total Charge]])</f>
        <v>0</v>
      </c>
      <c r="O134">
        <f>(AF30_ByRubLot[[#This Row],[91-100]]/AF30_ByRubLot34[[Total Charge]:[Total Charge]])</f>
        <v>0.33333333333333331</v>
      </c>
      <c r="P134">
        <f>(AF30_ByRubLot[[#This Row],[101-110]]/AF30_ByRubLot34[[Total Charge]:[Total Charge]])</f>
        <v>0.16666666666666666</v>
      </c>
      <c r="Q134">
        <f>(AF30_ByRubLot[[#This Row],[111-120]]/AF30_ByRubLot34[[Total Charge]:[Total Charge]])</f>
        <v>0.16666666666666666</v>
      </c>
      <c r="R134">
        <f>(AF30_ByRubLot[[#This Row],[121-130]]/AF30_ByRubLot34[[Total Charge]:[Total Charge]])</f>
        <v>0</v>
      </c>
      <c r="S134">
        <f>(AF30_ByRubLot[[#This Row],[131-140]]/AF30_ByRubLot34[[Total Charge]:[Total Charge]])</f>
        <v>0</v>
      </c>
      <c r="T134">
        <v>0</v>
      </c>
      <c r="U134">
        <v>0</v>
      </c>
      <c r="V134" t="s">
        <v>73</v>
      </c>
      <c r="W134">
        <v>6</v>
      </c>
      <c r="X134" s="112"/>
      <c r="Y134">
        <v>1188.8888888888887</v>
      </c>
      <c r="Z134">
        <v>1081.9999600000001</v>
      </c>
      <c r="AA134">
        <f t="shared" si="4"/>
        <v>91.009342429906567</v>
      </c>
      <c r="AB134">
        <f>SUM(AF30_ByRubLot34[[#This Row],[0-10]:[131-140]])</f>
        <v>0.99999999999999989</v>
      </c>
    </row>
    <row r="135" spans="1:28" x14ac:dyDescent="0.25">
      <c r="A135" t="s">
        <v>24</v>
      </c>
      <c r="B135" s="146" t="s">
        <v>219</v>
      </c>
      <c r="C135" s="148">
        <v>2017</v>
      </c>
      <c r="D135" s="151" t="str">
        <f>MID(AF30_ByRubLot34[[#This Row],[AF-30 Lot]],2,3)</f>
        <v>086</v>
      </c>
      <c r="E135" s="151" t="str">
        <f>CONCATENATE(RIGHT(AF30_ByRubLot34[[#This Row],[Year of Production]],2),AF30_ByRubLot34[[#This Row],[Julian Date Jumbo Production]])</f>
        <v>17086</v>
      </c>
      <c r="F135">
        <f>(AF30_ByRubLot[[#This Row],[0-10]]/AF30_ByRubLot34[[Total Charge]:[Total Charge]])</f>
        <v>0</v>
      </c>
      <c r="G135">
        <f>(AF30_ByRubLot[[#This Row],[11-20]]/AF30_ByRubLot34[[Total Charge]:[Total Charge]])</f>
        <v>0</v>
      </c>
      <c r="H135">
        <f>(AF30_ByRubLot[[#This Row],[21-30]]/AF30_ByRubLot34[[Total Charge]:[Total Charge]])</f>
        <v>0</v>
      </c>
      <c r="I135">
        <f>(AF30_ByRubLot[[#This Row],[31-40]]/AF30_ByRubLot34[[Total Charge]:[Total Charge]])</f>
        <v>0</v>
      </c>
      <c r="J135">
        <f>(AF30_ByRubLot[[#This Row],[41-50]]/AF30_ByRubLot34[[Total Charge]:[Total Charge]])</f>
        <v>0.1</v>
      </c>
      <c r="K135">
        <f>(AF30_ByRubLot[[#This Row],[51-60]]/AF30_ByRubLot34[[Total Charge]:[Total Charge]])</f>
        <v>0</v>
      </c>
      <c r="L135">
        <f>(AF30_ByRubLot[[#This Row],[61-70]]/AF30_ByRubLot34[[Total Charge]:[Total Charge]])</f>
        <v>0.1</v>
      </c>
      <c r="M135">
        <f>(AF30_ByRubLot[[#This Row],[71-80]]/AF30_ByRubLot34[[Total Charge]:[Total Charge]])</f>
        <v>0</v>
      </c>
      <c r="N135">
        <f>(AF30_ByRubLot[[#This Row],[81-90]]/AF30_ByRubLot34[[Total Charge]:[Total Charge]])</f>
        <v>0</v>
      </c>
      <c r="O135">
        <f>(AF30_ByRubLot[[#This Row],[91-100]]/AF30_ByRubLot34[[Total Charge]:[Total Charge]])</f>
        <v>0.2</v>
      </c>
      <c r="P135">
        <f>(AF30_ByRubLot[[#This Row],[101-110]]/AF30_ByRubLot34[[Total Charge]:[Total Charge]])</f>
        <v>0.1</v>
      </c>
      <c r="Q135">
        <f>(AF30_ByRubLot[[#This Row],[111-120]]/AF30_ByRubLot34[[Total Charge]:[Total Charge]])</f>
        <v>0.1</v>
      </c>
      <c r="R135">
        <f>(AF30_ByRubLot[[#This Row],[121-130]]/AF30_ByRubLot34[[Total Charge]:[Total Charge]])</f>
        <v>0</v>
      </c>
      <c r="S135">
        <f>(AF30_ByRubLot[[#This Row],[131-140]]/AF30_ByRubLot34[[Total Charge]:[Total Charge]])</f>
        <v>0</v>
      </c>
      <c r="T135">
        <v>0</v>
      </c>
      <c r="U135">
        <v>0</v>
      </c>
      <c r="V135" t="s">
        <v>6</v>
      </c>
      <c r="W135">
        <v>10</v>
      </c>
      <c r="X135" s="112"/>
      <c r="Y135">
        <v>1966.6666666666665</v>
      </c>
      <c r="Z135">
        <v>1680</v>
      </c>
      <c r="AA135">
        <f t="shared" si="4"/>
        <v>85.423728813559336</v>
      </c>
      <c r="AB135">
        <f>SUM(AF30_ByRubLot34[[#This Row],[0-10]:[131-140]])</f>
        <v>0.6</v>
      </c>
    </row>
    <row r="136" spans="1:28" x14ac:dyDescent="0.25">
      <c r="A136" t="s">
        <v>115</v>
      </c>
      <c r="B136" s="146" t="s">
        <v>260</v>
      </c>
      <c r="C136" s="148">
        <v>2017</v>
      </c>
      <c r="D136" s="151" t="str">
        <f>MID(AF30_ByRubLot34[[#This Row],[AF-30 Lot]],2,3)</f>
        <v>135</v>
      </c>
      <c r="E136" s="151" t="str">
        <f>CONCATENATE(RIGHT(AF30_ByRubLot34[[#This Row],[Year of Production]],2),AF30_ByRubLot34[[#This Row],[Julian Date Jumbo Production]])</f>
        <v>17135</v>
      </c>
      <c r="F136">
        <f>(AF30_ByRubLot[[#This Row],[0-10]]/AF30_ByRubLot34[[Total Charge]:[Total Charge]])</f>
        <v>0</v>
      </c>
      <c r="G136">
        <f>(AF30_ByRubLot[[#This Row],[11-20]]/AF30_ByRubLot34[[Total Charge]:[Total Charge]])</f>
        <v>0</v>
      </c>
      <c r="H136">
        <f>(AF30_ByRubLot[[#This Row],[21-30]]/AF30_ByRubLot34[[Total Charge]:[Total Charge]])</f>
        <v>0</v>
      </c>
      <c r="I136">
        <f>(AF30_ByRubLot[[#This Row],[31-40]]/AF30_ByRubLot34[[Total Charge]:[Total Charge]])</f>
        <v>0</v>
      </c>
      <c r="J136">
        <f>(AF30_ByRubLot[[#This Row],[41-50]]/AF30_ByRubLot34[[Total Charge]:[Total Charge]])</f>
        <v>0.16666666666666666</v>
      </c>
      <c r="K136">
        <f>(AF30_ByRubLot[[#This Row],[51-60]]/AF30_ByRubLot34[[Total Charge]:[Total Charge]])</f>
        <v>0</v>
      </c>
      <c r="L136">
        <f>(AF30_ByRubLot[[#This Row],[61-70]]/AF30_ByRubLot34[[Total Charge]:[Total Charge]])</f>
        <v>0.16666666666666666</v>
      </c>
      <c r="M136">
        <f>(AF30_ByRubLot[[#This Row],[71-80]]/AF30_ByRubLot34[[Total Charge]:[Total Charge]])</f>
        <v>0</v>
      </c>
      <c r="N136">
        <f>(AF30_ByRubLot[[#This Row],[81-90]]/AF30_ByRubLot34[[Total Charge]:[Total Charge]])</f>
        <v>0</v>
      </c>
      <c r="O136">
        <f>(AF30_ByRubLot[[#This Row],[91-100]]/AF30_ByRubLot34[[Total Charge]:[Total Charge]])</f>
        <v>0.33333333333333331</v>
      </c>
      <c r="P136">
        <f>(AF30_ByRubLot[[#This Row],[101-110]]/AF30_ByRubLot34[[Total Charge]:[Total Charge]])</f>
        <v>0.16666666666666666</v>
      </c>
      <c r="Q136">
        <f>(AF30_ByRubLot[[#This Row],[111-120]]/AF30_ByRubLot34[[Total Charge]:[Total Charge]])</f>
        <v>0.16666666666666666</v>
      </c>
      <c r="R136">
        <f>(AF30_ByRubLot[[#This Row],[121-130]]/AF30_ByRubLot34[[Total Charge]:[Total Charge]])</f>
        <v>0</v>
      </c>
      <c r="S136">
        <f>(AF30_ByRubLot[[#This Row],[131-140]]/AF30_ByRubLot34[[Total Charge]:[Total Charge]])</f>
        <v>0</v>
      </c>
      <c r="T136">
        <v>0</v>
      </c>
      <c r="U136">
        <v>0</v>
      </c>
      <c r="V136" t="s">
        <v>73</v>
      </c>
      <c r="W136">
        <v>6</v>
      </c>
      <c r="X136" s="112"/>
      <c r="Y136">
        <v>1788.8888888888887</v>
      </c>
      <c r="Z136">
        <v>1636</v>
      </c>
      <c r="AA136">
        <f t="shared" si="4"/>
        <v>91.453416149068332</v>
      </c>
      <c r="AB136">
        <f>SUM(AF30_ByRubLot34[[#This Row],[0-10]:[131-140]])</f>
        <v>0.99999999999999989</v>
      </c>
    </row>
    <row r="137" spans="1:28" x14ac:dyDescent="0.25">
      <c r="A137" t="s">
        <v>115</v>
      </c>
      <c r="B137" s="146" t="s">
        <v>259</v>
      </c>
      <c r="C137" s="148">
        <v>2017</v>
      </c>
      <c r="D137" s="151" t="str">
        <f>MID(AF30_ByRubLot34[[#This Row],[AF-30 Lot]],2,3)</f>
        <v>170</v>
      </c>
      <c r="E137" s="151" t="str">
        <f>CONCATENATE(RIGHT(AF30_ByRubLot34[[#This Row],[Year of Production]],2),AF30_ByRubLot34[[#This Row],[Julian Date Jumbo Production]])</f>
        <v>17170</v>
      </c>
      <c r="F137">
        <f>(AF30_ByRubLot[[#This Row],[0-10]]/AF30_ByRubLot34[[Total Charge]:[Total Charge]])</f>
        <v>0</v>
      </c>
      <c r="G137">
        <f>(AF30_ByRubLot[[#This Row],[11-20]]/AF30_ByRubLot34[[Total Charge]:[Total Charge]])</f>
        <v>0</v>
      </c>
      <c r="H137">
        <f>(AF30_ByRubLot[[#This Row],[21-30]]/AF30_ByRubLot34[[Total Charge]:[Total Charge]])</f>
        <v>0</v>
      </c>
      <c r="I137">
        <f>(AF30_ByRubLot[[#This Row],[31-40]]/AF30_ByRubLot34[[Total Charge]:[Total Charge]])</f>
        <v>0</v>
      </c>
      <c r="J137">
        <f>(AF30_ByRubLot[[#This Row],[41-50]]/AF30_ByRubLot34[[Total Charge]:[Total Charge]])</f>
        <v>0.16666666666666666</v>
      </c>
      <c r="K137">
        <f>(AF30_ByRubLot[[#This Row],[51-60]]/AF30_ByRubLot34[[Total Charge]:[Total Charge]])</f>
        <v>0</v>
      </c>
      <c r="L137">
        <f>(AF30_ByRubLot[[#This Row],[61-70]]/AF30_ByRubLot34[[Total Charge]:[Total Charge]])</f>
        <v>0.16666666666666666</v>
      </c>
      <c r="M137">
        <f>(AF30_ByRubLot[[#This Row],[71-80]]/AF30_ByRubLot34[[Total Charge]:[Total Charge]])</f>
        <v>0</v>
      </c>
      <c r="N137">
        <f>(AF30_ByRubLot[[#This Row],[81-90]]/AF30_ByRubLot34[[Total Charge]:[Total Charge]])</f>
        <v>0</v>
      </c>
      <c r="O137">
        <f>(AF30_ByRubLot[[#This Row],[91-100]]/AF30_ByRubLot34[[Total Charge]:[Total Charge]])</f>
        <v>0.33333333333333331</v>
      </c>
      <c r="P137">
        <f>(AF30_ByRubLot[[#This Row],[101-110]]/AF30_ByRubLot34[[Total Charge]:[Total Charge]])</f>
        <v>0.16666666666666666</v>
      </c>
      <c r="Q137">
        <f>(AF30_ByRubLot[[#This Row],[111-120]]/AF30_ByRubLot34[[Total Charge]:[Total Charge]])</f>
        <v>0.16666666666666666</v>
      </c>
      <c r="R137">
        <f>(AF30_ByRubLot[[#This Row],[121-130]]/AF30_ByRubLot34[[Total Charge]:[Total Charge]])</f>
        <v>0</v>
      </c>
      <c r="S137">
        <f>(AF30_ByRubLot[[#This Row],[131-140]]/AF30_ByRubLot34[[Total Charge]:[Total Charge]])</f>
        <v>0</v>
      </c>
      <c r="T137">
        <v>0</v>
      </c>
      <c r="U137">
        <v>0</v>
      </c>
      <c r="V137" t="s">
        <v>73</v>
      </c>
      <c r="W137">
        <v>6</v>
      </c>
      <c r="X137" s="112"/>
      <c r="Y137">
        <v>1930.5555555555554</v>
      </c>
      <c r="Z137">
        <v>960</v>
      </c>
      <c r="AA137">
        <f t="shared" si="4"/>
        <v>49.726618705035975</v>
      </c>
      <c r="AB137">
        <f>SUM(AF30_ByRubLot34[[#This Row],[0-10]:[131-140]])</f>
        <v>0.99999999999999989</v>
      </c>
    </row>
    <row r="138" spans="1:28" x14ac:dyDescent="0.25">
      <c r="A138" t="s">
        <v>115</v>
      </c>
      <c r="B138" s="146" t="s">
        <v>258</v>
      </c>
      <c r="C138" s="148">
        <v>2017</v>
      </c>
      <c r="D138" s="151" t="str">
        <f>MID(AF30_ByRubLot34[[#This Row],[AF-30 Lot]],2,3)</f>
        <v>205</v>
      </c>
      <c r="E138" s="151" t="str">
        <f>CONCATENATE(RIGHT(AF30_ByRubLot34[[#This Row],[Year of Production]],2),AF30_ByRubLot34[[#This Row],[Julian Date Jumbo Production]])</f>
        <v>17205</v>
      </c>
      <c r="F138">
        <f>(AF30_ByRubLot[[#This Row],[0-10]]/AF30_ByRubLot34[[Total Charge]:[Total Charge]])</f>
        <v>0</v>
      </c>
      <c r="G138">
        <f>(AF30_ByRubLot[[#This Row],[11-20]]/AF30_ByRubLot34[[Total Charge]:[Total Charge]])</f>
        <v>0</v>
      </c>
      <c r="H138">
        <f>(AF30_ByRubLot[[#This Row],[21-30]]/AF30_ByRubLot34[[Total Charge]:[Total Charge]])</f>
        <v>0</v>
      </c>
      <c r="I138">
        <f>(AF30_ByRubLot[[#This Row],[31-40]]/AF30_ByRubLot34[[Total Charge]:[Total Charge]])</f>
        <v>0</v>
      </c>
      <c r="J138">
        <f>(AF30_ByRubLot[[#This Row],[41-50]]/AF30_ByRubLot34[[Total Charge]:[Total Charge]])</f>
        <v>0.16666666666666666</v>
      </c>
      <c r="K138">
        <f>(AF30_ByRubLot[[#This Row],[51-60]]/AF30_ByRubLot34[[Total Charge]:[Total Charge]])</f>
        <v>0</v>
      </c>
      <c r="L138">
        <f>(AF30_ByRubLot[[#This Row],[61-70]]/AF30_ByRubLot34[[Total Charge]:[Total Charge]])</f>
        <v>0.16666666666666666</v>
      </c>
      <c r="M138">
        <f>(AF30_ByRubLot[[#This Row],[71-80]]/AF30_ByRubLot34[[Total Charge]:[Total Charge]])</f>
        <v>0</v>
      </c>
      <c r="N138">
        <f>(AF30_ByRubLot[[#This Row],[81-90]]/AF30_ByRubLot34[[Total Charge]:[Total Charge]])</f>
        <v>0</v>
      </c>
      <c r="O138">
        <f>(AF30_ByRubLot[[#This Row],[91-100]]/AF30_ByRubLot34[[Total Charge]:[Total Charge]])</f>
        <v>0.33333333333333331</v>
      </c>
      <c r="P138">
        <f>(AF30_ByRubLot[[#This Row],[101-110]]/AF30_ByRubLot34[[Total Charge]:[Total Charge]])</f>
        <v>0.16666666666666666</v>
      </c>
      <c r="Q138">
        <f>(AF30_ByRubLot[[#This Row],[111-120]]/AF30_ByRubLot34[[Total Charge]:[Total Charge]])</f>
        <v>0.16666666666666666</v>
      </c>
      <c r="R138">
        <f>(AF30_ByRubLot[[#This Row],[121-130]]/AF30_ByRubLot34[[Total Charge]:[Total Charge]])</f>
        <v>0</v>
      </c>
      <c r="S138">
        <f>(AF30_ByRubLot[[#This Row],[131-140]]/AF30_ByRubLot34[[Total Charge]:[Total Charge]])</f>
        <v>0</v>
      </c>
      <c r="T138">
        <v>0</v>
      </c>
      <c r="U138">
        <v>0</v>
      </c>
      <c r="V138" t="s">
        <v>73</v>
      </c>
      <c r="W138">
        <v>6</v>
      </c>
      <c r="X138" s="112"/>
      <c r="Y138">
        <v>2030.5555555555557</v>
      </c>
      <c r="Z138">
        <v>1872</v>
      </c>
      <c r="AA138">
        <f t="shared" si="4"/>
        <v>92.191518467852248</v>
      </c>
      <c r="AB138">
        <f>SUM(AF30_ByRubLot34[[#This Row],[0-10]:[131-140]])</f>
        <v>0.99999999999999989</v>
      </c>
    </row>
    <row r="139" spans="1:28" x14ac:dyDescent="0.25">
      <c r="A139" t="s">
        <v>115</v>
      </c>
      <c r="B139" s="146" t="s">
        <v>257</v>
      </c>
      <c r="C139" s="148">
        <v>2017</v>
      </c>
      <c r="D139" s="151" t="str">
        <f>MID(AF30_ByRubLot34[[#This Row],[AF-30 Lot]],2,3)</f>
        <v>248</v>
      </c>
      <c r="E139" s="151" t="str">
        <f>CONCATENATE(RIGHT(AF30_ByRubLot34[[#This Row],[Year of Production]],2),AF30_ByRubLot34[[#This Row],[Julian Date Jumbo Production]])</f>
        <v>17248</v>
      </c>
      <c r="F139">
        <f>(AF30_ByRubLot[[#This Row],[0-10]]/AF30_ByRubLot34[[Total Charge]:[Total Charge]])</f>
        <v>0</v>
      </c>
      <c r="G139">
        <f>(AF30_ByRubLot[[#This Row],[11-20]]/AF30_ByRubLot34[[Total Charge]:[Total Charge]])</f>
        <v>0</v>
      </c>
      <c r="H139">
        <f>(AF30_ByRubLot[[#This Row],[21-30]]/AF30_ByRubLot34[[Total Charge]:[Total Charge]])</f>
        <v>0</v>
      </c>
      <c r="I139">
        <f>(AF30_ByRubLot[[#This Row],[31-40]]/AF30_ByRubLot34[[Total Charge]:[Total Charge]])</f>
        <v>0</v>
      </c>
      <c r="J139">
        <f>(AF30_ByRubLot[[#This Row],[41-50]]/AF30_ByRubLot34[[Total Charge]:[Total Charge]])</f>
        <v>0.16666666666666666</v>
      </c>
      <c r="K139">
        <f>(AF30_ByRubLot[[#This Row],[51-60]]/AF30_ByRubLot34[[Total Charge]:[Total Charge]])</f>
        <v>0</v>
      </c>
      <c r="L139">
        <f>(AF30_ByRubLot[[#This Row],[61-70]]/AF30_ByRubLot34[[Total Charge]:[Total Charge]])</f>
        <v>0.16666666666666666</v>
      </c>
      <c r="M139">
        <f>(AF30_ByRubLot[[#This Row],[71-80]]/AF30_ByRubLot34[[Total Charge]:[Total Charge]])</f>
        <v>0</v>
      </c>
      <c r="N139">
        <f>(AF30_ByRubLot[[#This Row],[81-90]]/AF30_ByRubLot34[[Total Charge]:[Total Charge]])</f>
        <v>0</v>
      </c>
      <c r="O139">
        <f>(AF30_ByRubLot[[#This Row],[91-100]]/AF30_ByRubLot34[[Total Charge]:[Total Charge]])</f>
        <v>0.33333333333333331</v>
      </c>
      <c r="P139">
        <f>(AF30_ByRubLot[[#This Row],[101-110]]/AF30_ByRubLot34[[Total Charge]:[Total Charge]])</f>
        <v>0.16666666666666666</v>
      </c>
      <c r="Q139">
        <f>(AF30_ByRubLot[[#This Row],[111-120]]/AF30_ByRubLot34[[Total Charge]:[Total Charge]])</f>
        <v>0.16666666666666666</v>
      </c>
      <c r="R139">
        <f>(AF30_ByRubLot[[#This Row],[121-130]]/AF30_ByRubLot34[[Total Charge]:[Total Charge]])</f>
        <v>0</v>
      </c>
      <c r="S139">
        <f>(AF30_ByRubLot[[#This Row],[131-140]]/AF30_ByRubLot34[[Total Charge]:[Total Charge]])</f>
        <v>0</v>
      </c>
      <c r="T139">
        <v>0</v>
      </c>
      <c r="U139">
        <v>0</v>
      </c>
      <c r="V139" t="s">
        <v>73</v>
      </c>
      <c r="W139">
        <v>6</v>
      </c>
      <c r="X139" s="112"/>
      <c r="Y139">
        <v>2033.3333333333333</v>
      </c>
      <c r="Z139">
        <v>1880</v>
      </c>
      <c r="AA139">
        <f t="shared" si="4"/>
        <v>92.459016393442624</v>
      </c>
      <c r="AB139">
        <f>SUM(AF30_ByRubLot34[[#This Row],[0-10]:[131-140]])</f>
        <v>0.99999999999999989</v>
      </c>
    </row>
    <row r="140" spans="1:28" x14ac:dyDescent="0.25">
      <c r="A140" t="s">
        <v>115</v>
      </c>
      <c r="B140" s="146" t="s">
        <v>256</v>
      </c>
      <c r="C140" s="148">
        <v>2017</v>
      </c>
      <c r="D140" s="151" t="str">
        <f>MID(AF30_ByRubLot34[[#This Row],[AF-30 Lot]],2,3)</f>
        <v>282</v>
      </c>
      <c r="E140" s="151" t="str">
        <f>CONCATENATE(RIGHT(AF30_ByRubLot34[[#This Row],[Year of Production]],2),AF30_ByRubLot34[[#This Row],[Julian Date Jumbo Production]])</f>
        <v>17282</v>
      </c>
      <c r="F140">
        <f>(AF30_ByRubLot[[#This Row],[0-10]]/AF30_ByRubLot34[[Total Charge]:[Total Charge]])</f>
        <v>0</v>
      </c>
      <c r="G140">
        <f>(AF30_ByRubLot[[#This Row],[11-20]]/AF30_ByRubLot34[[Total Charge]:[Total Charge]])</f>
        <v>0</v>
      </c>
      <c r="H140">
        <f>(AF30_ByRubLot[[#This Row],[21-30]]/AF30_ByRubLot34[[Total Charge]:[Total Charge]])</f>
        <v>0</v>
      </c>
      <c r="I140">
        <f>(AF30_ByRubLot[[#This Row],[31-40]]/AF30_ByRubLot34[[Total Charge]:[Total Charge]])</f>
        <v>0</v>
      </c>
      <c r="J140">
        <f>(AF30_ByRubLot[[#This Row],[41-50]]/AF30_ByRubLot34[[Total Charge]:[Total Charge]])</f>
        <v>0.16666666666666666</v>
      </c>
      <c r="K140">
        <f>(AF30_ByRubLot[[#This Row],[51-60]]/AF30_ByRubLot34[[Total Charge]:[Total Charge]])</f>
        <v>0</v>
      </c>
      <c r="L140">
        <f>(AF30_ByRubLot[[#This Row],[61-70]]/AF30_ByRubLot34[[Total Charge]:[Total Charge]])</f>
        <v>0.16666666666666666</v>
      </c>
      <c r="M140">
        <f>(AF30_ByRubLot[[#This Row],[71-80]]/AF30_ByRubLot34[[Total Charge]:[Total Charge]])</f>
        <v>0</v>
      </c>
      <c r="N140">
        <f>(AF30_ByRubLot[[#This Row],[81-90]]/AF30_ByRubLot34[[Total Charge]:[Total Charge]])</f>
        <v>0</v>
      </c>
      <c r="O140">
        <f>(AF30_ByRubLot[[#This Row],[91-100]]/AF30_ByRubLot34[[Total Charge]:[Total Charge]])</f>
        <v>0.33333333333333331</v>
      </c>
      <c r="P140">
        <f>(AF30_ByRubLot[[#This Row],[101-110]]/AF30_ByRubLot34[[Total Charge]:[Total Charge]])</f>
        <v>0.16666666666666666</v>
      </c>
      <c r="Q140">
        <f>(AF30_ByRubLot[[#This Row],[111-120]]/AF30_ByRubLot34[[Total Charge]:[Total Charge]])</f>
        <v>0.16666666666666666</v>
      </c>
      <c r="R140">
        <f>(AF30_ByRubLot[[#This Row],[121-130]]/AF30_ByRubLot34[[Total Charge]:[Total Charge]])</f>
        <v>0</v>
      </c>
      <c r="S140">
        <f>(AF30_ByRubLot[[#This Row],[131-140]]/AF30_ByRubLot34[[Total Charge]:[Total Charge]])</f>
        <v>0</v>
      </c>
      <c r="T140">
        <v>0</v>
      </c>
      <c r="U140">
        <v>0</v>
      </c>
      <c r="V140" t="s">
        <v>73</v>
      </c>
      <c r="W140">
        <v>6</v>
      </c>
      <c r="X140" s="112"/>
      <c r="Y140">
        <v>1761.1111111111109</v>
      </c>
      <c r="Z140">
        <v>1672</v>
      </c>
      <c r="AA140">
        <f t="shared" si="4"/>
        <v>94.940063091482656</v>
      </c>
      <c r="AB140">
        <f>SUM(AF30_ByRubLot34[[#This Row],[0-10]:[131-140]])</f>
        <v>0.99999999999999989</v>
      </c>
    </row>
    <row r="141" spans="1:28" x14ac:dyDescent="0.25">
      <c r="A141" t="s">
        <v>115</v>
      </c>
      <c r="B141" s="146" t="s">
        <v>255</v>
      </c>
      <c r="C141" s="148">
        <v>2017</v>
      </c>
      <c r="D141" s="151" t="str">
        <f>MID(AF30_ByRubLot34[[#This Row],[AF-30 Lot]],2,3)</f>
        <v>338</v>
      </c>
      <c r="E141" s="151" t="str">
        <f>CONCATENATE(RIGHT(AF30_ByRubLot34[[#This Row],[Year of Production]],2),AF30_ByRubLot34[[#This Row],[Julian Date Jumbo Production]])</f>
        <v>17338</v>
      </c>
      <c r="F141">
        <f>(AF30_ByRubLot[[#This Row],[0-10]]/AF30_ByRubLot34[[Total Charge]:[Total Charge]])</f>
        <v>0</v>
      </c>
      <c r="G141">
        <f>(AF30_ByRubLot[[#This Row],[11-20]]/AF30_ByRubLot34[[Total Charge]:[Total Charge]])</f>
        <v>0</v>
      </c>
      <c r="H141">
        <f>(AF30_ByRubLot[[#This Row],[21-30]]/AF30_ByRubLot34[[Total Charge]:[Total Charge]])</f>
        <v>0</v>
      </c>
      <c r="I141">
        <f>(AF30_ByRubLot[[#This Row],[31-40]]/AF30_ByRubLot34[[Total Charge]:[Total Charge]])</f>
        <v>0</v>
      </c>
      <c r="J141">
        <f>(AF30_ByRubLot[[#This Row],[41-50]]/AF30_ByRubLot34[[Total Charge]:[Total Charge]])</f>
        <v>0</v>
      </c>
      <c r="K141">
        <f>(AF30_ByRubLot[[#This Row],[51-60]]/AF30_ByRubLot34[[Total Charge]:[Total Charge]])</f>
        <v>0.16666666666666666</v>
      </c>
      <c r="L141">
        <f>(AF30_ByRubLot[[#This Row],[61-70]]/AF30_ByRubLot34[[Total Charge]:[Total Charge]])</f>
        <v>0.33333333333333331</v>
      </c>
      <c r="M141">
        <f>(AF30_ByRubLot[[#This Row],[71-80]]/AF30_ByRubLot34[[Total Charge]:[Total Charge]])</f>
        <v>0.66666666666666663</v>
      </c>
      <c r="N141">
        <f>(AF30_ByRubLot[[#This Row],[81-90]]/AF30_ByRubLot34[[Total Charge]:[Total Charge]])</f>
        <v>0.16666666666666666</v>
      </c>
      <c r="O141">
        <f>(AF30_ByRubLot[[#This Row],[91-100]]/AF30_ByRubLot34[[Total Charge]:[Total Charge]])</f>
        <v>0.5</v>
      </c>
      <c r="P141">
        <f>(AF30_ByRubLot[[#This Row],[101-110]]/AF30_ByRubLot34[[Total Charge]:[Total Charge]])</f>
        <v>0.16666666666666666</v>
      </c>
      <c r="Q141">
        <f>(AF30_ByRubLot[[#This Row],[111-120]]/AF30_ByRubLot34[[Total Charge]:[Total Charge]])</f>
        <v>0</v>
      </c>
      <c r="R141">
        <f>(AF30_ByRubLot[[#This Row],[121-130]]/AF30_ByRubLot34[[Total Charge]:[Total Charge]])</f>
        <v>0</v>
      </c>
      <c r="S141">
        <f>(AF30_ByRubLot[[#This Row],[131-140]]/AF30_ByRubLot34[[Total Charge]:[Total Charge]])</f>
        <v>0</v>
      </c>
      <c r="T141">
        <v>0</v>
      </c>
      <c r="U141">
        <v>0</v>
      </c>
      <c r="V141" t="s">
        <v>73</v>
      </c>
      <c r="W141">
        <v>6</v>
      </c>
      <c r="X141" s="112"/>
      <c r="Y141">
        <v>1963.8888888888887</v>
      </c>
      <c r="Z141">
        <v>1720</v>
      </c>
      <c r="AA141">
        <f t="shared" si="4"/>
        <v>87.581329561527582</v>
      </c>
      <c r="AB141">
        <f>SUM(AF30_ByRubLot34[[#This Row],[0-10]:[131-140]])</f>
        <v>2</v>
      </c>
    </row>
    <row r="142" spans="1:28" x14ac:dyDescent="0.25">
      <c r="A142" t="s">
        <v>120</v>
      </c>
      <c r="B142" s="146" t="s">
        <v>283</v>
      </c>
      <c r="C142" s="148">
        <v>2018</v>
      </c>
      <c r="D142" s="151" t="str">
        <f>MID(AF30_ByRubLot34[[#This Row],[AF-30 Lot]],2,3)</f>
        <v>037</v>
      </c>
      <c r="E142" s="151" t="str">
        <f>CONCATENATE(RIGHT(AF30_ByRubLot34[[#This Row],[Year of Production]],2),AF30_ByRubLot34[[#This Row],[Julian Date Jumbo Production]])</f>
        <v>18037</v>
      </c>
      <c r="F142">
        <f>(AF30_ByRubLot[[#This Row],[0-10]]/AF30_ByRubLot34[[Total Charge]:[Total Charge]])</f>
        <v>0</v>
      </c>
      <c r="G142">
        <f>(AF30_ByRubLot[[#This Row],[11-20]]/AF30_ByRubLot34[[Total Charge]:[Total Charge]])</f>
        <v>0</v>
      </c>
      <c r="H142">
        <f>(AF30_ByRubLot[[#This Row],[21-30]]/AF30_ByRubLot34[[Total Charge]:[Total Charge]])</f>
        <v>0</v>
      </c>
      <c r="I142">
        <f>(AF30_ByRubLot[[#This Row],[31-40]]/AF30_ByRubLot34[[Total Charge]:[Total Charge]])</f>
        <v>0</v>
      </c>
      <c r="J142">
        <f>(AF30_ByRubLot[[#This Row],[41-50]]/AF30_ByRubLot34[[Total Charge]:[Total Charge]])</f>
        <v>0</v>
      </c>
      <c r="K142">
        <f>(AF30_ByRubLot[[#This Row],[51-60]]/AF30_ByRubLot34[[Total Charge]:[Total Charge]])</f>
        <v>0.14285714285714285</v>
      </c>
      <c r="L142">
        <f>(AF30_ByRubLot[[#This Row],[61-70]]/AF30_ByRubLot34[[Total Charge]:[Total Charge]])</f>
        <v>0.14285714285714285</v>
      </c>
      <c r="M142">
        <f>(AF30_ByRubLot[[#This Row],[71-80]]/AF30_ByRubLot34[[Total Charge]:[Total Charge]])</f>
        <v>0.14285714285714285</v>
      </c>
      <c r="N142">
        <f>(AF30_ByRubLot[[#This Row],[81-90]]/AF30_ByRubLot34[[Total Charge]:[Total Charge]])</f>
        <v>0.14285714285714285</v>
      </c>
      <c r="O142">
        <f>(AF30_ByRubLot[[#This Row],[91-100]]/AF30_ByRubLot34[[Total Charge]:[Total Charge]])</f>
        <v>0.2857142857142857</v>
      </c>
      <c r="P142">
        <f>(AF30_ByRubLot[[#This Row],[101-110]]/AF30_ByRubLot34[[Total Charge]:[Total Charge]])</f>
        <v>0.14285714285714285</v>
      </c>
      <c r="Q142">
        <f>(AF30_ByRubLot[[#This Row],[111-120]]/AF30_ByRubLot34[[Total Charge]:[Total Charge]])</f>
        <v>0</v>
      </c>
      <c r="R142">
        <f>(AF30_ByRubLot[[#This Row],[121-130]]/AF30_ByRubLot34[[Total Charge]:[Total Charge]])</f>
        <v>0</v>
      </c>
      <c r="S142">
        <f>(AF30_ByRubLot[[#This Row],[131-140]]/AF30_ByRubLot34[[Total Charge]:[Total Charge]])</f>
        <v>0</v>
      </c>
      <c r="W142">
        <v>7</v>
      </c>
      <c r="X142" s="112"/>
      <c r="Y142">
        <v>1999.9999999999998</v>
      </c>
      <c r="Z142">
        <v>1756</v>
      </c>
      <c r="AA142">
        <f t="shared" si="4"/>
        <v>87.800000000000011</v>
      </c>
      <c r="AB142">
        <f>SUM(AF30_ByRubLot34[[#This Row],[0-10]:[131-140]])</f>
        <v>1</v>
      </c>
    </row>
    <row r="143" spans="1:28" x14ac:dyDescent="0.25">
      <c r="A143" t="s">
        <v>120</v>
      </c>
      <c r="B143" s="146" t="s">
        <v>282</v>
      </c>
      <c r="C143" s="148">
        <v>2018</v>
      </c>
      <c r="D143" s="151" t="str">
        <f>MID(AF30_ByRubLot34[[#This Row],[AF-30 Lot]],2,3)</f>
        <v>066</v>
      </c>
      <c r="E143" s="151" t="str">
        <f>CONCATENATE(RIGHT(AF30_ByRubLot34[[#This Row],[Year of Production]],2),AF30_ByRubLot34[[#This Row],[Julian Date Jumbo Production]])</f>
        <v>18066</v>
      </c>
      <c r="F143">
        <f>(AF30_ByRubLot[[#This Row],[0-10]]/AF30_ByRubLot34[[Total Charge]:[Total Charge]])</f>
        <v>0</v>
      </c>
      <c r="G143">
        <f>(AF30_ByRubLot[[#This Row],[11-20]]/AF30_ByRubLot34[[Total Charge]:[Total Charge]])</f>
        <v>0</v>
      </c>
      <c r="H143">
        <f>(AF30_ByRubLot[[#This Row],[21-30]]/AF30_ByRubLot34[[Total Charge]:[Total Charge]])</f>
        <v>0</v>
      </c>
      <c r="I143">
        <f>(AF30_ByRubLot[[#This Row],[31-40]]/AF30_ByRubLot34[[Total Charge]:[Total Charge]])</f>
        <v>0</v>
      </c>
      <c r="J143">
        <f>(AF30_ByRubLot[[#This Row],[41-50]]/AF30_ByRubLot34[[Total Charge]:[Total Charge]])</f>
        <v>0</v>
      </c>
      <c r="K143">
        <f>(AF30_ByRubLot[[#This Row],[51-60]]/AF30_ByRubLot34[[Total Charge]:[Total Charge]])</f>
        <v>0.14285714285714285</v>
      </c>
      <c r="L143">
        <f>(AF30_ByRubLot[[#This Row],[61-70]]/AF30_ByRubLot34[[Total Charge]:[Total Charge]])</f>
        <v>0.14285714285714285</v>
      </c>
      <c r="M143">
        <f>(AF30_ByRubLot[[#This Row],[71-80]]/AF30_ByRubLot34[[Total Charge]:[Total Charge]])</f>
        <v>0.14285714285714285</v>
      </c>
      <c r="N143">
        <f>(AF30_ByRubLot[[#This Row],[81-90]]/AF30_ByRubLot34[[Total Charge]:[Total Charge]])</f>
        <v>0.14285714285714285</v>
      </c>
      <c r="O143">
        <f>(AF30_ByRubLot[[#This Row],[91-100]]/AF30_ByRubLot34[[Total Charge]:[Total Charge]])</f>
        <v>0.2857142857142857</v>
      </c>
      <c r="P143">
        <f>(AF30_ByRubLot[[#This Row],[101-110]]/AF30_ByRubLot34[[Total Charge]:[Total Charge]])</f>
        <v>0.14285714285714285</v>
      </c>
      <c r="Q143">
        <f>(AF30_ByRubLot[[#This Row],[111-120]]/AF30_ByRubLot34[[Total Charge]:[Total Charge]])</f>
        <v>0</v>
      </c>
      <c r="R143">
        <f>(AF30_ByRubLot[[#This Row],[121-130]]/AF30_ByRubLot34[[Total Charge]:[Total Charge]])</f>
        <v>0</v>
      </c>
      <c r="S143">
        <f>(AF30_ByRubLot[[#This Row],[131-140]]/AF30_ByRubLot34[[Total Charge]:[Total Charge]])</f>
        <v>0</v>
      </c>
      <c r="W143">
        <v>7</v>
      </c>
      <c r="X143" s="112"/>
      <c r="Y143">
        <v>2013.8888888888889</v>
      </c>
      <c r="Z143">
        <v>1236</v>
      </c>
      <c r="AA143">
        <f t="shared" si="4"/>
        <v>61.373793103448271</v>
      </c>
      <c r="AB143">
        <f>SUM(AF30_ByRubLot34[[#This Row],[0-10]:[131-140]])</f>
        <v>1</v>
      </c>
    </row>
    <row r="144" spans="1:28" x14ac:dyDescent="0.25">
      <c r="A144" t="s">
        <v>120</v>
      </c>
      <c r="B144" s="146" t="s">
        <v>281</v>
      </c>
      <c r="C144" s="148">
        <v>2018</v>
      </c>
      <c r="D144" s="151" t="str">
        <f>MID(AF30_ByRubLot34[[#This Row],[AF-30 Lot]],2,3)</f>
        <v>094</v>
      </c>
      <c r="E144" s="151" t="str">
        <f>CONCATENATE(RIGHT(AF30_ByRubLot34[[#This Row],[Year of Production]],2),AF30_ByRubLot34[[#This Row],[Julian Date Jumbo Production]])</f>
        <v>18094</v>
      </c>
      <c r="F144">
        <f>(AF30_ByRubLot[[#This Row],[0-10]]/AF30_ByRubLot34[[Total Charge]:[Total Charge]])</f>
        <v>0</v>
      </c>
      <c r="G144">
        <f>(AF30_ByRubLot[[#This Row],[11-20]]/AF30_ByRubLot34[[Total Charge]:[Total Charge]])</f>
        <v>0</v>
      </c>
      <c r="H144">
        <f>(AF30_ByRubLot[[#This Row],[21-30]]/AF30_ByRubLot34[[Total Charge]:[Total Charge]])</f>
        <v>0</v>
      </c>
      <c r="I144">
        <f>(AF30_ByRubLot[[#This Row],[31-40]]/AF30_ByRubLot34[[Total Charge]:[Total Charge]])</f>
        <v>0</v>
      </c>
      <c r="J144">
        <f>(AF30_ByRubLot[[#This Row],[41-50]]/AF30_ByRubLot34[[Total Charge]:[Total Charge]])</f>
        <v>0</v>
      </c>
      <c r="K144">
        <f>(AF30_ByRubLot[[#This Row],[51-60]]/AF30_ByRubLot34[[Total Charge]:[Total Charge]])</f>
        <v>0.14285714285714285</v>
      </c>
      <c r="L144">
        <f>(AF30_ByRubLot[[#This Row],[61-70]]/AF30_ByRubLot34[[Total Charge]:[Total Charge]])</f>
        <v>0.14285714285714285</v>
      </c>
      <c r="M144">
        <f>(AF30_ByRubLot[[#This Row],[71-80]]/AF30_ByRubLot34[[Total Charge]:[Total Charge]])</f>
        <v>0.14285714285714285</v>
      </c>
      <c r="N144">
        <f>(AF30_ByRubLot[[#This Row],[81-90]]/AF30_ByRubLot34[[Total Charge]:[Total Charge]])</f>
        <v>0.14285714285714285</v>
      </c>
      <c r="O144">
        <f>(AF30_ByRubLot[[#This Row],[91-100]]/AF30_ByRubLot34[[Total Charge]:[Total Charge]])</f>
        <v>0.2857142857142857</v>
      </c>
      <c r="P144">
        <f>(AF30_ByRubLot[[#This Row],[101-110]]/AF30_ByRubLot34[[Total Charge]:[Total Charge]])</f>
        <v>0.14285714285714285</v>
      </c>
      <c r="Q144">
        <f>(AF30_ByRubLot[[#This Row],[111-120]]/AF30_ByRubLot34[[Total Charge]:[Total Charge]])</f>
        <v>0</v>
      </c>
      <c r="R144">
        <f>(AF30_ByRubLot[[#This Row],[121-130]]/AF30_ByRubLot34[[Total Charge]:[Total Charge]])</f>
        <v>0</v>
      </c>
      <c r="S144">
        <f>(AF30_ByRubLot[[#This Row],[131-140]]/AF30_ByRubLot34[[Total Charge]:[Total Charge]])</f>
        <v>0</v>
      </c>
      <c r="W144">
        <v>7</v>
      </c>
      <c r="X144" s="112"/>
      <c r="Y144">
        <v>1930.5555555555557</v>
      </c>
      <c r="Z144">
        <v>836</v>
      </c>
      <c r="AA144">
        <f t="shared" si="4"/>
        <v>43.303597122302158</v>
      </c>
      <c r="AB144">
        <f>SUM(AF30_ByRubLot34[[#This Row],[0-10]:[131-140]])</f>
        <v>1</v>
      </c>
    </row>
    <row r="145" spans="1:28" x14ac:dyDescent="0.25">
      <c r="A145" t="s">
        <v>120</v>
      </c>
      <c r="B145" s="146" t="s">
        <v>280</v>
      </c>
      <c r="C145" s="148">
        <v>2018</v>
      </c>
      <c r="D145" s="151" t="str">
        <f>MID(AF30_ByRubLot34[[#This Row],[AF-30 Lot]],2,3)</f>
        <v>107</v>
      </c>
      <c r="E145" s="151" t="str">
        <f>CONCATENATE(RIGHT(AF30_ByRubLot34[[#This Row],[Year of Production]],2),AF30_ByRubLot34[[#This Row],[Julian Date Jumbo Production]])</f>
        <v>18107</v>
      </c>
      <c r="F145">
        <f>(AF30_ByRubLot[[#This Row],[0-10]]/AF30_ByRubLot34[[Total Charge]:[Total Charge]])</f>
        <v>0</v>
      </c>
      <c r="G145">
        <f>(AF30_ByRubLot[[#This Row],[11-20]]/AF30_ByRubLot34[[Total Charge]:[Total Charge]])</f>
        <v>0</v>
      </c>
      <c r="H145">
        <f>(AF30_ByRubLot[[#This Row],[21-30]]/AF30_ByRubLot34[[Total Charge]:[Total Charge]])</f>
        <v>0</v>
      </c>
      <c r="I145">
        <f>(AF30_ByRubLot[[#This Row],[31-40]]/AF30_ByRubLot34[[Total Charge]:[Total Charge]])</f>
        <v>0</v>
      </c>
      <c r="J145">
        <f>(AF30_ByRubLot[[#This Row],[41-50]]/AF30_ByRubLot34[[Total Charge]:[Total Charge]])</f>
        <v>0</v>
      </c>
      <c r="K145">
        <f>(AF30_ByRubLot[[#This Row],[51-60]]/AF30_ByRubLot34[[Total Charge]:[Total Charge]])</f>
        <v>0.14285714285714285</v>
      </c>
      <c r="L145">
        <f>(AF30_ByRubLot[[#This Row],[61-70]]/AF30_ByRubLot34[[Total Charge]:[Total Charge]])</f>
        <v>0.14285714285714285</v>
      </c>
      <c r="M145">
        <f>(AF30_ByRubLot[[#This Row],[71-80]]/AF30_ByRubLot34[[Total Charge]:[Total Charge]])</f>
        <v>0.14285714285714285</v>
      </c>
      <c r="N145">
        <f>(AF30_ByRubLot[[#This Row],[81-90]]/AF30_ByRubLot34[[Total Charge]:[Total Charge]])</f>
        <v>0.14285714285714285</v>
      </c>
      <c r="O145">
        <f>(AF30_ByRubLot[[#This Row],[91-100]]/AF30_ByRubLot34[[Total Charge]:[Total Charge]])</f>
        <v>0.2857142857142857</v>
      </c>
      <c r="P145">
        <f>(AF30_ByRubLot[[#This Row],[101-110]]/AF30_ByRubLot34[[Total Charge]:[Total Charge]])</f>
        <v>0.14285714285714285</v>
      </c>
      <c r="Q145">
        <f>(AF30_ByRubLot[[#This Row],[111-120]]/AF30_ByRubLot34[[Total Charge]:[Total Charge]])</f>
        <v>0</v>
      </c>
      <c r="R145">
        <f>(AF30_ByRubLot[[#This Row],[121-130]]/AF30_ByRubLot34[[Total Charge]:[Total Charge]])</f>
        <v>0</v>
      </c>
      <c r="S145">
        <f>(AF30_ByRubLot[[#This Row],[131-140]]/AF30_ByRubLot34[[Total Charge]:[Total Charge]])</f>
        <v>0</v>
      </c>
      <c r="W145">
        <v>7</v>
      </c>
      <c r="X145" s="112"/>
      <c r="Y145">
        <v>300</v>
      </c>
      <c r="Z145">
        <v>200</v>
      </c>
      <c r="AA145">
        <f t="shared" si="4"/>
        <v>66.666666666666657</v>
      </c>
      <c r="AB145">
        <f>SUM(AF30_ByRubLot34[[#This Row],[0-10]:[131-140]])</f>
        <v>1</v>
      </c>
    </row>
    <row r="146" spans="1:28" x14ac:dyDescent="0.25">
      <c r="A146" t="s">
        <v>120</v>
      </c>
      <c r="B146" s="146" t="s">
        <v>279</v>
      </c>
      <c r="C146" s="148">
        <v>2018</v>
      </c>
      <c r="D146" s="151" t="str">
        <f>MID(AF30_ByRubLot34[[#This Row],[AF-30 Lot]],2,3)</f>
        <v>162</v>
      </c>
      <c r="E146" s="151" t="str">
        <f>CONCATENATE(RIGHT(AF30_ByRubLot34[[#This Row],[Year of Production]],2),AF30_ByRubLot34[[#This Row],[Julian Date Jumbo Production]])</f>
        <v>18162</v>
      </c>
      <c r="F146">
        <f>(AF30_ByRubLot[[#This Row],[0-10]]/AF30_ByRubLot34[[Total Charge]:[Total Charge]])</f>
        <v>0</v>
      </c>
      <c r="G146">
        <f>(AF30_ByRubLot[[#This Row],[11-20]]/AF30_ByRubLot34[[Total Charge]:[Total Charge]])</f>
        <v>0</v>
      </c>
      <c r="H146">
        <f>(AF30_ByRubLot[[#This Row],[21-30]]/AF30_ByRubLot34[[Total Charge]:[Total Charge]])</f>
        <v>0</v>
      </c>
      <c r="I146">
        <f>(AF30_ByRubLot[[#This Row],[31-40]]/AF30_ByRubLot34[[Total Charge]:[Total Charge]])</f>
        <v>0</v>
      </c>
      <c r="J146">
        <f>(AF30_ByRubLot[[#This Row],[41-50]]/AF30_ByRubLot34[[Total Charge]:[Total Charge]])</f>
        <v>0</v>
      </c>
      <c r="K146">
        <f>(AF30_ByRubLot[[#This Row],[51-60]]/AF30_ByRubLot34[[Total Charge]:[Total Charge]])</f>
        <v>0.14285714285714285</v>
      </c>
      <c r="L146">
        <f>(AF30_ByRubLot[[#This Row],[61-70]]/AF30_ByRubLot34[[Total Charge]:[Total Charge]])</f>
        <v>0.14285714285714285</v>
      </c>
      <c r="M146">
        <f>(AF30_ByRubLot[[#This Row],[71-80]]/AF30_ByRubLot34[[Total Charge]:[Total Charge]])</f>
        <v>0.14285714285714285</v>
      </c>
      <c r="N146">
        <f>(AF30_ByRubLot[[#This Row],[81-90]]/AF30_ByRubLot34[[Total Charge]:[Total Charge]])</f>
        <v>0.14285714285714285</v>
      </c>
      <c r="O146">
        <f>(AF30_ByRubLot[[#This Row],[91-100]]/AF30_ByRubLot34[[Total Charge]:[Total Charge]])</f>
        <v>0.2857142857142857</v>
      </c>
      <c r="P146">
        <f>(AF30_ByRubLot[[#This Row],[101-110]]/AF30_ByRubLot34[[Total Charge]:[Total Charge]])</f>
        <v>0.14285714285714285</v>
      </c>
      <c r="Q146">
        <f>(AF30_ByRubLot[[#This Row],[111-120]]/AF30_ByRubLot34[[Total Charge]:[Total Charge]])</f>
        <v>0</v>
      </c>
      <c r="R146">
        <f>(AF30_ByRubLot[[#This Row],[121-130]]/AF30_ByRubLot34[[Total Charge]:[Total Charge]])</f>
        <v>0</v>
      </c>
      <c r="S146">
        <f>(AF30_ByRubLot[[#This Row],[131-140]]/AF30_ByRubLot34[[Total Charge]:[Total Charge]])</f>
        <v>0</v>
      </c>
      <c r="W146">
        <v>7</v>
      </c>
      <c r="X146" s="112"/>
      <c r="Y146">
        <v>2708.333333333333</v>
      </c>
      <c r="Z146">
        <v>2352</v>
      </c>
      <c r="AA146">
        <f t="shared" si="4"/>
        <v>86.843076923076936</v>
      </c>
      <c r="AB146">
        <f>SUM(AF30_ByRubLot34[[#This Row],[0-10]:[131-140]])</f>
        <v>1</v>
      </c>
    </row>
    <row r="147" spans="1:28" x14ac:dyDescent="0.25">
      <c r="A147" t="s">
        <v>120</v>
      </c>
      <c r="B147" s="146" t="s">
        <v>278</v>
      </c>
      <c r="C147" s="148">
        <v>2018</v>
      </c>
      <c r="D147" s="151" t="str">
        <f>MID(AF30_ByRubLot34[[#This Row],[AF-30 Lot]],2,3)</f>
        <v>177</v>
      </c>
      <c r="E147" s="151" t="str">
        <f>CONCATENATE(RIGHT(AF30_ByRubLot34[[#This Row],[Year of Production]],2),AF30_ByRubLot34[[#This Row],[Julian Date Jumbo Production]])</f>
        <v>18177</v>
      </c>
      <c r="F147">
        <f>(AF30_ByRubLot[[#This Row],[0-10]]/AF30_ByRubLot34[[Total Charge]:[Total Charge]])</f>
        <v>0</v>
      </c>
      <c r="G147">
        <f>(AF30_ByRubLot[[#This Row],[11-20]]/AF30_ByRubLot34[[Total Charge]:[Total Charge]])</f>
        <v>0</v>
      </c>
      <c r="H147">
        <f>(AF30_ByRubLot[[#This Row],[21-30]]/AF30_ByRubLot34[[Total Charge]:[Total Charge]])</f>
        <v>0</v>
      </c>
      <c r="I147">
        <f>(AF30_ByRubLot[[#This Row],[31-40]]/AF30_ByRubLot34[[Total Charge]:[Total Charge]])</f>
        <v>0</v>
      </c>
      <c r="J147">
        <f>(AF30_ByRubLot[[#This Row],[41-50]]/AF30_ByRubLot34[[Total Charge]:[Total Charge]])</f>
        <v>0</v>
      </c>
      <c r="K147">
        <f>(AF30_ByRubLot[[#This Row],[51-60]]/AF30_ByRubLot34[[Total Charge]:[Total Charge]])</f>
        <v>0.14285714285714285</v>
      </c>
      <c r="L147">
        <f>(AF30_ByRubLot[[#This Row],[61-70]]/AF30_ByRubLot34[[Total Charge]:[Total Charge]])</f>
        <v>0.14285714285714285</v>
      </c>
      <c r="M147">
        <f>(AF30_ByRubLot[[#This Row],[71-80]]/AF30_ByRubLot34[[Total Charge]:[Total Charge]])</f>
        <v>0.14285714285714285</v>
      </c>
      <c r="N147">
        <f>(AF30_ByRubLot[[#This Row],[81-90]]/AF30_ByRubLot34[[Total Charge]:[Total Charge]])</f>
        <v>0.14285714285714285</v>
      </c>
      <c r="O147">
        <f>(AF30_ByRubLot[[#This Row],[91-100]]/AF30_ByRubLot34[[Total Charge]:[Total Charge]])</f>
        <v>0.2857142857142857</v>
      </c>
      <c r="P147">
        <f>(AF30_ByRubLot[[#This Row],[101-110]]/AF30_ByRubLot34[[Total Charge]:[Total Charge]])</f>
        <v>0.14285714285714285</v>
      </c>
      <c r="Q147">
        <f>(AF30_ByRubLot[[#This Row],[111-120]]/AF30_ByRubLot34[[Total Charge]:[Total Charge]])</f>
        <v>0</v>
      </c>
      <c r="R147">
        <f>(AF30_ByRubLot[[#This Row],[121-130]]/AF30_ByRubLot34[[Total Charge]:[Total Charge]])</f>
        <v>0</v>
      </c>
      <c r="S147">
        <f>(AF30_ByRubLot[[#This Row],[131-140]]/AF30_ByRubLot34[[Total Charge]:[Total Charge]])</f>
        <v>0</v>
      </c>
      <c r="W147">
        <v>7</v>
      </c>
      <c r="X147" s="112"/>
      <c r="Y147">
        <v>2658.333333333333</v>
      </c>
      <c r="Z147">
        <v>2400</v>
      </c>
      <c r="AA147">
        <f t="shared" si="4"/>
        <v>90.282131661442008</v>
      </c>
      <c r="AB147">
        <f>SUM(AF30_ByRubLot34[[#This Row],[0-10]:[131-140]])</f>
        <v>1</v>
      </c>
    </row>
    <row r="148" spans="1:28" x14ac:dyDescent="0.25">
      <c r="A148" t="s">
        <v>122</v>
      </c>
      <c r="B148" s="146" t="s">
        <v>292</v>
      </c>
      <c r="C148" s="148">
        <v>2018</v>
      </c>
      <c r="D148" s="151" t="str">
        <f>MID(AF30_ByRubLot34[[#This Row],[AF-30 Lot]],2,3)</f>
        <v>213</v>
      </c>
      <c r="E148" s="151" t="str">
        <f>CONCATENATE(RIGHT(AF30_ByRubLot34[[#This Row],[Year of Production]],2),AF30_ByRubLot34[[#This Row],[Julian Date Jumbo Production]])</f>
        <v>18213</v>
      </c>
      <c r="F148">
        <f>(AF30_ByRubLot[[#This Row],[0-10]]/AF30_ByRubLot34[[Total Charge]:[Total Charge]])</f>
        <v>0</v>
      </c>
      <c r="G148">
        <f>(AF30_ByRubLot[[#This Row],[11-20]]/AF30_ByRubLot34[[Total Charge]:[Total Charge]])</f>
        <v>0</v>
      </c>
      <c r="H148">
        <f>(AF30_ByRubLot[[#This Row],[21-30]]/AF30_ByRubLot34[[Total Charge]:[Total Charge]])</f>
        <v>0</v>
      </c>
      <c r="I148">
        <f>(AF30_ByRubLot[[#This Row],[31-40]]/AF30_ByRubLot34[[Total Charge]:[Total Charge]])</f>
        <v>0</v>
      </c>
      <c r="J148">
        <f>(AF30_ByRubLot[[#This Row],[41-50]]/AF30_ByRubLot34[[Total Charge]:[Total Charge]])</f>
        <v>0.125</v>
      </c>
      <c r="K148">
        <f>(AF30_ByRubLot[[#This Row],[51-60]]/AF30_ByRubLot34[[Total Charge]:[Total Charge]])</f>
        <v>0</v>
      </c>
      <c r="L148">
        <f>(AF30_ByRubLot[[#This Row],[61-70]]/AF30_ByRubLot34[[Total Charge]:[Total Charge]])</f>
        <v>0.25</v>
      </c>
      <c r="M148">
        <f>(AF30_ByRubLot[[#This Row],[71-80]]/AF30_ByRubLot34[[Total Charge]:[Total Charge]])</f>
        <v>0.125</v>
      </c>
      <c r="N148">
        <f>(AF30_ByRubLot[[#This Row],[81-90]]/AF30_ByRubLot34[[Total Charge]:[Total Charge]])</f>
        <v>0.25</v>
      </c>
      <c r="O148">
        <f>(AF30_ByRubLot[[#This Row],[91-100]]/AF30_ByRubLot34[[Total Charge]:[Total Charge]])</f>
        <v>0.25</v>
      </c>
      <c r="P148">
        <f>(AF30_ByRubLot[[#This Row],[101-110]]/AF30_ByRubLot34[[Total Charge]:[Total Charge]])</f>
        <v>0</v>
      </c>
      <c r="Q148">
        <f>(AF30_ByRubLot[[#This Row],[111-120]]/AF30_ByRubLot34[[Total Charge]:[Total Charge]])</f>
        <v>0</v>
      </c>
      <c r="R148">
        <f>(AF30_ByRubLot[[#This Row],[121-130]]/AF30_ByRubLot34[[Total Charge]:[Total Charge]])</f>
        <v>0</v>
      </c>
      <c r="S148">
        <f>(AF30_ByRubLot[[#This Row],[131-140]]/AF30_ByRubLot34[[Total Charge]:[Total Charge]])</f>
        <v>0</v>
      </c>
      <c r="W148">
        <v>8</v>
      </c>
      <c r="X148" s="112"/>
      <c r="Y148">
        <v>1019.4444444444445</v>
      </c>
      <c r="Z148">
        <v>0</v>
      </c>
      <c r="AA148">
        <f t="shared" si="4"/>
        <v>0</v>
      </c>
      <c r="AB148">
        <f>SUM(AF30_ByRubLot34[[#This Row],[0-10]:[131-140]])</f>
        <v>1</v>
      </c>
    </row>
    <row r="149" spans="1:28" x14ac:dyDescent="0.25">
      <c r="A149" t="s">
        <v>122</v>
      </c>
      <c r="B149" s="146" t="s">
        <v>291</v>
      </c>
      <c r="C149" s="148">
        <v>2018</v>
      </c>
      <c r="D149" s="151" t="str">
        <f>MID(AF30_ByRubLot34[[#This Row],[AF-30 Lot]],2,3)</f>
        <v>229</v>
      </c>
      <c r="E149" s="151" t="str">
        <f>CONCATENATE(RIGHT(AF30_ByRubLot34[[#This Row],[Year of Production]],2),AF30_ByRubLot34[[#This Row],[Julian Date Jumbo Production]])</f>
        <v>18229</v>
      </c>
      <c r="F149">
        <f>(AF30_ByRubLot[[#This Row],[0-10]]/AF30_ByRubLot34[[Total Charge]:[Total Charge]])</f>
        <v>0</v>
      </c>
      <c r="G149">
        <f>(AF30_ByRubLot[[#This Row],[11-20]]/AF30_ByRubLot34[[Total Charge]:[Total Charge]])</f>
        <v>0</v>
      </c>
      <c r="H149">
        <f>(AF30_ByRubLot[[#This Row],[21-30]]/AF30_ByRubLot34[[Total Charge]:[Total Charge]])</f>
        <v>0</v>
      </c>
      <c r="I149">
        <f>(AF30_ByRubLot[[#This Row],[31-40]]/AF30_ByRubLot34[[Total Charge]:[Total Charge]])</f>
        <v>0</v>
      </c>
      <c r="J149">
        <f>(AF30_ByRubLot[[#This Row],[41-50]]/AF30_ByRubLot34[[Total Charge]:[Total Charge]])</f>
        <v>0.125</v>
      </c>
      <c r="K149">
        <f>(AF30_ByRubLot[[#This Row],[51-60]]/AF30_ByRubLot34[[Total Charge]:[Total Charge]])</f>
        <v>0</v>
      </c>
      <c r="L149">
        <f>(AF30_ByRubLot[[#This Row],[61-70]]/AF30_ByRubLot34[[Total Charge]:[Total Charge]])</f>
        <v>0.25</v>
      </c>
      <c r="M149">
        <f>(AF30_ByRubLot[[#This Row],[71-80]]/AF30_ByRubLot34[[Total Charge]:[Total Charge]])</f>
        <v>0.125</v>
      </c>
      <c r="N149">
        <f>(AF30_ByRubLot[[#This Row],[81-90]]/AF30_ByRubLot34[[Total Charge]:[Total Charge]])</f>
        <v>0.25</v>
      </c>
      <c r="O149">
        <f>(AF30_ByRubLot[[#This Row],[91-100]]/AF30_ByRubLot34[[Total Charge]:[Total Charge]])</f>
        <v>0.25</v>
      </c>
      <c r="P149">
        <f>(AF30_ByRubLot[[#This Row],[101-110]]/AF30_ByRubLot34[[Total Charge]:[Total Charge]])</f>
        <v>0</v>
      </c>
      <c r="Q149">
        <f>(AF30_ByRubLot[[#This Row],[111-120]]/AF30_ByRubLot34[[Total Charge]:[Total Charge]])</f>
        <v>0</v>
      </c>
      <c r="R149">
        <f>(AF30_ByRubLot[[#This Row],[121-130]]/AF30_ByRubLot34[[Total Charge]:[Total Charge]])</f>
        <v>0</v>
      </c>
      <c r="S149">
        <f>(AF30_ByRubLot[[#This Row],[131-140]]/AF30_ByRubLot34[[Total Charge]:[Total Charge]])</f>
        <v>0</v>
      </c>
      <c r="W149">
        <v>8</v>
      </c>
      <c r="X149" s="112"/>
      <c r="Y149">
        <v>1277.7777777777778</v>
      </c>
      <c r="Z149">
        <v>1152</v>
      </c>
      <c r="AA149">
        <f t="shared" si="4"/>
        <v>90.15652173913044</v>
      </c>
      <c r="AB149">
        <f>SUM(AF30_ByRubLot34[[#This Row],[0-10]:[131-140]])</f>
        <v>1</v>
      </c>
    </row>
    <row r="150" spans="1:28" x14ac:dyDescent="0.25">
      <c r="A150" t="s">
        <v>122</v>
      </c>
      <c r="B150" s="146" t="s">
        <v>290</v>
      </c>
      <c r="C150" s="148">
        <v>2018</v>
      </c>
      <c r="D150" s="151" t="str">
        <f>MID(AF30_ByRubLot34[[#This Row],[AF-30 Lot]],2,3)</f>
        <v>247</v>
      </c>
      <c r="E150" s="151" t="str">
        <f>CONCATENATE(RIGHT(AF30_ByRubLot34[[#This Row],[Year of Production]],2),AF30_ByRubLot34[[#This Row],[Julian Date Jumbo Production]])</f>
        <v>18247</v>
      </c>
      <c r="F150">
        <f>(AF30_ByRubLot[[#This Row],[0-10]]/AF30_ByRubLot34[[Total Charge]:[Total Charge]])</f>
        <v>0</v>
      </c>
      <c r="G150">
        <f>(AF30_ByRubLot[[#This Row],[11-20]]/AF30_ByRubLot34[[Total Charge]:[Total Charge]])</f>
        <v>0</v>
      </c>
      <c r="H150">
        <f>(AF30_ByRubLot[[#This Row],[21-30]]/AF30_ByRubLot34[[Total Charge]:[Total Charge]])</f>
        <v>0</v>
      </c>
      <c r="I150">
        <f>(AF30_ByRubLot[[#This Row],[31-40]]/AF30_ByRubLot34[[Total Charge]:[Total Charge]])</f>
        <v>0</v>
      </c>
      <c r="J150">
        <f>(AF30_ByRubLot[[#This Row],[41-50]]/AF30_ByRubLot34[[Total Charge]:[Total Charge]])</f>
        <v>0.125</v>
      </c>
      <c r="K150">
        <f>(AF30_ByRubLot[[#This Row],[51-60]]/AF30_ByRubLot34[[Total Charge]:[Total Charge]])</f>
        <v>0</v>
      </c>
      <c r="L150">
        <f>(AF30_ByRubLot[[#This Row],[61-70]]/AF30_ByRubLot34[[Total Charge]:[Total Charge]])</f>
        <v>0.25</v>
      </c>
      <c r="M150">
        <f>(AF30_ByRubLot[[#This Row],[71-80]]/AF30_ByRubLot34[[Total Charge]:[Total Charge]])</f>
        <v>0.125</v>
      </c>
      <c r="N150">
        <f>(AF30_ByRubLot[[#This Row],[81-90]]/AF30_ByRubLot34[[Total Charge]:[Total Charge]])</f>
        <v>0.25</v>
      </c>
      <c r="O150">
        <f>(AF30_ByRubLot[[#This Row],[91-100]]/AF30_ByRubLot34[[Total Charge]:[Total Charge]])</f>
        <v>0.25</v>
      </c>
      <c r="P150">
        <f>(AF30_ByRubLot[[#This Row],[101-110]]/AF30_ByRubLot34[[Total Charge]:[Total Charge]])</f>
        <v>0</v>
      </c>
      <c r="Q150">
        <f>(AF30_ByRubLot[[#This Row],[111-120]]/AF30_ByRubLot34[[Total Charge]:[Total Charge]])</f>
        <v>0</v>
      </c>
      <c r="R150">
        <f>(AF30_ByRubLot[[#This Row],[121-130]]/AF30_ByRubLot34[[Total Charge]:[Total Charge]])</f>
        <v>0</v>
      </c>
      <c r="S150">
        <f>(AF30_ByRubLot[[#This Row],[131-140]]/AF30_ByRubLot34[[Total Charge]:[Total Charge]])</f>
        <v>0</v>
      </c>
      <c r="W150">
        <v>8</v>
      </c>
      <c r="X150" s="112"/>
      <c r="Y150">
        <v>2750</v>
      </c>
      <c r="Z150">
        <v>2240</v>
      </c>
      <c r="AA150">
        <f t="shared" si="4"/>
        <v>81.454545454545453</v>
      </c>
      <c r="AB150">
        <f>SUM(AF30_ByRubLot34[[#This Row],[0-10]:[131-140]])</f>
        <v>1</v>
      </c>
    </row>
    <row r="151" spans="1:28" x14ac:dyDescent="0.25">
      <c r="A151" t="s">
        <v>122</v>
      </c>
      <c r="B151" s="146" t="s">
        <v>289</v>
      </c>
      <c r="C151" s="148">
        <v>2018</v>
      </c>
      <c r="D151" s="151" t="str">
        <f>MID(AF30_ByRubLot34[[#This Row],[AF-30 Lot]],2,3)</f>
        <v>275</v>
      </c>
      <c r="E151" s="151" t="str">
        <f>CONCATENATE(RIGHT(AF30_ByRubLot34[[#This Row],[Year of Production]],2),AF30_ByRubLot34[[#This Row],[Julian Date Jumbo Production]])</f>
        <v>18275</v>
      </c>
      <c r="F151">
        <f>(AF30_ByRubLot[[#This Row],[0-10]]/AF30_ByRubLot34[[Total Charge]:[Total Charge]])</f>
        <v>0</v>
      </c>
      <c r="G151">
        <f>(AF30_ByRubLot[[#This Row],[11-20]]/AF30_ByRubLot34[[Total Charge]:[Total Charge]])</f>
        <v>0</v>
      </c>
      <c r="H151">
        <f>(AF30_ByRubLot[[#This Row],[21-30]]/AF30_ByRubLot34[[Total Charge]:[Total Charge]])</f>
        <v>0</v>
      </c>
      <c r="I151">
        <f>(AF30_ByRubLot[[#This Row],[31-40]]/AF30_ByRubLot34[[Total Charge]:[Total Charge]])</f>
        <v>0</v>
      </c>
      <c r="J151">
        <f>(AF30_ByRubLot[[#This Row],[41-50]]/AF30_ByRubLot34[[Total Charge]:[Total Charge]])</f>
        <v>0.125</v>
      </c>
      <c r="K151">
        <f>(AF30_ByRubLot[[#This Row],[51-60]]/AF30_ByRubLot34[[Total Charge]:[Total Charge]])</f>
        <v>0</v>
      </c>
      <c r="L151">
        <f>(AF30_ByRubLot[[#This Row],[61-70]]/AF30_ByRubLot34[[Total Charge]:[Total Charge]])</f>
        <v>0.25</v>
      </c>
      <c r="M151">
        <f>(AF30_ByRubLot[[#This Row],[71-80]]/AF30_ByRubLot34[[Total Charge]:[Total Charge]])</f>
        <v>0.125</v>
      </c>
      <c r="N151">
        <f>(AF30_ByRubLot[[#This Row],[81-90]]/AF30_ByRubLot34[[Total Charge]:[Total Charge]])</f>
        <v>0.25</v>
      </c>
      <c r="O151">
        <f>(AF30_ByRubLot[[#This Row],[91-100]]/AF30_ByRubLot34[[Total Charge]:[Total Charge]])</f>
        <v>0.25</v>
      </c>
      <c r="P151">
        <f>(AF30_ByRubLot[[#This Row],[101-110]]/AF30_ByRubLot34[[Total Charge]:[Total Charge]])</f>
        <v>0</v>
      </c>
      <c r="Q151">
        <f>(AF30_ByRubLot[[#This Row],[111-120]]/AF30_ByRubLot34[[Total Charge]:[Total Charge]])</f>
        <v>0</v>
      </c>
      <c r="R151">
        <f>(AF30_ByRubLot[[#This Row],[121-130]]/AF30_ByRubLot34[[Total Charge]:[Total Charge]])</f>
        <v>0</v>
      </c>
      <c r="S151">
        <f>(AF30_ByRubLot[[#This Row],[131-140]]/AF30_ByRubLot34[[Total Charge]:[Total Charge]])</f>
        <v>0</v>
      </c>
      <c r="W151">
        <v>8</v>
      </c>
      <c r="X151" s="112"/>
      <c r="Y151">
        <v>2713.8888888888887</v>
      </c>
      <c r="Z151">
        <v>2120</v>
      </c>
      <c r="AA151">
        <f t="shared" si="4"/>
        <v>78.116683725690891</v>
      </c>
      <c r="AB151">
        <f>SUM(AF30_ByRubLot34[[#This Row],[0-10]:[131-140]])</f>
        <v>1</v>
      </c>
    </row>
    <row r="152" spans="1:28" x14ac:dyDescent="0.25">
      <c r="A152" t="s">
        <v>122</v>
      </c>
      <c r="B152" s="146" t="s">
        <v>288</v>
      </c>
      <c r="C152" s="148">
        <v>2018</v>
      </c>
      <c r="D152" s="151" t="str">
        <f>MID(AF30_ByRubLot34[[#This Row],[AF-30 Lot]],2,3)</f>
        <v>309</v>
      </c>
      <c r="E152" s="151" t="str">
        <f>CONCATENATE(RIGHT(AF30_ByRubLot34[[#This Row],[Year of Production]],2),AF30_ByRubLot34[[#This Row],[Julian Date Jumbo Production]])</f>
        <v>18309</v>
      </c>
      <c r="F152">
        <f>(AF30_ByRubLot[[#This Row],[0-10]]/AF30_ByRubLot34[[Total Charge]:[Total Charge]])</f>
        <v>0</v>
      </c>
      <c r="G152">
        <f>(AF30_ByRubLot[[#This Row],[11-20]]/AF30_ByRubLot34[[Total Charge]:[Total Charge]])</f>
        <v>0</v>
      </c>
      <c r="H152">
        <f>(AF30_ByRubLot[[#This Row],[21-30]]/AF30_ByRubLot34[[Total Charge]:[Total Charge]])</f>
        <v>0</v>
      </c>
      <c r="I152">
        <f>(AF30_ByRubLot[[#This Row],[31-40]]/AF30_ByRubLot34[[Total Charge]:[Total Charge]])</f>
        <v>0</v>
      </c>
      <c r="J152">
        <f>(AF30_ByRubLot[[#This Row],[41-50]]/AF30_ByRubLot34[[Total Charge]:[Total Charge]])</f>
        <v>0.125</v>
      </c>
      <c r="K152">
        <f>(AF30_ByRubLot[[#This Row],[51-60]]/AF30_ByRubLot34[[Total Charge]:[Total Charge]])</f>
        <v>0</v>
      </c>
      <c r="L152">
        <f>(AF30_ByRubLot[[#This Row],[61-70]]/AF30_ByRubLot34[[Total Charge]:[Total Charge]])</f>
        <v>0.25</v>
      </c>
      <c r="M152">
        <f>(AF30_ByRubLot[[#This Row],[71-80]]/AF30_ByRubLot34[[Total Charge]:[Total Charge]])</f>
        <v>0.125</v>
      </c>
      <c r="N152">
        <f>(AF30_ByRubLot[[#This Row],[81-90]]/AF30_ByRubLot34[[Total Charge]:[Total Charge]])</f>
        <v>0.25</v>
      </c>
      <c r="O152">
        <f>(AF30_ByRubLot[[#This Row],[91-100]]/AF30_ByRubLot34[[Total Charge]:[Total Charge]])</f>
        <v>0.25</v>
      </c>
      <c r="P152">
        <f>(AF30_ByRubLot[[#This Row],[101-110]]/AF30_ByRubLot34[[Total Charge]:[Total Charge]])</f>
        <v>0</v>
      </c>
      <c r="Q152">
        <f>(AF30_ByRubLot[[#This Row],[111-120]]/AF30_ByRubLot34[[Total Charge]:[Total Charge]])</f>
        <v>0</v>
      </c>
      <c r="R152">
        <f>(AF30_ByRubLot[[#This Row],[121-130]]/AF30_ByRubLot34[[Total Charge]:[Total Charge]])</f>
        <v>0</v>
      </c>
      <c r="S152">
        <f>(AF30_ByRubLot[[#This Row],[131-140]]/AF30_ByRubLot34[[Total Charge]:[Total Charge]])</f>
        <v>0</v>
      </c>
      <c r="W152">
        <v>8</v>
      </c>
      <c r="X152" s="112"/>
      <c r="Y152">
        <v>2536.1111111111113</v>
      </c>
      <c r="Z152">
        <v>2032.9999800000001</v>
      </c>
      <c r="AA152">
        <f t="shared" si="4"/>
        <v>80.162102168674693</v>
      </c>
      <c r="AB152">
        <f>SUM(AF30_ByRubLot34[[#This Row],[0-10]:[131-140]])</f>
        <v>1</v>
      </c>
    </row>
    <row r="153" spans="1:28" x14ac:dyDescent="0.25">
      <c r="A153" t="s">
        <v>122</v>
      </c>
      <c r="B153" s="146" t="s">
        <v>287</v>
      </c>
      <c r="C153" s="148">
        <v>2018</v>
      </c>
      <c r="D153" s="151" t="str">
        <f>MID(AF30_ByRubLot34[[#This Row],[AF-30 Lot]],2,3)</f>
        <v>337</v>
      </c>
      <c r="E153" s="151" t="str">
        <f>CONCATENATE(RIGHT(AF30_ByRubLot34[[#This Row],[Year of Production]],2),AF30_ByRubLot34[[#This Row],[Julian Date Jumbo Production]])</f>
        <v>18337</v>
      </c>
      <c r="F153">
        <f>(AF30_ByRubLot[[#This Row],[0-10]]/AF30_ByRubLot34[[Total Charge]:[Total Charge]])</f>
        <v>0</v>
      </c>
      <c r="G153">
        <f>(AF30_ByRubLot[[#This Row],[11-20]]/AF30_ByRubLot34[[Total Charge]:[Total Charge]])</f>
        <v>0</v>
      </c>
      <c r="H153">
        <f>(AF30_ByRubLot[[#This Row],[21-30]]/AF30_ByRubLot34[[Total Charge]:[Total Charge]])</f>
        <v>0</v>
      </c>
      <c r="I153">
        <f>(AF30_ByRubLot[[#This Row],[31-40]]/AF30_ByRubLot34[[Total Charge]:[Total Charge]])</f>
        <v>0</v>
      </c>
      <c r="J153">
        <f>(AF30_ByRubLot[[#This Row],[41-50]]/AF30_ByRubLot34[[Total Charge]:[Total Charge]])</f>
        <v>0.125</v>
      </c>
      <c r="K153">
        <f>(AF30_ByRubLot[[#This Row],[51-60]]/AF30_ByRubLot34[[Total Charge]:[Total Charge]])</f>
        <v>0</v>
      </c>
      <c r="L153">
        <f>(AF30_ByRubLot[[#This Row],[61-70]]/AF30_ByRubLot34[[Total Charge]:[Total Charge]])</f>
        <v>0.25</v>
      </c>
      <c r="M153">
        <f>(AF30_ByRubLot[[#This Row],[71-80]]/AF30_ByRubLot34[[Total Charge]:[Total Charge]])</f>
        <v>0.125</v>
      </c>
      <c r="N153">
        <f>(AF30_ByRubLot[[#This Row],[81-90]]/AF30_ByRubLot34[[Total Charge]:[Total Charge]])</f>
        <v>0.25</v>
      </c>
      <c r="O153">
        <f>(AF30_ByRubLot[[#This Row],[91-100]]/AF30_ByRubLot34[[Total Charge]:[Total Charge]])</f>
        <v>0.25</v>
      </c>
      <c r="P153">
        <f>(AF30_ByRubLot[[#This Row],[101-110]]/AF30_ByRubLot34[[Total Charge]:[Total Charge]])</f>
        <v>0</v>
      </c>
      <c r="Q153">
        <f>(AF30_ByRubLot[[#This Row],[111-120]]/AF30_ByRubLot34[[Total Charge]:[Total Charge]])</f>
        <v>0</v>
      </c>
      <c r="R153">
        <f>(AF30_ByRubLot[[#This Row],[121-130]]/AF30_ByRubLot34[[Total Charge]:[Total Charge]])</f>
        <v>0</v>
      </c>
      <c r="S153">
        <f>(AF30_ByRubLot[[#This Row],[131-140]]/AF30_ByRubLot34[[Total Charge]:[Total Charge]])</f>
        <v>0</v>
      </c>
      <c r="W153">
        <v>8</v>
      </c>
      <c r="X153" s="112"/>
      <c r="Y153">
        <v>2380.5555555555557</v>
      </c>
      <c r="Z153">
        <v>2003.33332</v>
      </c>
      <c r="AA153">
        <f t="shared" si="4"/>
        <v>84.154025110851805</v>
      </c>
      <c r="AB153">
        <f>SUM(AF30_ByRubLot34[[#This Row],[0-10]:[131-140]])</f>
        <v>1</v>
      </c>
    </row>
    <row r="154" spans="1:28" x14ac:dyDescent="0.25">
      <c r="A154" t="s">
        <v>122</v>
      </c>
      <c r="B154" s="146" t="s">
        <v>286</v>
      </c>
      <c r="C154" s="148">
        <v>2019</v>
      </c>
      <c r="D154" s="151" t="str">
        <f>MID(AF30_ByRubLot34[[#This Row],[AF-30 Lot]],2,3)</f>
        <v>007</v>
      </c>
      <c r="E154" s="151" t="str">
        <f>CONCATENATE(RIGHT(AF30_ByRubLot34[[#This Row],[Year of Production]],2),AF30_ByRubLot34[[#This Row],[Julian Date Jumbo Production]])</f>
        <v>19007</v>
      </c>
      <c r="F154">
        <f>(AF30_ByRubLot[[#This Row],[0-10]]/AF30_ByRubLot34[[Total Charge]:[Total Charge]])</f>
        <v>0</v>
      </c>
      <c r="G154">
        <f>(AF30_ByRubLot[[#This Row],[11-20]]/AF30_ByRubLot34[[Total Charge]:[Total Charge]])</f>
        <v>0</v>
      </c>
      <c r="H154">
        <f>(AF30_ByRubLot[[#This Row],[21-30]]/AF30_ByRubLot34[[Total Charge]:[Total Charge]])</f>
        <v>0</v>
      </c>
      <c r="I154">
        <f>(AF30_ByRubLot[[#This Row],[31-40]]/AF30_ByRubLot34[[Total Charge]:[Total Charge]])</f>
        <v>0</v>
      </c>
      <c r="J154">
        <f>(AF30_ByRubLot[[#This Row],[41-50]]/AF30_ByRubLot34[[Total Charge]:[Total Charge]])</f>
        <v>0.125</v>
      </c>
      <c r="K154">
        <f>(AF30_ByRubLot[[#This Row],[51-60]]/AF30_ByRubLot34[[Total Charge]:[Total Charge]])</f>
        <v>0</v>
      </c>
      <c r="L154">
        <f>(AF30_ByRubLot[[#This Row],[61-70]]/AF30_ByRubLot34[[Total Charge]:[Total Charge]])</f>
        <v>0.25</v>
      </c>
      <c r="M154">
        <f>(AF30_ByRubLot[[#This Row],[71-80]]/AF30_ByRubLot34[[Total Charge]:[Total Charge]])</f>
        <v>0.125</v>
      </c>
      <c r="N154">
        <f>(AF30_ByRubLot[[#This Row],[81-90]]/AF30_ByRubLot34[[Total Charge]:[Total Charge]])</f>
        <v>0.25</v>
      </c>
      <c r="O154">
        <f>(AF30_ByRubLot[[#This Row],[91-100]]/AF30_ByRubLot34[[Total Charge]:[Total Charge]])</f>
        <v>0.25</v>
      </c>
      <c r="P154">
        <f>(AF30_ByRubLot[[#This Row],[101-110]]/AF30_ByRubLot34[[Total Charge]:[Total Charge]])</f>
        <v>0</v>
      </c>
      <c r="Q154">
        <f>(AF30_ByRubLot[[#This Row],[111-120]]/AF30_ByRubLot34[[Total Charge]:[Total Charge]])</f>
        <v>0</v>
      </c>
      <c r="R154">
        <f>(AF30_ByRubLot[[#This Row],[121-130]]/AF30_ByRubLot34[[Total Charge]:[Total Charge]])</f>
        <v>0</v>
      </c>
      <c r="S154">
        <f>(AF30_ByRubLot[[#This Row],[131-140]]/AF30_ByRubLot34[[Total Charge]:[Total Charge]])</f>
        <v>0</v>
      </c>
      <c r="W154">
        <v>8</v>
      </c>
      <c r="X154" s="112"/>
      <c r="Y154">
        <v>2530.5555555555557</v>
      </c>
      <c r="Z154">
        <v>2320</v>
      </c>
      <c r="AA154">
        <f t="shared" si="4"/>
        <v>91.679473106476394</v>
      </c>
      <c r="AB154">
        <f>SUM(AF30_ByRubLot34[[#This Row],[0-10]:[131-140]])</f>
        <v>1</v>
      </c>
    </row>
    <row r="155" spans="1:28" x14ac:dyDescent="0.25">
      <c r="A155" t="s">
        <v>122</v>
      </c>
      <c r="B155" s="146" t="s">
        <v>285</v>
      </c>
      <c r="C155" s="148">
        <v>2019</v>
      </c>
      <c r="D155" s="151" t="str">
        <f>MID(AF30_ByRubLot34[[#This Row],[AF-30 Lot]],2,3)</f>
        <v>028</v>
      </c>
      <c r="E155" s="151" t="str">
        <f>CONCATENATE(RIGHT(AF30_ByRubLot34[[#This Row],[Year of Production]],2),AF30_ByRubLot34[[#This Row],[Julian Date Jumbo Production]])</f>
        <v>19028</v>
      </c>
      <c r="F155">
        <f>(AF30_ByRubLot[[#This Row],[0-10]]/AF30_ByRubLot34[[Total Charge]:[Total Charge]])</f>
        <v>0</v>
      </c>
      <c r="G155">
        <f>(AF30_ByRubLot[[#This Row],[11-20]]/AF30_ByRubLot34[[Total Charge]:[Total Charge]])</f>
        <v>0</v>
      </c>
      <c r="H155">
        <f>(AF30_ByRubLot[[#This Row],[21-30]]/AF30_ByRubLot34[[Total Charge]:[Total Charge]])</f>
        <v>0</v>
      </c>
      <c r="I155">
        <f>(AF30_ByRubLot[[#This Row],[31-40]]/AF30_ByRubLot34[[Total Charge]:[Total Charge]])</f>
        <v>0</v>
      </c>
      <c r="J155">
        <f>(AF30_ByRubLot[[#This Row],[41-50]]/AF30_ByRubLot34[[Total Charge]:[Total Charge]])</f>
        <v>0.125</v>
      </c>
      <c r="K155">
        <f>(AF30_ByRubLot[[#This Row],[51-60]]/AF30_ByRubLot34[[Total Charge]:[Total Charge]])</f>
        <v>0</v>
      </c>
      <c r="L155">
        <f>(AF30_ByRubLot[[#This Row],[61-70]]/AF30_ByRubLot34[[Total Charge]:[Total Charge]])</f>
        <v>0.25</v>
      </c>
      <c r="M155">
        <f>(AF30_ByRubLot[[#This Row],[71-80]]/AF30_ByRubLot34[[Total Charge]:[Total Charge]])</f>
        <v>0.125</v>
      </c>
      <c r="N155">
        <f>(AF30_ByRubLot[[#This Row],[81-90]]/AF30_ByRubLot34[[Total Charge]:[Total Charge]])</f>
        <v>0.25</v>
      </c>
      <c r="O155">
        <f>(AF30_ByRubLot[[#This Row],[91-100]]/AF30_ByRubLot34[[Total Charge]:[Total Charge]])</f>
        <v>0.25</v>
      </c>
      <c r="P155">
        <f>(AF30_ByRubLot[[#This Row],[101-110]]/AF30_ByRubLot34[[Total Charge]:[Total Charge]])</f>
        <v>0</v>
      </c>
      <c r="Q155">
        <f>(AF30_ByRubLot[[#This Row],[111-120]]/AF30_ByRubLot34[[Total Charge]:[Total Charge]])</f>
        <v>0</v>
      </c>
      <c r="R155">
        <f>(AF30_ByRubLot[[#This Row],[121-130]]/AF30_ByRubLot34[[Total Charge]:[Total Charge]])</f>
        <v>0</v>
      </c>
      <c r="S155">
        <f>(AF30_ByRubLot[[#This Row],[131-140]]/AF30_ByRubLot34[[Total Charge]:[Total Charge]])</f>
        <v>0</v>
      </c>
      <c r="W155">
        <v>8</v>
      </c>
      <c r="X155" s="112"/>
      <c r="Y155">
        <v>2472.2222222222222</v>
      </c>
      <c r="Z155">
        <v>2152</v>
      </c>
      <c r="AA155">
        <f t="shared" si="4"/>
        <v>87.047191011235952</v>
      </c>
      <c r="AB155">
        <f>SUM(AF30_ByRubLot34[[#This Row],[0-10]:[131-140]])</f>
        <v>1</v>
      </c>
    </row>
    <row r="156" spans="1:28" x14ac:dyDescent="0.25">
      <c r="A156" t="s">
        <v>122</v>
      </c>
      <c r="B156" s="146" t="s">
        <v>284</v>
      </c>
      <c r="C156" s="148">
        <v>2019</v>
      </c>
      <c r="D156" s="151" t="str">
        <f>MID(AF30_ByRubLot34[[#This Row],[AF-30 Lot]],2,3)</f>
        <v>056</v>
      </c>
      <c r="E156" s="151" t="str">
        <f>CONCATENATE(RIGHT(AF30_ByRubLot34[[#This Row],[Year of Production]],2),AF30_ByRubLot34[[#This Row],[Julian Date Jumbo Production]])</f>
        <v>19056</v>
      </c>
      <c r="F156">
        <f>(AF30_ByRubLot[[#This Row],[0-10]]/AF30_ByRubLot34[[Total Charge]:[Total Charge]])</f>
        <v>0</v>
      </c>
      <c r="G156">
        <f>(AF30_ByRubLot[[#This Row],[11-20]]/AF30_ByRubLot34[[Total Charge]:[Total Charge]])</f>
        <v>0</v>
      </c>
      <c r="H156">
        <f>(AF30_ByRubLot[[#This Row],[21-30]]/AF30_ByRubLot34[[Total Charge]:[Total Charge]])</f>
        <v>0</v>
      </c>
      <c r="I156">
        <f>(AF30_ByRubLot[[#This Row],[31-40]]/AF30_ByRubLot34[[Total Charge]:[Total Charge]])</f>
        <v>0</v>
      </c>
      <c r="J156">
        <f>(AF30_ByRubLot[[#This Row],[41-50]]/AF30_ByRubLot34[[Total Charge]:[Total Charge]])</f>
        <v>0.125</v>
      </c>
      <c r="K156">
        <f>(AF30_ByRubLot[[#This Row],[51-60]]/AF30_ByRubLot34[[Total Charge]:[Total Charge]])</f>
        <v>0</v>
      </c>
      <c r="L156">
        <f>(AF30_ByRubLot[[#This Row],[61-70]]/AF30_ByRubLot34[[Total Charge]:[Total Charge]])</f>
        <v>0.25</v>
      </c>
      <c r="M156">
        <f>(AF30_ByRubLot[[#This Row],[71-80]]/AF30_ByRubLot34[[Total Charge]:[Total Charge]])</f>
        <v>0.125</v>
      </c>
      <c r="N156">
        <f>(AF30_ByRubLot[[#This Row],[81-90]]/AF30_ByRubLot34[[Total Charge]:[Total Charge]])</f>
        <v>0.25</v>
      </c>
      <c r="O156">
        <f>(AF30_ByRubLot[[#This Row],[91-100]]/AF30_ByRubLot34[[Total Charge]:[Total Charge]])</f>
        <v>0.25</v>
      </c>
      <c r="P156">
        <f>(AF30_ByRubLot[[#This Row],[101-110]]/AF30_ByRubLot34[[Total Charge]:[Total Charge]])</f>
        <v>0</v>
      </c>
      <c r="Q156">
        <f>(AF30_ByRubLot[[#This Row],[111-120]]/AF30_ByRubLot34[[Total Charge]:[Total Charge]])</f>
        <v>0</v>
      </c>
      <c r="R156">
        <f>(AF30_ByRubLot[[#This Row],[121-130]]/AF30_ByRubLot34[[Total Charge]:[Total Charge]])</f>
        <v>0</v>
      </c>
      <c r="S156">
        <f>(AF30_ByRubLot[[#This Row],[131-140]]/AF30_ByRubLot34[[Total Charge]:[Total Charge]])</f>
        <v>0</v>
      </c>
      <c r="W156">
        <v>8</v>
      </c>
      <c r="X156" s="112"/>
      <c r="Y156">
        <v>2644.4444444444443</v>
      </c>
      <c r="Z156">
        <v>2481.6666599999999</v>
      </c>
      <c r="AA156">
        <f t="shared" si="4"/>
        <v>93.844537563025213</v>
      </c>
      <c r="AB156">
        <f>SUM(AF30_ByRubLot34[[#This Row],[0-10]:[131-140]])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D10" sqref="D10"/>
    </sheetView>
  </sheetViews>
  <sheetFormatPr defaultRowHeight="15" x14ac:dyDescent="0.25"/>
  <cols>
    <col min="1" max="1" width="13.140625" bestFit="1" customWidth="1"/>
    <col min="2" max="2" width="18.28515625" bestFit="1" customWidth="1"/>
    <col min="3" max="3" width="21.7109375" bestFit="1" customWidth="1"/>
    <col min="4" max="4" width="13.140625" bestFit="1" customWidth="1"/>
  </cols>
  <sheetData>
    <row r="3" spans="1:4" x14ac:dyDescent="0.25">
      <c r="A3" s="147" t="s">
        <v>208</v>
      </c>
      <c r="B3" t="s">
        <v>249</v>
      </c>
      <c r="C3" t="s">
        <v>250</v>
      </c>
      <c r="D3" t="s">
        <v>276</v>
      </c>
    </row>
    <row r="4" spans="1:4" x14ac:dyDescent="0.25">
      <c r="A4" s="109" t="s">
        <v>17</v>
      </c>
      <c r="B4" s="148">
        <v>32797.777777777781</v>
      </c>
      <c r="C4" s="148">
        <v>20092.916559999998</v>
      </c>
      <c r="D4" s="149">
        <v>61.263042563859329</v>
      </c>
    </row>
    <row r="5" spans="1:4" x14ac:dyDescent="0.25">
      <c r="A5" s="109" t="s">
        <v>18</v>
      </c>
      <c r="B5" s="148">
        <v>12137.777777777777</v>
      </c>
      <c r="C5" s="148">
        <v>5763.3333199999997</v>
      </c>
      <c r="D5" s="149">
        <v>47.482606993775171</v>
      </c>
    </row>
    <row r="6" spans="1:4" x14ac:dyDescent="0.25">
      <c r="A6" s="109" t="s">
        <v>5</v>
      </c>
      <c r="B6" s="148">
        <v>28551.666666666672</v>
      </c>
      <c r="C6" s="148">
        <v>8194.5832599999994</v>
      </c>
      <c r="D6" s="149">
        <v>28.700892860895443</v>
      </c>
    </row>
    <row r="7" spans="1:4" x14ac:dyDescent="0.25">
      <c r="A7" s="109" t="s">
        <v>157</v>
      </c>
      <c r="B7" s="148">
        <v>7508.3333333333339</v>
      </c>
      <c r="C7" s="148">
        <v>3803.3333199999997</v>
      </c>
      <c r="D7" s="149">
        <v>50.654827791342946</v>
      </c>
    </row>
    <row r="8" spans="1:4" x14ac:dyDescent="0.25">
      <c r="A8" s="109" t="s">
        <v>19</v>
      </c>
      <c r="B8" s="148">
        <v>4300</v>
      </c>
      <c r="C8" s="148">
        <v>1842.3332599999999</v>
      </c>
      <c r="D8" s="149">
        <v>42.844959534883721</v>
      </c>
    </row>
    <row r="9" spans="1:4" x14ac:dyDescent="0.25">
      <c r="A9" s="109" t="s">
        <v>21</v>
      </c>
      <c r="B9" s="148">
        <v>9695</v>
      </c>
      <c r="C9" s="148">
        <v>7189.6666599999999</v>
      </c>
      <c r="D9" s="149">
        <v>74.15850087674059</v>
      </c>
    </row>
    <row r="10" spans="1:4" x14ac:dyDescent="0.25">
      <c r="A10" s="109" t="s">
        <v>24</v>
      </c>
      <c r="B10" s="148">
        <v>60767.777777777781</v>
      </c>
      <c r="C10" s="148">
        <v>48533.666580000005</v>
      </c>
      <c r="D10" s="149">
        <v>79.86743691283759</v>
      </c>
    </row>
    <row r="11" spans="1:4" x14ac:dyDescent="0.25">
      <c r="A11" s="109" t="s">
        <v>26</v>
      </c>
      <c r="B11" s="148">
        <v>7375</v>
      </c>
      <c r="C11" s="148">
        <v>5176</v>
      </c>
      <c r="D11" s="149">
        <v>70.183050847457622</v>
      </c>
    </row>
    <row r="12" spans="1:4" x14ac:dyDescent="0.25">
      <c r="A12" s="109" t="s">
        <v>115</v>
      </c>
      <c r="B12" s="148">
        <v>44283.888888888891</v>
      </c>
      <c r="C12" s="148">
        <v>38666.666559999998</v>
      </c>
      <c r="D12" s="149">
        <v>87.315426739094974</v>
      </c>
    </row>
    <row r="13" spans="1:4" x14ac:dyDescent="0.25">
      <c r="A13" s="109" t="s">
        <v>117</v>
      </c>
      <c r="B13" s="148">
        <v>666.66666666666663</v>
      </c>
      <c r="C13" s="148">
        <v>600</v>
      </c>
      <c r="D13" s="149">
        <v>90</v>
      </c>
    </row>
    <row r="14" spans="1:4" x14ac:dyDescent="0.25">
      <c r="A14" s="109" t="s">
        <v>120</v>
      </c>
      <c r="B14" s="148">
        <v>11611.111111111111</v>
      </c>
      <c r="C14" s="148">
        <v>8780</v>
      </c>
      <c r="D14" s="149">
        <v>75.617224880382778</v>
      </c>
    </row>
    <row r="15" spans="1:4" x14ac:dyDescent="0.25">
      <c r="A15" s="109" t="s">
        <v>122</v>
      </c>
      <c r="B15" s="148">
        <v>20325</v>
      </c>
      <c r="C15" s="148">
        <v>16501.999960000001</v>
      </c>
      <c r="D15" s="149">
        <v>81.190651709717102</v>
      </c>
    </row>
    <row r="16" spans="1:4" x14ac:dyDescent="0.25">
      <c r="A16" s="109" t="s">
        <v>209</v>
      </c>
      <c r="B16" s="148">
        <v>240020.00000000003</v>
      </c>
      <c r="C16" s="148">
        <v>165144.49948</v>
      </c>
      <c r="D16" s="149">
        <v>68.804474410465801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Data From Lance</vt:lpstr>
      <vt:lpstr>Charge Data Zeon</vt:lpstr>
      <vt:lpstr>Data For Regression Raw</vt:lpstr>
      <vt:lpstr>Histogram Data</vt:lpstr>
      <vt:lpstr>Regression Data AF-30</vt:lpstr>
      <vt:lpstr>AF-30 by Rubber Lot Batch Count</vt:lpstr>
      <vt:lpstr>AF-30 by Rubber Lot Percent</vt:lpstr>
      <vt:lpstr>AF-30 by Rubber Lot Percent w D</vt:lpstr>
      <vt:lpstr>AF-30ByRubLot_Pvt</vt:lpstr>
      <vt:lpstr>Regression Data AF-32</vt:lpstr>
      <vt:lpstr>AF-32 by Rubber Lot Batch Count</vt:lpstr>
      <vt:lpstr>AF-32 by Rubber Lot Percent</vt:lpstr>
      <vt:lpstr>AF-32ByRubLot Pvt</vt:lpstr>
      <vt:lpstr>MindMap_Systems</vt:lpstr>
      <vt:lpstr>'Data From Lance'!Print_Area</vt:lpstr>
    </vt:vector>
  </TitlesOfParts>
  <Company>Zeon Chemicals 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Hofer</dc:creator>
  <cp:lastModifiedBy>Michael Soukup</cp:lastModifiedBy>
  <dcterms:created xsi:type="dcterms:W3CDTF">2015-10-08T19:56:38Z</dcterms:created>
  <dcterms:modified xsi:type="dcterms:W3CDTF">2019-12-12T21:18:32Z</dcterms:modified>
</cp:coreProperties>
</file>