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diploma\docs\ecomomics\"/>
    </mc:Choice>
  </mc:AlternateContent>
  <bookViews>
    <workbookView xWindow="0" yWindow="0" windowWidth="28800" windowHeight="125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5" i="1"/>
  <c r="L28" i="1"/>
  <c r="S43" i="1" l="1"/>
  <c r="S42" i="1"/>
  <c r="M43" i="1"/>
  <c r="L44" i="1"/>
  <c r="M42" i="1"/>
  <c r="J44" i="1"/>
  <c r="L27" i="1"/>
  <c r="K17" i="1"/>
  <c r="J17" i="1"/>
  <c r="M16" i="1"/>
  <c r="M15" i="1"/>
  <c r="M17" i="1" l="1"/>
  <c r="M44" i="1"/>
  <c r="M45" i="1" s="1"/>
  <c r="M46" i="1" s="1"/>
  <c r="S44" i="1" s="1"/>
  <c r="L29" i="1"/>
  <c r="L30" i="1" s="1"/>
  <c r="R27" i="1" s="1"/>
  <c r="S27" i="1" s="1"/>
  <c r="S15" i="1"/>
  <c r="M18" i="1" l="1"/>
  <c r="M19" i="1" s="1"/>
  <c r="S45" i="1"/>
  <c r="S46" i="1" s="1"/>
  <c r="S47" i="1" s="1"/>
  <c r="K56" i="1" s="1"/>
  <c r="S28" i="1"/>
  <c r="S29" i="1" s="1"/>
  <c r="S30" i="1" s="1"/>
  <c r="K55" i="1" s="1"/>
  <c r="S17" i="1"/>
  <c r="S18" i="1" s="1"/>
  <c r="K54" i="1" s="1"/>
  <c r="K57" i="1" l="1"/>
  <c r="K58" i="1" s="1"/>
  <c r="K59" i="1" s="1"/>
  <c r="K60" i="1" s="1"/>
  <c r="K61" i="1" l="1"/>
  <c r="K62" i="1" s="1"/>
  <c r="K63" i="1" s="1"/>
  <c r="K66" i="1"/>
  <c r="K68" i="1" s="1"/>
</calcChain>
</file>

<file path=xl/sharedStrings.xml><?xml version="1.0" encoding="utf-8"?>
<sst xmlns="http://schemas.openxmlformats.org/spreadsheetml/2006/main" count="97" uniqueCount="75">
  <si>
    <t>Кол</t>
  </si>
  <si>
    <t>Руководитель</t>
  </si>
  <si>
    <t>Программист</t>
  </si>
  <si>
    <t>Всего</t>
  </si>
  <si>
    <t>Премия</t>
  </si>
  <si>
    <t>Всего осн зар плата</t>
  </si>
  <si>
    <t>Исполнитель</t>
  </si>
  <si>
    <t>Трудоемкость, мес.</t>
  </si>
  <si>
    <t>Исп</t>
  </si>
  <si>
    <t>тариф оклад</t>
  </si>
  <si>
    <t>трудоемкость</t>
  </si>
  <si>
    <t>зп по тарифу</t>
  </si>
  <si>
    <t>-</t>
  </si>
  <si>
    <t>Премия, %</t>
  </si>
  <si>
    <t>Таб-1</t>
  </si>
  <si>
    <t>Таб-2</t>
  </si>
  <si>
    <t>Расчет основной заработной платы исполнителей</t>
  </si>
  <si>
    <t>Расчет затрат на разработку проектной документации</t>
  </si>
  <si>
    <t>Наименование статьи затрат</t>
  </si>
  <si>
    <t>Расчет</t>
  </si>
  <si>
    <t>Значение,руб</t>
  </si>
  <si>
    <t>1. Основная заработная 
плата раз- работчиков</t>
  </si>
  <si>
    <t>2 Дополнительная зарплата</t>
  </si>
  <si>
    <t>4. Всего</t>
  </si>
  <si>
    <t>3. Отчисления на
 социальные нужды</t>
  </si>
  <si>
    <t>(S15+S16)*T17/100</t>
  </si>
  <si>
    <t>Таб 3 – Расчет основной заработной платы исполнителей программной части</t>
  </si>
  <si>
    <t>Эффективный
 фонд времени 
работы, дн</t>
  </si>
  <si>
    <t>Категория
 исполнителя</t>
  </si>
  <si>
    <t>Дневная тарифная 
ставка, руб.</t>
  </si>
  <si>
    <t>Тарифная заработная 
плата, руб.</t>
  </si>
  <si>
    <t>Основная заработная плата</t>
  </si>
  <si>
    <t>Основная 
заработная плата</t>
  </si>
  <si>
    <t>Таблица 4 – Расчет затрат научно-исследовательские работы программной части</t>
  </si>
  <si>
    <t>Значение, руб.</t>
  </si>
  <si>
    <t>Наименование
 статьи затрат</t>
  </si>
  <si>
    <t>1 Основная заработная
плата разработчиков</t>
  </si>
  <si>
    <t>3 Отчисления на 
социальные нужды</t>
  </si>
  <si>
    <t>2 Дополнительная
 зарплата</t>
  </si>
  <si>
    <t>S27*20/100</t>
  </si>
  <si>
    <t>(S27+S28)*T17/100</t>
  </si>
  <si>
    <t>Таб-5</t>
  </si>
  <si>
    <t>Таб-6</t>
  </si>
  <si>
    <t xml:space="preserve">Расчёт затрат на материалы  </t>
  </si>
  <si>
    <t>таб-7</t>
  </si>
  <si>
    <t>Расчет основной заработной платы на монтаж</t>
  </si>
  <si>
    <t>Количество 
исполнителей, 
чел.</t>
  </si>
  <si>
    <t>Тарифный оклад,
 руб.</t>
  </si>
  <si>
    <t>Заработная плата по 
тарифу, руб.</t>
  </si>
  <si>
    <t>1. Инженер по наладке
 и испытаниям</t>
  </si>
  <si>
    <t>2. Техник по наладке 
и испытаниям</t>
  </si>
  <si>
    <t xml:space="preserve">Премия </t>
  </si>
  <si>
    <t>Премия,%</t>
  </si>
  <si>
    <t xml:space="preserve">Таблица 8 ‒ Расчет затрат на монтаж </t>
  </si>
  <si>
    <t>1.Затраты на оборудование</t>
  </si>
  <si>
    <t>2.Затраты на материалы</t>
  </si>
  <si>
    <t>3.Основная заработная плата</t>
  </si>
  <si>
    <t>4.Дополнительная зарплата</t>
  </si>
  <si>
    <t>5.Отчисления на социальные нужды</t>
  </si>
  <si>
    <t>Расчёт затрат на оборудование</t>
  </si>
  <si>
    <t>таб-9</t>
  </si>
  <si>
    <t>Капитальные вложения</t>
  </si>
  <si>
    <t>1. Затраты на разработку
проектной документации</t>
  </si>
  <si>
    <t>2. Затраты на научно- исследовательские 
работы программной части</t>
  </si>
  <si>
    <t>3.Затраты на разработку 
аппаратной части</t>
  </si>
  <si>
    <t>Всего затрат на разработку</t>
  </si>
  <si>
    <t>6. Отпускная цена</t>
  </si>
  <si>
    <t>8. Отпускная цена с НДС</t>
  </si>
  <si>
    <t>7. Налог на добавленную
 стоимость (20 %)</t>
  </si>
  <si>
    <t>Чистая Прибыль</t>
  </si>
  <si>
    <t>Коэф</t>
  </si>
  <si>
    <t>Рентаб</t>
  </si>
  <si>
    <t>5. Прибыль (50 %)</t>
  </si>
  <si>
    <t>4. Накладные расходы (50%)</t>
  </si>
  <si>
    <t>R15*20/100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</si>
</sst>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1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2" fillId="2" borderId="1" xfId="0" applyFont="1" applyFill="1" applyBorder="1"/>
    <xf numFmtId="0" fontId="2" fillId="2" borderId="6" xfId="0" applyFont="1" applyFill="1" applyBorder="1"/>
    <xf numFmtId="0" fontId="2" fillId="2" borderId="5" xfId="0" applyFont="1" applyFill="1" applyBorder="1"/>
    <xf numFmtId="0" fontId="2" fillId="2" borderId="0" xfId="0" applyFont="1" applyFill="1" applyAlignment="1">
      <alignment wrapText="1"/>
    </xf>
    <xf numFmtId="0" fontId="1" fillId="2" borderId="0" xfId="0" applyFont="1" applyFill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8"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Q14:S18" totalsRowShown="0" headerRowDxfId="7" dataDxfId="5" headerRowBorderDxfId="6" tableBorderDxfId="4" totalsRowBorderDxfId="3">
  <autoFilter ref="Q14:S18"/>
  <tableColumns count="3">
    <tableColumn id="1" name="Наименование статьи затрат" dataDxfId="2"/>
    <tableColumn id="2" name="Расчет" dataDxfId="1">
      <calculatedColumnFormula>M17</calculatedColumnFormula>
    </tableColumn>
    <tableColumn id="3" name="Значение,руб" dataDxfId="0">
      <calculatedColumnFormula>R14*0.2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2:T68"/>
  <sheetViews>
    <sheetView tabSelected="1" topLeftCell="B40" workbookViewId="0">
      <selection activeCell="L50" sqref="L50"/>
    </sheetView>
  </sheetViews>
  <sheetFormatPr defaultRowHeight="18.75" x14ac:dyDescent="0.3"/>
  <cols>
    <col min="1" max="5" width="9.140625" style="2"/>
    <col min="6" max="6" width="8.85546875" style="2" customWidth="1"/>
    <col min="7" max="7" width="14.28515625" style="2" customWidth="1"/>
    <col min="8" max="8" width="3.85546875" style="2" customWidth="1"/>
    <col min="9" max="9" width="18.7109375" style="2" customWidth="1"/>
    <col min="10" max="10" width="11.85546875" style="2" customWidth="1"/>
    <col min="11" max="11" width="17.7109375" style="2" customWidth="1"/>
    <col min="12" max="12" width="14.7109375" style="2" customWidth="1"/>
    <col min="13" max="13" width="19.85546875" style="2" customWidth="1"/>
    <col min="14" max="16" width="9.140625" style="2"/>
    <col min="17" max="17" width="27.5703125" style="2" customWidth="1"/>
    <col min="18" max="18" width="20.28515625" style="2" customWidth="1"/>
    <col min="19" max="19" width="24" style="2" customWidth="1"/>
    <col min="20" max="23" width="9.140625" style="2"/>
    <col min="24" max="24" width="24.5703125" style="2" customWidth="1"/>
    <col min="25" max="25" width="25.85546875" style="2" customWidth="1"/>
    <col min="26" max="26" width="18" style="2" customWidth="1"/>
    <col min="27" max="16384" width="9.140625" style="2"/>
  </cols>
  <sheetData>
    <row r="12" spans="7:19" x14ac:dyDescent="0.3">
      <c r="G12" s="2" t="s">
        <v>14</v>
      </c>
      <c r="I12" s="2" t="s">
        <v>16</v>
      </c>
      <c r="O12" s="2" t="s">
        <v>15</v>
      </c>
      <c r="Q12" s="2" t="s">
        <v>17</v>
      </c>
    </row>
    <row r="14" spans="7:19" ht="21.75" customHeight="1" x14ac:dyDescent="0.3">
      <c r="I14" s="4" t="s">
        <v>8</v>
      </c>
      <c r="J14" s="4" t="s">
        <v>0</v>
      </c>
      <c r="K14" s="4" t="s">
        <v>9</v>
      </c>
      <c r="L14" s="4" t="s">
        <v>10</v>
      </c>
      <c r="M14" s="4" t="s">
        <v>11</v>
      </c>
      <c r="Q14" s="5" t="s">
        <v>18</v>
      </c>
      <c r="R14" s="6" t="s">
        <v>19</v>
      </c>
      <c r="S14" s="7" t="s">
        <v>20</v>
      </c>
    </row>
    <row r="15" spans="7:19" ht="32.25" customHeight="1" x14ac:dyDescent="0.3">
      <c r="I15" s="4" t="s">
        <v>1</v>
      </c>
      <c r="J15" s="8">
        <v>1</v>
      </c>
      <c r="K15" s="8">
        <v>750</v>
      </c>
      <c r="L15" s="9">
        <v>1</v>
      </c>
      <c r="M15" s="9">
        <f>K15</f>
        <v>750</v>
      </c>
      <c r="Q15" s="10" t="s">
        <v>21</v>
      </c>
      <c r="R15" s="11">
        <f>M19</f>
        <v>1924</v>
      </c>
      <c r="S15" s="12">
        <f>Таблица1[[#This Row],[Расчет]]</f>
        <v>1924</v>
      </c>
    </row>
    <row r="16" spans="7:19" x14ac:dyDescent="0.3">
      <c r="I16" s="4" t="s">
        <v>2</v>
      </c>
      <c r="J16" s="8">
        <v>1</v>
      </c>
      <c r="K16" s="8">
        <v>730</v>
      </c>
      <c r="L16" s="9">
        <v>1</v>
      </c>
      <c r="M16" s="9">
        <f>K16</f>
        <v>730</v>
      </c>
      <c r="Q16" s="13" t="s">
        <v>22</v>
      </c>
      <c r="R16" s="11" t="s">
        <v>74</v>
      </c>
      <c r="S16" s="12">
        <f>R15*0.2</f>
        <v>384.8</v>
      </c>
    </row>
    <row r="17" spans="7:20" ht="37.5" x14ac:dyDescent="0.3">
      <c r="I17" s="4" t="s">
        <v>3</v>
      </c>
      <c r="J17" s="8">
        <f>J15+J16</f>
        <v>2</v>
      </c>
      <c r="K17" s="8">
        <f>K15+K16</f>
        <v>1480</v>
      </c>
      <c r="L17" s="9" t="s">
        <v>12</v>
      </c>
      <c r="M17" s="9">
        <f>M15+M16</f>
        <v>1480</v>
      </c>
      <c r="Q17" s="14" t="s">
        <v>24</v>
      </c>
      <c r="R17" s="11" t="s">
        <v>25</v>
      </c>
      <c r="S17" s="12">
        <f>(S15+S16)*T17/100</f>
        <v>798.84480000000008</v>
      </c>
      <c r="T17" s="2">
        <v>34.6</v>
      </c>
    </row>
    <row r="18" spans="7:20" x14ac:dyDescent="0.3">
      <c r="G18" s="2" t="s">
        <v>13</v>
      </c>
      <c r="H18" s="2">
        <v>30</v>
      </c>
      <c r="I18" s="4" t="s">
        <v>4</v>
      </c>
      <c r="J18" s="8" t="s">
        <v>12</v>
      </c>
      <c r="K18" s="8" t="s">
        <v>12</v>
      </c>
      <c r="L18" s="8" t="s">
        <v>12</v>
      </c>
      <c r="M18" s="9">
        <f>M17*H18/100</f>
        <v>444</v>
      </c>
      <c r="Q18" s="15" t="s">
        <v>23</v>
      </c>
      <c r="R18" s="11"/>
      <c r="S18" s="12">
        <f>S15+S16+S17</f>
        <v>3107.6448</v>
      </c>
    </row>
    <row r="19" spans="7:20" x14ac:dyDescent="0.3">
      <c r="I19" s="4" t="s">
        <v>5</v>
      </c>
      <c r="J19" s="8" t="s">
        <v>12</v>
      </c>
      <c r="K19" s="8" t="s">
        <v>12</v>
      </c>
      <c r="L19" s="8" t="s">
        <v>12</v>
      </c>
      <c r="M19" s="9">
        <f>M17+M18</f>
        <v>1924</v>
      </c>
    </row>
    <row r="24" spans="7:20" x14ac:dyDescent="0.3">
      <c r="G24" s="2" t="s">
        <v>26</v>
      </c>
      <c r="O24" t="s">
        <v>33</v>
      </c>
    </row>
    <row r="26" spans="7:20" ht="112.5" x14ac:dyDescent="0.3">
      <c r="I26" s="16" t="s">
        <v>28</v>
      </c>
      <c r="J26" s="16" t="s">
        <v>27</v>
      </c>
      <c r="K26" s="16" t="s">
        <v>29</v>
      </c>
      <c r="L26" s="16" t="s">
        <v>30</v>
      </c>
      <c r="Q26" s="16" t="s">
        <v>35</v>
      </c>
      <c r="R26" s="4" t="s">
        <v>19</v>
      </c>
      <c r="S26" s="4" t="s">
        <v>34</v>
      </c>
    </row>
    <row r="27" spans="7:20" ht="56.25" x14ac:dyDescent="0.3">
      <c r="I27" s="4" t="s">
        <v>2</v>
      </c>
      <c r="J27" s="4">
        <v>10</v>
      </c>
      <c r="K27" s="4">
        <v>37</v>
      </c>
      <c r="L27" s="4">
        <f>K27*J27</f>
        <v>370</v>
      </c>
      <c r="Q27" s="16" t="s">
        <v>36</v>
      </c>
      <c r="R27" s="4">
        <f>L30</f>
        <v>481</v>
      </c>
      <c r="S27" s="4">
        <f>R27</f>
        <v>481</v>
      </c>
    </row>
    <row r="28" spans="7:20" ht="37.5" x14ac:dyDescent="0.3">
      <c r="I28" s="4" t="s">
        <v>3</v>
      </c>
      <c r="J28" s="4"/>
      <c r="K28" s="4"/>
      <c r="L28" s="4">
        <f>L27</f>
        <v>370</v>
      </c>
      <c r="Q28" s="16" t="s">
        <v>38</v>
      </c>
      <c r="R28" s="4" t="s">
        <v>39</v>
      </c>
      <c r="S28" s="4">
        <f>S27*20/100</f>
        <v>96.2</v>
      </c>
    </row>
    <row r="29" spans="7:20" ht="37.5" x14ac:dyDescent="0.3">
      <c r="G29" s="2" t="s">
        <v>13</v>
      </c>
      <c r="H29" s="2">
        <v>30</v>
      </c>
      <c r="I29" s="4" t="s">
        <v>4</v>
      </c>
      <c r="J29" s="4"/>
      <c r="K29" s="4"/>
      <c r="L29" s="4">
        <f>L28*H29/100</f>
        <v>111</v>
      </c>
      <c r="Q29" s="16" t="s">
        <v>37</v>
      </c>
      <c r="R29" s="4" t="s">
        <v>40</v>
      </c>
      <c r="S29" s="4">
        <f>(S27+S28)*T17/100</f>
        <v>199.71120000000002</v>
      </c>
    </row>
    <row r="30" spans="7:20" ht="56.25" x14ac:dyDescent="0.3">
      <c r="I30" s="16" t="s">
        <v>32</v>
      </c>
      <c r="J30" s="4"/>
      <c r="K30" s="4"/>
      <c r="L30" s="4">
        <f>L28+L29</f>
        <v>481</v>
      </c>
      <c r="Q30" s="4" t="s">
        <v>3</v>
      </c>
      <c r="R30" s="4"/>
      <c r="S30" s="4">
        <f>S27+S29+S28</f>
        <v>776.91120000000001</v>
      </c>
    </row>
    <row r="34" spans="7:19" x14ac:dyDescent="0.3">
      <c r="G34" t="s">
        <v>41</v>
      </c>
      <c r="I34" t="s">
        <v>59</v>
      </c>
      <c r="P34" t="s">
        <v>42</v>
      </c>
      <c r="Q34" s="17" t="s">
        <v>43</v>
      </c>
    </row>
    <row r="36" spans="7:19" x14ac:dyDescent="0.3">
      <c r="I36" s="2">
        <v>255.36</v>
      </c>
      <c r="Q36" s="2">
        <v>19.5</v>
      </c>
    </row>
    <row r="39" spans="7:19" x14ac:dyDescent="0.3">
      <c r="G39" s="2" t="s">
        <v>44</v>
      </c>
      <c r="I39" t="s">
        <v>45</v>
      </c>
      <c r="P39" t="s">
        <v>53</v>
      </c>
    </row>
    <row r="41" spans="7:19" ht="60.75" x14ac:dyDescent="0.3">
      <c r="I41" s="4" t="s">
        <v>6</v>
      </c>
      <c r="J41" s="3" t="s">
        <v>46</v>
      </c>
      <c r="K41" s="1" t="s">
        <v>7</v>
      </c>
      <c r="L41" s="3" t="s">
        <v>47</v>
      </c>
      <c r="M41" s="3" t="s">
        <v>48</v>
      </c>
      <c r="Q41" s="16" t="s">
        <v>35</v>
      </c>
      <c r="R41" s="4" t="s">
        <v>19</v>
      </c>
      <c r="S41" s="4" t="s">
        <v>34</v>
      </c>
    </row>
    <row r="42" spans="7:19" ht="45.75" x14ac:dyDescent="0.3">
      <c r="I42" s="3" t="s">
        <v>49</v>
      </c>
      <c r="J42" s="8">
        <v>1</v>
      </c>
      <c r="K42" s="8">
        <v>0.3</v>
      </c>
      <c r="L42" s="8">
        <v>510</v>
      </c>
      <c r="M42" s="8">
        <f>L42*K42</f>
        <v>153</v>
      </c>
      <c r="Q42" s="1" t="s">
        <v>54</v>
      </c>
      <c r="R42" s="4"/>
      <c r="S42" s="4">
        <f>I36</f>
        <v>255.36</v>
      </c>
    </row>
    <row r="43" spans="7:19" ht="45.75" x14ac:dyDescent="0.3">
      <c r="I43" s="3" t="s">
        <v>50</v>
      </c>
      <c r="J43" s="8">
        <v>3</v>
      </c>
      <c r="K43" s="8">
        <v>0.3</v>
      </c>
      <c r="L43" s="8">
        <v>480</v>
      </c>
      <c r="M43" s="8">
        <f>L43*K43*J43</f>
        <v>432</v>
      </c>
      <c r="Q43" s="4" t="s">
        <v>55</v>
      </c>
      <c r="R43" s="4"/>
      <c r="S43" s="4">
        <f>Q36</f>
        <v>19.5</v>
      </c>
    </row>
    <row r="44" spans="7:19" x14ac:dyDescent="0.3">
      <c r="I44" s="1" t="s">
        <v>3</v>
      </c>
      <c r="J44" s="8">
        <f>J42+J43</f>
        <v>4</v>
      </c>
      <c r="K44" s="8" t="s">
        <v>12</v>
      </c>
      <c r="L44" s="8">
        <f>L42+L43</f>
        <v>990</v>
      </c>
      <c r="M44" s="8">
        <f>M43+M42</f>
        <v>585</v>
      </c>
      <c r="Q44" s="1" t="s">
        <v>56</v>
      </c>
      <c r="R44" s="4"/>
      <c r="S44" s="4">
        <f>M46</f>
        <v>702</v>
      </c>
    </row>
    <row r="45" spans="7:19" x14ac:dyDescent="0.3">
      <c r="G45" s="2" t="s">
        <v>52</v>
      </c>
      <c r="H45" s="2">
        <v>20</v>
      </c>
      <c r="I45" s="1" t="s">
        <v>51</v>
      </c>
      <c r="J45" s="8"/>
      <c r="K45" s="8"/>
      <c r="L45" s="8"/>
      <c r="M45" s="8">
        <f>M44*H45/100</f>
        <v>117</v>
      </c>
      <c r="Q45" s="1" t="s">
        <v>57</v>
      </c>
      <c r="R45" s="4"/>
      <c r="S45" s="4">
        <f>S44*20/100</f>
        <v>140.4</v>
      </c>
    </row>
    <row r="46" spans="7:19" x14ac:dyDescent="0.3">
      <c r="I46" s="1" t="s">
        <v>31</v>
      </c>
      <c r="J46" s="4"/>
      <c r="K46" s="8"/>
      <c r="L46" s="8"/>
      <c r="M46" s="8">
        <f>M44+M45</f>
        <v>702</v>
      </c>
      <c r="Q46" s="1" t="s">
        <v>58</v>
      </c>
      <c r="R46" s="4"/>
      <c r="S46" s="4">
        <f>(S44+S45)*T17/100</f>
        <v>291.47039999999998</v>
      </c>
    </row>
    <row r="47" spans="7:19" x14ac:dyDescent="0.3">
      <c r="Q47" s="1" t="s">
        <v>3</v>
      </c>
      <c r="R47" s="4"/>
      <c r="S47" s="4">
        <f>S42+S43+S44+S45+S46</f>
        <v>1408.7303999999999</v>
      </c>
    </row>
    <row r="51" spans="7:11" ht="48.75" customHeight="1" x14ac:dyDescent="0.3">
      <c r="G51" s="2" t="s">
        <v>60</v>
      </c>
      <c r="I51" t="s">
        <v>61</v>
      </c>
    </row>
    <row r="53" spans="7:11" ht="37.5" x14ac:dyDescent="0.3">
      <c r="I53" s="16" t="s">
        <v>35</v>
      </c>
      <c r="J53" s="4" t="s">
        <v>19</v>
      </c>
      <c r="K53" s="4" t="s">
        <v>34</v>
      </c>
    </row>
    <row r="54" spans="7:11" ht="60.75" x14ac:dyDescent="0.3">
      <c r="I54" s="3" t="s">
        <v>62</v>
      </c>
      <c r="J54" s="4"/>
      <c r="K54" s="4">
        <f>S18</f>
        <v>3107.6448</v>
      </c>
    </row>
    <row r="55" spans="7:11" ht="105.75" x14ac:dyDescent="0.3">
      <c r="I55" s="3" t="s">
        <v>63</v>
      </c>
      <c r="J55" s="4"/>
      <c r="K55" s="4">
        <f>S30</f>
        <v>776.91120000000001</v>
      </c>
    </row>
    <row r="56" spans="7:11" ht="45.75" x14ac:dyDescent="0.3">
      <c r="I56" s="3" t="s">
        <v>64</v>
      </c>
      <c r="J56" s="4"/>
      <c r="K56" s="4">
        <f>S47</f>
        <v>1408.7303999999999</v>
      </c>
    </row>
    <row r="57" spans="7:11" x14ac:dyDescent="0.3">
      <c r="I57" s="1" t="s">
        <v>3</v>
      </c>
      <c r="J57" s="4"/>
      <c r="K57" s="4">
        <f>K54+K55+K56</f>
        <v>5293.2864</v>
      </c>
    </row>
    <row r="58" spans="7:11" x14ac:dyDescent="0.3">
      <c r="H58" s="2">
        <v>50</v>
      </c>
      <c r="I58" s="1" t="s">
        <v>73</v>
      </c>
      <c r="J58" s="4"/>
      <c r="K58" s="4">
        <f>K57*H58/100</f>
        <v>2646.6432</v>
      </c>
    </row>
    <row r="59" spans="7:11" x14ac:dyDescent="0.3">
      <c r="I59" s="1" t="s">
        <v>65</v>
      </c>
      <c r="J59" s="4"/>
      <c r="K59" s="4">
        <f>K57+K58</f>
        <v>7939.9295999999995</v>
      </c>
    </row>
    <row r="60" spans="7:11" x14ac:dyDescent="0.3">
      <c r="H60" s="2">
        <v>50</v>
      </c>
      <c r="I60" s="1" t="s">
        <v>72</v>
      </c>
      <c r="J60" s="4"/>
      <c r="K60" s="4">
        <f>K59*H60/100</f>
        <v>3969.9647999999997</v>
      </c>
    </row>
    <row r="61" spans="7:11" x14ac:dyDescent="0.3">
      <c r="I61" s="1" t="s">
        <v>66</v>
      </c>
      <c r="J61" s="4"/>
      <c r="K61" s="4">
        <f>K59+K60</f>
        <v>11909.894399999999</v>
      </c>
    </row>
    <row r="62" spans="7:11" ht="45.75" x14ac:dyDescent="0.3">
      <c r="H62" s="2">
        <v>20</v>
      </c>
      <c r="I62" s="3" t="s">
        <v>68</v>
      </c>
      <c r="J62" s="4"/>
      <c r="K62" s="4">
        <f>K61*H62/100</f>
        <v>2381.9788799999997</v>
      </c>
    </row>
    <row r="63" spans="7:11" x14ac:dyDescent="0.3">
      <c r="I63" s="1" t="s">
        <v>67</v>
      </c>
      <c r="J63" s="4"/>
      <c r="K63" s="4">
        <f>K61+K62</f>
        <v>14291.87328</v>
      </c>
    </row>
    <row r="66" spans="9:11" x14ac:dyDescent="0.3">
      <c r="I66" s="2" t="s">
        <v>69</v>
      </c>
      <c r="K66" s="2">
        <f>K60-K60*J67/100</f>
        <v>3255.3711359999998</v>
      </c>
    </row>
    <row r="67" spans="9:11" x14ac:dyDescent="0.3">
      <c r="I67" s="2" t="s">
        <v>70</v>
      </c>
      <c r="J67" s="2">
        <v>18</v>
      </c>
    </row>
    <row r="68" spans="9:11" x14ac:dyDescent="0.3">
      <c r="I68" s="2" t="s">
        <v>71</v>
      </c>
      <c r="K68" s="2">
        <f>(K66/K59)*100</f>
        <v>41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2018-04-30T23:10:24Z</dcterms:created>
  <dcterms:modified xsi:type="dcterms:W3CDTF">2018-05-10T22:50:00Z</dcterms:modified>
</cp:coreProperties>
</file>