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Josh\Documents\MATLAB\Wine_Bottle_Holder\"/>
    </mc:Choice>
  </mc:AlternateContent>
  <bookViews>
    <workbookView xWindow="0" yWindow="0" windowWidth="20490" windowHeight="7740" tabRatio="636"/>
  </bookViews>
  <sheets>
    <sheet name="1-Bottle Computations" sheetId="1" r:id="rId1"/>
    <sheet name="2-Bottle Computations" sheetId="5" r:id="rId2"/>
    <sheet name="1-Bottle Schematics" sheetId="4" r:id="rId3"/>
    <sheet name="2-Bottle Schematics" sheetId="6" r:id="rId4"/>
    <sheet name="Lists" sheetId="3" r:id="rId5"/>
  </sheets>
  <definedNames>
    <definedName name="TableWoodType">TableWood[#All]</definedName>
    <definedName name="WoodType">TableWood[Wood]</definedName>
  </definedNames>
  <calcPr calcId="152511" iterate="1" iterateCount="25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8" i="1" l="1"/>
  <c r="P20" i="5"/>
  <c r="P19" i="5"/>
  <c r="I27" i="5"/>
  <c r="K27" i="5" s="1"/>
  <c r="K26" i="5"/>
  <c r="I26" i="5"/>
  <c r="P18" i="5"/>
  <c r="P17" i="5"/>
  <c r="I22" i="1" l="1"/>
  <c r="J6" i="5" l="1"/>
  <c r="C12" i="1" l="1"/>
  <c r="C11" i="1"/>
  <c r="P12" i="1" l="1"/>
  <c r="P11" i="1"/>
  <c r="P13" i="5"/>
  <c r="P12" i="5"/>
  <c r="P11" i="5"/>
  <c r="J3" i="5" l="1"/>
  <c r="J4" i="5" s="1"/>
  <c r="K24" i="5"/>
  <c r="K10" i="5"/>
  <c r="I11" i="5"/>
  <c r="I10" i="5"/>
  <c r="C38" i="5"/>
  <c r="C36" i="5"/>
  <c r="E34" i="5"/>
  <c r="E33" i="5"/>
  <c r="I19" i="5" s="1"/>
  <c r="K19" i="5" s="1"/>
  <c r="C29" i="5"/>
  <c r="E29" i="5" s="1"/>
  <c r="C28" i="5"/>
  <c r="E28" i="5" s="1"/>
  <c r="C27" i="5"/>
  <c r="E27" i="5" s="1"/>
  <c r="C26" i="5"/>
  <c r="E26" i="5" s="1"/>
  <c r="E23" i="5"/>
  <c r="E22" i="5"/>
  <c r="E21" i="5"/>
  <c r="E20" i="5"/>
  <c r="E19" i="5"/>
  <c r="E18" i="5"/>
  <c r="C14" i="5"/>
  <c r="E14" i="5" s="1"/>
  <c r="C13" i="5"/>
  <c r="E13" i="5" s="1"/>
  <c r="E12" i="5"/>
  <c r="C12" i="5"/>
  <c r="C11" i="5"/>
  <c r="E11" i="5" s="1"/>
  <c r="E8" i="5"/>
  <c r="E7" i="5"/>
  <c r="E6" i="5"/>
  <c r="E5" i="5"/>
  <c r="E4" i="5"/>
  <c r="E3" i="5"/>
  <c r="I12" i="5" l="1"/>
  <c r="K12" i="5" s="1"/>
  <c r="I15" i="5"/>
  <c r="K15" i="5" s="1"/>
  <c r="P16" i="5" s="1"/>
  <c r="K11" i="5"/>
  <c r="J5" i="5"/>
  <c r="J6" i="1"/>
  <c r="C14" i="1"/>
  <c r="E14" i="1" s="1"/>
  <c r="C23" i="1"/>
  <c r="P13" i="1" l="1"/>
  <c r="I23" i="1"/>
  <c r="K23" i="1" s="1"/>
  <c r="P19" i="1" s="1"/>
  <c r="E19" i="1"/>
  <c r="E18" i="1"/>
  <c r="J3" i="1" s="1"/>
  <c r="C21" i="1"/>
  <c r="C13" i="1"/>
  <c r="E13" i="1" s="1"/>
  <c r="E12" i="1"/>
  <c r="E11" i="1"/>
  <c r="E7" i="1"/>
  <c r="E6" i="1"/>
  <c r="E5" i="1"/>
  <c r="I17" i="1" s="1"/>
  <c r="E4" i="1"/>
  <c r="E8" i="1"/>
  <c r="E3" i="1"/>
  <c r="I18" i="1" l="1"/>
  <c r="K18" i="1" s="1"/>
  <c r="K17" i="1"/>
  <c r="J4" i="1"/>
  <c r="J5" i="1" s="1"/>
  <c r="K22" i="1"/>
  <c r="I21" i="1" l="1"/>
  <c r="K21" i="1" s="1"/>
  <c r="I9" i="1" l="1"/>
  <c r="K9" i="1"/>
  <c r="I10" i="1"/>
  <c r="K10" i="1"/>
  <c r="P10" i="1"/>
  <c r="I11" i="1"/>
  <c r="K11" i="1"/>
  <c r="I12" i="1"/>
  <c r="K12" i="1"/>
  <c r="I13" i="1"/>
  <c r="K13" i="1"/>
  <c r="I14" i="1"/>
  <c r="K14" i="1"/>
  <c r="I15" i="1"/>
  <c r="K15" i="1"/>
  <c r="P15" i="1"/>
  <c r="I16" i="1"/>
  <c r="K16" i="1"/>
  <c r="P16" i="1"/>
  <c r="P17" i="1"/>
  <c r="I19" i="1"/>
  <c r="K19" i="1"/>
  <c r="I20" i="1"/>
  <c r="K20" i="1"/>
  <c r="I9" i="5"/>
  <c r="K9" i="5"/>
  <c r="P10" i="5"/>
  <c r="I13" i="5"/>
  <c r="K13" i="5"/>
  <c r="I14" i="5"/>
  <c r="K14" i="5"/>
  <c r="P15" i="5"/>
  <c r="I16" i="5"/>
  <c r="K16" i="5"/>
  <c r="I17" i="5"/>
  <c r="K17" i="5"/>
  <c r="I18" i="5"/>
  <c r="K18" i="5"/>
  <c r="I20" i="5"/>
  <c r="K20" i="5"/>
  <c r="I21" i="5"/>
  <c r="K21" i="5"/>
  <c r="I22" i="5"/>
  <c r="K22" i="5"/>
  <c r="I23" i="5"/>
  <c r="K23" i="5"/>
  <c r="I25" i="5"/>
  <c r="K25" i="5"/>
</calcChain>
</file>

<file path=xl/sharedStrings.xml><?xml version="1.0" encoding="utf-8"?>
<sst xmlns="http://schemas.openxmlformats.org/spreadsheetml/2006/main" count="422" uniqueCount="153">
  <si>
    <t>Height</t>
  </si>
  <si>
    <t>Parameter</t>
  </si>
  <si>
    <t>Variable Name</t>
  </si>
  <si>
    <t>Value</t>
  </si>
  <si>
    <t>bHeight</t>
  </si>
  <si>
    <t>Body Length</t>
  </si>
  <si>
    <t>bLBody</t>
  </si>
  <si>
    <t>Neck Diameter</t>
  </si>
  <si>
    <t>bDNeck</t>
  </si>
  <si>
    <t>Neck Length</t>
  </si>
  <si>
    <t>bLNeck</t>
  </si>
  <si>
    <t>Base Diameter</t>
  </si>
  <si>
    <t>bDBase</t>
  </si>
  <si>
    <t>CG from Base</t>
  </si>
  <si>
    <t>bLcg</t>
  </si>
  <si>
    <t>Wine Density</t>
  </si>
  <si>
    <t>bRho</t>
  </si>
  <si>
    <t>kg/L</t>
  </si>
  <si>
    <t>Wine Volume</t>
  </si>
  <si>
    <t>bV</t>
  </si>
  <si>
    <t>L</t>
  </si>
  <si>
    <t>Wood</t>
  </si>
  <si>
    <t>Shoulder Width</t>
  </si>
  <si>
    <t>bWShol</t>
  </si>
  <si>
    <t>Shoulder Height</t>
  </si>
  <si>
    <t>bHShol</t>
  </si>
  <si>
    <t>Neck to CG</t>
  </si>
  <si>
    <t>bNeckToCG</t>
  </si>
  <si>
    <t>m</t>
  </si>
  <si>
    <t>in</t>
  </si>
  <si>
    <t>bLPivot</t>
  </si>
  <si>
    <t>Wood Thickness</t>
  </si>
  <si>
    <t>wT</t>
  </si>
  <si>
    <t>Wood Width</t>
  </si>
  <si>
    <t>wW</t>
  </si>
  <si>
    <t>Table Angle</t>
  </si>
  <si>
    <t>theta</t>
  </si>
  <si>
    <t>deg</t>
  </si>
  <si>
    <t>Table Angle Comp.</t>
  </si>
  <si>
    <t>del</t>
  </si>
  <si>
    <t>Add Percentage</t>
  </si>
  <si>
    <t>pctLAdd</t>
  </si>
  <si>
    <t>%</t>
  </si>
  <si>
    <t>Maple</t>
  </si>
  <si>
    <t>Cherry</t>
  </si>
  <si>
    <t>Pallet</t>
  </si>
  <si>
    <t>Density</t>
  </si>
  <si>
    <t>Units</t>
  </si>
  <si>
    <r>
      <t>kg/m</t>
    </r>
    <r>
      <rPr>
        <vertAlign val="superscript"/>
        <sz val="11"/>
        <color theme="1"/>
        <rFont val="Calibri"/>
        <family val="2"/>
        <scheme val="minor"/>
      </rPr>
      <t>3</t>
    </r>
  </si>
  <si>
    <t>Wood Type</t>
  </si>
  <si>
    <t>minAngle</t>
  </si>
  <si>
    <t>minAngle1</t>
  </si>
  <si>
    <t>actualT</t>
  </si>
  <si>
    <t>Initial Min Angle</t>
  </si>
  <si>
    <t>Actual Thickness</t>
  </si>
  <si>
    <t>Min Angle</t>
  </si>
  <si>
    <t>WINE BOTTLE</t>
  </si>
  <si>
    <t>WOOD</t>
  </si>
  <si>
    <t>MINIMUM ANGLE CALCULATION</t>
  </si>
  <si>
    <t>ITERATIVE SOLVER</t>
  </si>
  <si>
    <t>bLPivotOld</t>
  </si>
  <si>
    <t>wLHole</t>
  </si>
  <si>
    <t>wL</t>
  </si>
  <si>
    <t>wL1</t>
  </si>
  <si>
    <t>wL2</t>
  </si>
  <si>
    <t>bWeight</t>
  </si>
  <si>
    <t>N</t>
  </si>
  <si>
    <t>lbf</t>
  </si>
  <si>
    <t>wWeight</t>
  </si>
  <si>
    <t>wLPivot</t>
  </si>
  <si>
    <t>Bottle Weight</t>
  </si>
  <si>
    <t>[flag]</t>
  </si>
  <si>
    <t>Use Angle</t>
  </si>
  <si>
    <t>useAngle</t>
  </si>
  <si>
    <t>KEY</t>
  </si>
  <si>
    <t>Input</t>
  </si>
  <si>
    <t>Result</t>
  </si>
  <si>
    <t>Calculated</t>
  </si>
  <si>
    <t>WINE BOTTLE 1</t>
  </si>
  <si>
    <t>WINE BOTTLE 2</t>
  </si>
  <si>
    <t>xSepCG</t>
  </si>
  <si>
    <t>minSep</t>
  </si>
  <si>
    <t>b1Height</t>
  </si>
  <si>
    <t>b1LBody</t>
  </si>
  <si>
    <t>b1DNeck</t>
  </si>
  <si>
    <t>b1LNeck</t>
  </si>
  <si>
    <t>b1DBase</t>
  </si>
  <si>
    <t>b1Lcg</t>
  </si>
  <si>
    <t>b1Rho</t>
  </si>
  <si>
    <t>b1V</t>
  </si>
  <si>
    <t>b1WShol</t>
  </si>
  <si>
    <t>b1HShol</t>
  </si>
  <si>
    <t>b1NeckToCG</t>
  </si>
  <si>
    <t>b1Weight</t>
  </si>
  <si>
    <t>b2Height</t>
  </si>
  <si>
    <t>b2LBody</t>
  </si>
  <si>
    <t>b2DNeck</t>
  </si>
  <si>
    <t>b2LNeck</t>
  </si>
  <si>
    <t>b2DBase</t>
  </si>
  <si>
    <t>b2Lcg</t>
  </si>
  <si>
    <t>b2Rho</t>
  </si>
  <si>
    <t>b2V</t>
  </si>
  <si>
    <t>b2WShol</t>
  </si>
  <si>
    <t>b2HShol</t>
  </si>
  <si>
    <t>b2NeckToCG</t>
  </si>
  <si>
    <t>b2Weight</t>
  </si>
  <si>
    <t>minSep1</t>
  </si>
  <si>
    <t>b1LPivotOld</t>
  </si>
  <si>
    <t>b2LPivotOld</t>
  </si>
  <si>
    <t>wL1Hole</t>
  </si>
  <si>
    <t>wL2Hole</t>
  </si>
  <si>
    <t>wLTot1</t>
  </si>
  <si>
    <t>wLTot2</t>
  </si>
  <si>
    <t>wLTadd</t>
  </si>
  <si>
    <t>wLTot</t>
  </si>
  <si>
    <t>sumM</t>
  </si>
  <si>
    <r>
      <t>N</t>
    </r>
    <r>
      <rPr>
        <sz val="11"/>
        <color theme="1"/>
        <rFont val="Calibri"/>
        <family val="2"/>
      </rPr>
      <t>·</t>
    </r>
    <r>
      <rPr>
        <sz val="11"/>
        <color theme="1"/>
        <rFont val="Calibri"/>
        <family val="2"/>
        <scheme val="minor"/>
      </rPr>
      <t>m</t>
    </r>
  </si>
  <si>
    <t>adjustM</t>
  </si>
  <si>
    <t>bL1Pivot</t>
  </si>
  <si>
    <t>lbf·in</t>
  </si>
  <si>
    <t>Hole</t>
  </si>
  <si>
    <t>bDNeckSkew</t>
  </si>
  <si>
    <t>holeShift</t>
  </si>
  <si>
    <t>wLHole_Top</t>
  </si>
  <si>
    <t>wLHole_Bot</t>
  </si>
  <si>
    <t>holeDiam</t>
  </si>
  <si>
    <t>Length (wLTot)</t>
  </si>
  <si>
    <t>Thickness (wT)</t>
  </si>
  <si>
    <t>Width (wW)</t>
  </si>
  <si>
    <t>Angle (theta)</t>
  </si>
  <si>
    <t>Center Hole 1 (wL1Hole)</t>
  </si>
  <si>
    <t>Center Hole 2 (wL2Hole)</t>
  </si>
  <si>
    <t>Length (wL)</t>
  </si>
  <si>
    <t>Center Hole (wLHole)</t>
  </si>
  <si>
    <t>SOLUTIONS [inches/degrees]</t>
  </si>
  <si>
    <t>Use Min Angle [1=Y, 0=N]</t>
  </si>
  <si>
    <t>Adjusted Top Hole Length</t>
  </si>
  <si>
    <t>Adjusted Bot Hole Length</t>
  </si>
  <si>
    <t>Minimum Hole Diameter</t>
  </si>
  <si>
    <t>minHoleD</t>
  </si>
  <si>
    <t>Minimum Hole 2 Diameter</t>
  </si>
  <si>
    <t>Minimum Hole 1 Diameter</t>
  </si>
  <si>
    <t>Lowes Maple</t>
  </si>
  <si>
    <t>Maximum Hole Diameter</t>
  </si>
  <si>
    <t>maxHoleD</t>
  </si>
  <si>
    <t>Maximum hole diameter : Bottle lies parallel to table</t>
  </si>
  <si>
    <t>Minimum hole diameter  : Bottle lies perpendicular to wood board</t>
  </si>
  <si>
    <t>Maximum Hole 1 Diameter</t>
  </si>
  <si>
    <t>Maximum Hole 2 Diameter</t>
  </si>
  <si>
    <t>maxHoleD1</t>
  </si>
  <si>
    <t>maxHoleD2</t>
  </si>
  <si>
    <t>-</t>
  </si>
  <si>
    <t>(holeD) must be between min and max hole diameter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</si>
</sst>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"/>
    <numFmt numFmtId="165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7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4" borderId="0" xfId="0" applyFont="1" applyFill="1" applyBorder="1" applyAlignment="1">
      <alignment horizontal="center"/>
    </xf>
    <xf numFmtId="0" fontId="1" fillId="0" borderId="3" xfId="0" applyFont="1" applyBorder="1"/>
    <xf numFmtId="0" fontId="1" fillId="0" borderId="5" xfId="0" applyFont="1" applyBorder="1"/>
    <xf numFmtId="0" fontId="2" fillId="4" borderId="0" xfId="0" applyFont="1" applyFill="1" applyBorder="1" applyAlignment="1">
      <alignment horizontal="center"/>
    </xf>
    <xf numFmtId="0" fontId="0" fillId="2" borderId="11" xfId="0" applyFill="1" applyBorder="1"/>
    <xf numFmtId="0" fontId="1" fillId="0" borderId="8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3" borderId="1" xfId="0" applyFill="1" applyBorder="1"/>
    <xf numFmtId="0" fontId="0" fillId="4" borderId="1" xfId="0" applyFill="1" applyBorder="1"/>
    <xf numFmtId="0" fontId="0" fillId="4" borderId="0" xfId="0" applyFill="1" applyBorder="1" applyAlignment="1">
      <alignment horizontal="center"/>
    </xf>
    <xf numFmtId="164" fontId="2" fillId="3" borderId="0" xfId="0" applyNumberFormat="1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2" fontId="2" fillId="4" borderId="4" xfId="0" applyNumberFormat="1" applyFont="1" applyFill="1" applyBorder="1" applyAlignment="1">
      <alignment horizontal="center"/>
    </xf>
    <xf numFmtId="165" fontId="2" fillId="4" borderId="4" xfId="0" applyNumberFormat="1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0" borderId="13" xfId="0" applyBorder="1" applyAlignment="1">
      <alignment horizontal="center"/>
    </xf>
    <xf numFmtId="2" fontId="2" fillId="4" borderId="13" xfId="0" applyNumberFormat="1" applyFont="1" applyFill="1" applyBorder="1" applyAlignment="1">
      <alignment horizontal="center"/>
    </xf>
    <xf numFmtId="165" fontId="2" fillId="4" borderId="7" xfId="0" applyNumberFormat="1" applyFont="1" applyFill="1" applyBorder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164" fontId="2" fillId="3" borderId="12" xfId="0" applyNumberFormat="1" applyFont="1" applyFill="1" applyBorder="1" applyAlignment="1">
      <alignment horizontal="center"/>
    </xf>
    <xf numFmtId="164" fontId="2" fillId="3" borderId="6" xfId="0" applyNumberFormat="1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2" fontId="2" fillId="4" borderId="7" xfId="0" applyNumberFormat="1" applyFont="1" applyFill="1" applyBorder="1" applyAlignment="1">
      <alignment horizontal="center"/>
    </xf>
    <xf numFmtId="0" fontId="0" fillId="0" borderId="0" xfId="0" quotePrefix="1" applyBorder="1" applyAlignment="1">
      <alignment horizontal="center"/>
    </xf>
    <xf numFmtId="0" fontId="0" fillId="0" borderId="4" xfId="0" quotePrefix="1" applyBorder="1" applyAlignment="1">
      <alignment horizontal="center"/>
    </xf>
    <xf numFmtId="0" fontId="0" fillId="0" borderId="6" xfId="0" quotePrefix="1" applyBorder="1" applyAlignment="1">
      <alignment horizontal="center"/>
    </xf>
    <xf numFmtId="0" fontId="0" fillId="0" borderId="7" xfId="0" quotePrefix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6" borderId="10" xfId="0" applyFont="1" applyFill="1" applyBorder="1" applyAlignment="1">
      <alignment horizontal="center"/>
    </xf>
    <xf numFmtId="0" fontId="1" fillId="5" borderId="8" xfId="0" applyFont="1" applyFill="1" applyBorder="1" applyAlignment="1">
      <alignment horizontal="center"/>
    </xf>
    <xf numFmtId="0" fontId="1" fillId="5" borderId="9" xfId="0" applyFont="1" applyFill="1" applyBorder="1" applyAlignment="1">
      <alignment horizontal="center"/>
    </xf>
    <xf numFmtId="0" fontId="1" fillId="5" borderId="10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5" borderId="12" xfId="0" applyFont="1" applyFill="1" applyBorder="1" applyAlignment="1">
      <alignment horizontal="center"/>
    </xf>
    <xf numFmtId="0" fontId="1" fillId="5" borderId="13" xfId="0" applyFont="1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2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</cellXfs>
  <cellStyles count="1">
    <cellStyle name="Normal" xfId="0" builtinId="0"/>
  </cellStyles>
  <dxfs count="8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561975</xdr:colOff>
      <xdr:row>2</xdr:row>
      <xdr:rowOff>9525</xdr:rowOff>
    </xdr:from>
    <xdr:to>
      <xdr:col>4</xdr:col>
      <xdr:colOff>19050</xdr:colOff>
      <xdr:row>16</xdr:row>
      <xdr:rowOff>161925</xdr:rowOff>
    </xdr:to>
    <xdr:sp macro="" textlink="">
      <xdr:nvSpPr>
        <xdr:cNvPr id="2" name="Rectangle 1"/>
        <xdr:cNvSpPr/>
      </xdr:nvSpPr>
      <xdr:spPr>
        <a:xfrm>
          <a:off x="1171575" y="771525"/>
          <a:ext cx="1285875" cy="2819400"/>
        </a:xfrm>
        <a:prstGeom prst="rect">
          <a:avLst/>
        </a:prstGeom>
        <a:ln w="285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361950</xdr:colOff>
      <xdr:row>5</xdr:row>
      <xdr:rowOff>0</xdr:rowOff>
    </xdr:from>
    <xdr:to>
      <xdr:col>3</xdr:col>
      <xdr:colOff>209550</xdr:colOff>
      <xdr:row>7</xdr:row>
      <xdr:rowOff>76200</xdr:rowOff>
    </xdr:to>
    <xdr:sp macro="" textlink="">
      <xdr:nvSpPr>
        <xdr:cNvPr id="3" name="Oval 2"/>
        <xdr:cNvSpPr/>
      </xdr:nvSpPr>
      <xdr:spPr>
        <a:xfrm>
          <a:off x="1581150" y="1333500"/>
          <a:ext cx="457200" cy="457200"/>
        </a:xfrm>
        <a:prstGeom prst="ellipse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304800</xdr:colOff>
      <xdr:row>2</xdr:row>
      <xdr:rowOff>57150</xdr:rowOff>
    </xdr:from>
    <xdr:to>
      <xdr:col>6</xdr:col>
      <xdr:colOff>304800</xdr:colOff>
      <xdr:row>16</xdr:row>
      <xdr:rowOff>114300</xdr:rowOff>
    </xdr:to>
    <xdr:cxnSp macro="">
      <xdr:nvCxnSpPr>
        <xdr:cNvPr id="5" name="Straight Arrow Connector 4"/>
        <xdr:cNvCxnSpPr/>
      </xdr:nvCxnSpPr>
      <xdr:spPr>
        <a:xfrm>
          <a:off x="3962400" y="819150"/>
          <a:ext cx="0" cy="2724150"/>
        </a:xfrm>
        <a:prstGeom prst="straightConnector1">
          <a:avLst/>
        </a:prstGeom>
        <a:ln w="19050">
          <a:solidFill>
            <a:srgbClr val="FF0000"/>
          </a:solidFill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104775</xdr:colOff>
      <xdr:row>2</xdr:row>
      <xdr:rowOff>19050</xdr:rowOff>
    </xdr:from>
    <xdr:to>
      <xdr:col>6</xdr:col>
      <xdr:colOff>371475</xdr:colOff>
      <xdr:row>2</xdr:row>
      <xdr:rowOff>19050</xdr:rowOff>
    </xdr:to>
    <xdr:cxnSp macro="">
      <xdr:nvCxnSpPr>
        <xdr:cNvPr id="8" name="Straight Connector 7"/>
        <xdr:cNvCxnSpPr/>
      </xdr:nvCxnSpPr>
      <xdr:spPr>
        <a:xfrm>
          <a:off x="2543175" y="781050"/>
          <a:ext cx="1485900" cy="0"/>
        </a:xfrm>
        <a:prstGeom prst="line">
          <a:avLst/>
        </a:prstGeom>
        <a:ln w="28575">
          <a:solidFill>
            <a:srgbClr val="FF0000"/>
          </a:solidFill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85725</xdr:colOff>
      <xdr:row>16</xdr:row>
      <xdr:rowOff>152400</xdr:rowOff>
    </xdr:from>
    <xdr:to>
      <xdr:col>6</xdr:col>
      <xdr:colOff>361950</xdr:colOff>
      <xdr:row>16</xdr:row>
      <xdr:rowOff>152400</xdr:rowOff>
    </xdr:to>
    <xdr:cxnSp macro="">
      <xdr:nvCxnSpPr>
        <xdr:cNvPr id="9" name="Straight Connector 8"/>
        <xdr:cNvCxnSpPr/>
      </xdr:nvCxnSpPr>
      <xdr:spPr>
        <a:xfrm>
          <a:off x="2524125" y="3581400"/>
          <a:ext cx="1495425" cy="0"/>
        </a:xfrm>
        <a:prstGeom prst="line">
          <a:avLst/>
        </a:prstGeom>
        <a:ln w="28575">
          <a:solidFill>
            <a:srgbClr val="FF0000"/>
          </a:solidFill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581025</xdr:colOff>
      <xdr:row>6</xdr:row>
      <xdr:rowOff>38100</xdr:rowOff>
    </xdr:from>
    <xdr:to>
      <xdr:col>4</xdr:col>
      <xdr:colOff>495300</xdr:colOff>
      <xdr:row>6</xdr:row>
      <xdr:rowOff>38100</xdr:rowOff>
    </xdr:to>
    <xdr:cxnSp macro="">
      <xdr:nvCxnSpPr>
        <xdr:cNvPr id="12" name="Straight Connector 11"/>
        <xdr:cNvCxnSpPr/>
      </xdr:nvCxnSpPr>
      <xdr:spPr>
        <a:xfrm>
          <a:off x="1800225" y="1562100"/>
          <a:ext cx="1133475" cy="0"/>
        </a:xfrm>
        <a:prstGeom prst="line">
          <a:avLst/>
        </a:prstGeom>
        <a:ln w="28575">
          <a:solidFill>
            <a:srgbClr val="FF0000"/>
          </a:solidFill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238125</xdr:colOff>
      <xdr:row>6</xdr:row>
      <xdr:rowOff>76200</xdr:rowOff>
    </xdr:from>
    <xdr:to>
      <xdr:col>4</xdr:col>
      <xdr:colOff>238125</xdr:colOff>
      <xdr:row>16</xdr:row>
      <xdr:rowOff>133350</xdr:rowOff>
    </xdr:to>
    <xdr:cxnSp macro="">
      <xdr:nvCxnSpPr>
        <xdr:cNvPr id="16" name="Straight Arrow Connector 15"/>
        <xdr:cNvCxnSpPr/>
      </xdr:nvCxnSpPr>
      <xdr:spPr>
        <a:xfrm>
          <a:off x="2676525" y="1600200"/>
          <a:ext cx="0" cy="1962150"/>
        </a:xfrm>
        <a:prstGeom prst="straightConnector1">
          <a:avLst/>
        </a:prstGeom>
        <a:ln w="19050">
          <a:solidFill>
            <a:srgbClr val="FF0000"/>
          </a:solidFill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552450</xdr:colOff>
      <xdr:row>17</xdr:row>
      <xdr:rowOff>9525</xdr:rowOff>
    </xdr:from>
    <xdr:to>
      <xdr:col>1</xdr:col>
      <xdr:colOff>552450</xdr:colOff>
      <xdr:row>19</xdr:row>
      <xdr:rowOff>9525</xdr:rowOff>
    </xdr:to>
    <xdr:cxnSp macro="">
      <xdr:nvCxnSpPr>
        <xdr:cNvPr id="18" name="Straight Connector 17"/>
        <xdr:cNvCxnSpPr/>
      </xdr:nvCxnSpPr>
      <xdr:spPr>
        <a:xfrm>
          <a:off x="1162050" y="3629025"/>
          <a:ext cx="0" cy="381000"/>
        </a:xfrm>
        <a:prstGeom prst="line">
          <a:avLst/>
        </a:prstGeom>
        <a:ln w="28575">
          <a:solidFill>
            <a:srgbClr val="FF0000"/>
          </a:solidFill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17</xdr:row>
      <xdr:rowOff>9525</xdr:rowOff>
    </xdr:from>
    <xdr:to>
      <xdr:col>4</xdr:col>
      <xdr:colOff>19050</xdr:colOff>
      <xdr:row>19</xdr:row>
      <xdr:rowOff>9525</xdr:rowOff>
    </xdr:to>
    <xdr:cxnSp macro="">
      <xdr:nvCxnSpPr>
        <xdr:cNvPr id="20" name="Straight Connector 19"/>
        <xdr:cNvCxnSpPr/>
      </xdr:nvCxnSpPr>
      <xdr:spPr>
        <a:xfrm>
          <a:off x="2457450" y="3629025"/>
          <a:ext cx="0" cy="381000"/>
        </a:xfrm>
        <a:prstGeom prst="line">
          <a:avLst/>
        </a:prstGeom>
        <a:ln w="28575">
          <a:solidFill>
            <a:srgbClr val="FF0000"/>
          </a:solidFill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581025</xdr:colOff>
      <xdr:row>18</xdr:row>
      <xdr:rowOff>66675</xdr:rowOff>
    </xdr:from>
    <xdr:to>
      <xdr:col>4</xdr:col>
      <xdr:colOff>0</xdr:colOff>
      <xdr:row>18</xdr:row>
      <xdr:rowOff>66675</xdr:rowOff>
    </xdr:to>
    <xdr:cxnSp macro="">
      <xdr:nvCxnSpPr>
        <xdr:cNvPr id="21" name="Straight Arrow Connector 20"/>
        <xdr:cNvCxnSpPr/>
      </xdr:nvCxnSpPr>
      <xdr:spPr>
        <a:xfrm flipH="1">
          <a:off x="1190625" y="3876675"/>
          <a:ext cx="1247775" cy="0"/>
        </a:xfrm>
        <a:prstGeom prst="straightConnector1">
          <a:avLst/>
        </a:prstGeom>
        <a:ln w="19050">
          <a:solidFill>
            <a:srgbClr val="FF0000"/>
          </a:solidFill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276226</xdr:colOff>
      <xdr:row>6</xdr:row>
      <xdr:rowOff>47625</xdr:rowOff>
    </xdr:from>
    <xdr:to>
      <xdr:col>7</xdr:col>
      <xdr:colOff>276226</xdr:colOff>
      <xdr:row>8</xdr:row>
      <xdr:rowOff>161925</xdr:rowOff>
    </xdr:to>
    <xdr:sp macro="" textlink="">
      <xdr:nvSpPr>
        <xdr:cNvPr id="23" name="TextBox 22"/>
        <xdr:cNvSpPr txBox="1"/>
      </xdr:nvSpPr>
      <xdr:spPr>
        <a:xfrm>
          <a:off x="3933826" y="1571625"/>
          <a:ext cx="609600" cy="495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/>
            <a:t>wL</a:t>
          </a:r>
        </a:p>
      </xdr:txBody>
    </xdr:sp>
    <xdr:clientData/>
  </xdr:twoCellAnchor>
  <xdr:twoCellAnchor>
    <xdr:from>
      <xdr:col>4</xdr:col>
      <xdr:colOff>209550</xdr:colOff>
      <xdr:row>9</xdr:row>
      <xdr:rowOff>104775</xdr:rowOff>
    </xdr:from>
    <xdr:to>
      <xdr:col>6</xdr:col>
      <xdr:colOff>152400</xdr:colOff>
      <xdr:row>12</xdr:row>
      <xdr:rowOff>28575</xdr:rowOff>
    </xdr:to>
    <xdr:sp macro="" textlink="">
      <xdr:nvSpPr>
        <xdr:cNvPr id="24" name="TextBox 23"/>
        <xdr:cNvSpPr txBox="1"/>
      </xdr:nvSpPr>
      <xdr:spPr>
        <a:xfrm>
          <a:off x="2647950" y="2200275"/>
          <a:ext cx="1162050" cy="495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/>
            <a:t>wLHole</a:t>
          </a:r>
        </a:p>
      </xdr:txBody>
    </xdr:sp>
    <xdr:clientData/>
  </xdr:twoCellAnchor>
  <xdr:twoCellAnchor>
    <xdr:from>
      <xdr:col>2</xdr:col>
      <xdr:colOff>276224</xdr:colOff>
      <xdr:row>18</xdr:row>
      <xdr:rowOff>19050</xdr:rowOff>
    </xdr:from>
    <xdr:to>
      <xdr:col>3</xdr:col>
      <xdr:colOff>361949</xdr:colOff>
      <xdr:row>20</xdr:row>
      <xdr:rowOff>133350</xdr:rowOff>
    </xdr:to>
    <xdr:sp macro="" textlink="">
      <xdr:nvSpPr>
        <xdr:cNvPr id="28" name="TextBox 27"/>
        <xdr:cNvSpPr txBox="1"/>
      </xdr:nvSpPr>
      <xdr:spPr>
        <a:xfrm>
          <a:off x="1495424" y="3829050"/>
          <a:ext cx="695325" cy="495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/>
            <a:t>wW</a:t>
          </a:r>
        </a:p>
      </xdr:txBody>
    </xdr:sp>
    <xdr:clientData/>
  </xdr:twoCellAnchor>
  <xdr:twoCellAnchor>
    <xdr:from>
      <xdr:col>2</xdr:col>
      <xdr:colOff>361950</xdr:colOff>
      <xdr:row>7</xdr:row>
      <xdr:rowOff>38100</xdr:rowOff>
    </xdr:from>
    <xdr:to>
      <xdr:col>2</xdr:col>
      <xdr:colOff>361950</xdr:colOff>
      <xdr:row>9</xdr:row>
      <xdr:rowOff>38100</xdr:rowOff>
    </xdr:to>
    <xdr:cxnSp macro="">
      <xdr:nvCxnSpPr>
        <xdr:cNvPr id="29" name="Straight Connector 28"/>
        <xdr:cNvCxnSpPr/>
      </xdr:nvCxnSpPr>
      <xdr:spPr>
        <a:xfrm>
          <a:off x="1581150" y="1752600"/>
          <a:ext cx="0" cy="381000"/>
        </a:xfrm>
        <a:prstGeom prst="line">
          <a:avLst/>
        </a:prstGeom>
        <a:ln w="28575">
          <a:solidFill>
            <a:srgbClr val="FF0000"/>
          </a:solidFill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209550</xdr:colOff>
      <xdr:row>7</xdr:row>
      <xdr:rowOff>57150</xdr:rowOff>
    </xdr:from>
    <xdr:to>
      <xdr:col>3</xdr:col>
      <xdr:colOff>209550</xdr:colOff>
      <xdr:row>9</xdr:row>
      <xdr:rowOff>57150</xdr:rowOff>
    </xdr:to>
    <xdr:cxnSp macro="">
      <xdr:nvCxnSpPr>
        <xdr:cNvPr id="30" name="Straight Connector 29"/>
        <xdr:cNvCxnSpPr/>
      </xdr:nvCxnSpPr>
      <xdr:spPr>
        <a:xfrm>
          <a:off x="2038350" y="1771650"/>
          <a:ext cx="0" cy="381000"/>
        </a:xfrm>
        <a:prstGeom prst="line">
          <a:avLst/>
        </a:prstGeom>
        <a:ln w="28575">
          <a:solidFill>
            <a:srgbClr val="FF0000"/>
          </a:solidFill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371476</xdr:colOff>
      <xdr:row>8</xdr:row>
      <xdr:rowOff>104775</xdr:rowOff>
    </xdr:from>
    <xdr:to>
      <xdr:col>3</xdr:col>
      <xdr:colOff>180975</xdr:colOff>
      <xdr:row>8</xdr:row>
      <xdr:rowOff>104775</xdr:rowOff>
    </xdr:to>
    <xdr:cxnSp macro="">
      <xdr:nvCxnSpPr>
        <xdr:cNvPr id="31" name="Straight Arrow Connector 30"/>
        <xdr:cNvCxnSpPr/>
      </xdr:nvCxnSpPr>
      <xdr:spPr>
        <a:xfrm flipH="1">
          <a:off x="1590676" y="2009775"/>
          <a:ext cx="419099" cy="0"/>
        </a:xfrm>
        <a:prstGeom prst="straightConnector1">
          <a:avLst/>
        </a:prstGeom>
        <a:ln w="19050">
          <a:solidFill>
            <a:srgbClr val="FF0000"/>
          </a:solidFill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171450</xdr:colOff>
      <xdr:row>9</xdr:row>
      <xdr:rowOff>0</xdr:rowOff>
    </xdr:from>
    <xdr:to>
      <xdr:col>3</xdr:col>
      <xdr:colOff>476250</xdr:colOff>
      <xdr:row>11</xdr:row>
      <xdr:rowOff>114300</xdr:rowOff>
    </xdr:to>
    <xdr:sp macro="" textlink="">
      <xdr:nvSpPr>
        <xdr:cNvPr id="33" name="TextBox 32"/>
        <xdr:cNvSpPr txBox="1"/>
      </xdr:nvSpPr>
      <xdr:spPr>
        <a:xfrm>
          <a:off x="1390650" y="1714500"/>
          <a:ext cx="914400" cy="495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/>
            <a:t>holeD</a:t>
          </a:r>
        </a:p>
      </xdr:txBody>
    </xdr:sp>
    <xdr:clientData/>
  </xdr:twoCellAnchor>
  <xdr:twoCellAnchor>
    <xdr:from>
      <xdr:col>9</xdr:col>
      <xdr:colOff>447672</xdr:colOff>
      <xdr:row>4</xdr:row>
      <xdr:rowOff>66676</xdr:rowOff>
    </xdr:from>
    <xdr:to>
      <xdr:col>13</xdr:col>
      <xdr:colOff>200021</xdr:colOff>
      <xdr:row>19</xdr:row>
      <xdr:rowOff>47626</xdr:rowOff>
    </xdr:to>
    <xdr:sp macro="" textlink="">
      <xdr:nvSpPr>
        <xdr:cNvPr id="34" name="Parallelogram 33"/>
        <xdr:cNvSpPr/>
      </xdr:nvSpPr>
      <xdr:spPr>
        <a:xfrm flipH="1">
          <a:off x="5934072" y="828676"/>
          <a:ext cx="2190749" cy="2838450"/>
        </a:xfrm>
        <a:prstGeom prst="parallelogram">
          <a:avLst>
            <a:gd name="adj" fmla="val 85426"/>
          </a:avLst>
        </a:prstGeom>
        <a:noFill/>
        <a:ln w="285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123825</xdr:colOff>
      <xdr:row>19</xdr:row>
      <xdr:rowOff>57150</xdr:rowOff>
    </xdr:from>
    <xdr:to>
      <xdr:col>12</xdr:col>
      <xdr:colOff>400050</xdr:colOff>
      <xdr:row>19</xdr:row>
      <xdr:rowOff>57150</xdr:rowOff>
    </xdr:to>
    <xdr:cxnSp macro="">
      <xdr:nvCxnSpPr>
        <xdr:cNvPr id="35" name="Straight Connector 34"/>
        <xdr:cNvCxnSpPr/>
      </xdr:nvCxnSpPr>
      <xdr:spPr>
        <a:xfrm>
          <a:off x="6219825" y="3676650"/>
          <a:ext cx="1495425" cy="0"/>
        </a:xfrm>
        <a:prstGeom prst="line">
          <a:avLst/>
        </a:prstGeom>
        <a:ln w="28575">
          <a:solidFill>
            <a:srgbClr val="FF0000"/>
          </a:solidFill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47626</xdr:colOff>
      <xdr:row>17</xdr:row>
      <xdr:rowOff>28575</xdr:rowOff>
    </xdr:from>
    <xdr:to>
      <xdr:col>12</xdr:col>
      <xdr:colOff>190500</xdr:colOff>
      <xdr:row>19</xdr:row>
      <xdr:rowOff>19050</xdr:rowOff>
    </xdr:to>
    <xdr:cxnSp macro="">
      <xdr:nvCxnSpPr>
        <xdr:cNvPr id="37" name="Straight Arrow Connector 36"/>
        <xdr:cNvCxnSpPr/>
      </xdr:nvCxnSpPr>
      <xdr:spPr>
        <a:xfrm flipH="1">
          <a:off x="7362826" y="3267075"/>
          <a:ext cx="142874" cy="371475"/>
        </a:xfrm>
        <a:prstGeom prst="straightConnector1">
          <a:avLst/>
        </a:prstGeom>
        <a:ln w="19050">
          <a:solidFill>
            <a:srgbClr val="FF0000"/>
          </a:solidFill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485775</xdr:colOff>
      <xdr:row>16</xdr:row>
      <xdr:rowOff>76200</xdr:rowOff>
    </xdr:from>
    <xdr:to>
      <xdr:col>12</xdr:col>
      <xdr:colOff>200025</xdr:colOff>
      <xdr:row>19</xdr:row>
      <xdr:rowOff>0</xdr:rowOff>
    </xdr:to>
    <xdr:sp macro="" textlink="">
      <xdr:nvSpPr>
        <xdr:cNvPr id="39" name="TextBox 38"/>
        <xdr:cNvSpPr txBox="1"/>
      </xdr:nvSpPr>
      <xdr:spPr>
        <a:xfrm>
          <a:off x="6581775" y="3124200"/>
          <a:ext cx="933450" cy="495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/>
            <a:t>theta</a:t>
          </a:r>
        </a:p>
      </xdr:txBody>
    </xdr:sp>
    <xdr:clientData/>
  </xdr:twoCellAnchor>
  <xdr:twoCellAnchor>
    <xdr:from>
      <xdr:col>9</xdr:col>
      <xdr:colOff>400050</xdr:colOff>
      <xdr:row>6</xdr:row>
      <xdr:rowOff>85725</xdr:rowOff>
    </xdr:from>
    <xdr:to>
      <xdr:col>10</xdr:col>
      <xdr:colOff>66675</xdr:colOff>
      <xdr:row>7</xdr:row>
      <xdr:rowOff>57150</xdr:rowOff>
    </xdr:to>
    <xdr:cxnSp macro="">
      <xdr:nvCxnSpPr>
        <xdr:cNvPr id="41" name="Straight Arrow Connector 40"/>
        <xdr:cNvCxnSpPr/>
      </xdr:nvCxnSpPr>
      <xdr:spPr>
        <a:xfrm flipV="1">
          <a:off x="5886450" y="1228725"/>
          <a:ext cx="276225" cy="161925"/>
        </a:xfrm>
        <a:prstGeom prst="straightConnector1">
          <a:avLst/>
        </a:prstGeom>
        <a:ln w="190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352425</xdr:colOff>
      <xdr:row>4</xdr:row>
      <xdr:rowOff>133350</xdr:rowOff>
    </xdr:from>
    <xdr:to>
      <xdr:col>11</xdr:col>
      <xdr:colOff>19050</xdr:colOff>
      <xdr:row>5</xdr:row>
      <xdr:rowOff>104775</xdr:rowOff>
    </xdr:to>
    <xdr:cxnSp macro="">
      <xdr:nvCxnSpPr>
        <xdr:cNvPr id="43" name="Straight Arrow Connector 42"/>
        <xdr:cNvCxnSpPr/>
      </xdr:nvCxnSpPr>
      <xdr:spPr>
        <a:xfrm rot="10800000" flipV="1">
          <a:off x="6448425" y="895350"/>
          <a:ext cx="276225" cy="161925"/>
        </a:xfrm>
        <a:prstGeom prst="straightConnector1">
          <a:avLst/>
        </a:prstGeom>
        <a:ln w="190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600075</xdr:colOff>
      <xdr:row>3</xdr:row>
      <xdr:rowOff>66675</xdr:rowOff>
    </xdr:from>
    <xdr:to>
      <xdr:col>11</xdr:col>
      <xdr:colOff>600075</xdr:colOff>
      <xdr:row>5</xdr:row>
      <xdr:rowOff>180975</xdr:rowOff>
    </xdr:to>
    <xdr:sp macro="" textlink="">
      <xdr:nvSpPr>
        <xdr:cNvPr id="44" name="TextBox 43"/>
        <xdr:cNvSpPr txBox="1"/>
      </xdr:nvSpPr>
      <xdr:spPr>
        <a:xfrm>
          <a:off x="6696075" y="638175"/>
          <a:ext cx="609600" cy="495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/>
            <a:t>wT</a:t>
          </a:r>
        </a:p>
      </xdr:txBody>
    </xdr:sp>
    <xdr:clientData/>
  </xdr:twoCellAnchor>
  <xdr:twoCellAnchor>
    <xdr:from>
      <xdr:col>10</xdr:col>
      <xdr:colOff>400050</xdr:colOff>
      <xdr:row>6</xdr:row>
      <xdr:rowOff>142875</xdr:rowOff>
    </xdr:from>
    <xdr:to>
      <xdr:col>11</xdr:col>
      <xdr:colOff>266700</xdr:colOff>
      <xdr:row>8</xdr:row>
      <xdr:rowOff>66676</xdr:rowOff>
    </xdr:to>
    <xdr:cxnSp macro="">
      <xdr:nvCxnSpPr>
        <xdr:cNvPr id="46" name="Straight Connector 45"/>
        <xdr:cNvCxnSpPr/>
      </xdr:nvCxnSpPr>
      <xdr:spPr>
        <a:xfrm flipV="1">
          <a:off x="6496050" y="1285875"/>
          <a:ext cx="476250" cy="304801"/>
        </a:xfrm>
        <a:prstGeom prst="line">
          <a:avLst/>
        </a:prstGeom>
        <a:ln w="19050">
          <a:solidFill>
            <a:srgbClr val="FF0000"/>
          </a:solidFill>
          <a:prstDash val="lgDash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438150</xdr:colOff>
      <xdr:row>0</xdr:row>
      <xdr:rowOff>85725</xdr:rowOff>
    </xdr:from>
    <xdr:to>
      <xdr:col>11</xdr:col>
      <xdr:colOff>457200</xdr:colOff>
      <xdr:row>4</xdr:row>
      <xdr:rowOff>47629</xdr:rowOff>
    </xdr:to>
    <xdr:cxnSp macro="">
      <xdr:nvCxnSpPr>
        <xdr:cNvPr id="50" name="Straight Connector 49"/>
        <xdr:cNvCxnSpPr/>
      </xdr:nvCxnSpPr>
      <xdr:spPr>
        <a:xfrm flipV="1">
          <a:off x="5924550" y="85725"/>
          <a:ext cx="1238250" cy="723904"/>
        </a:xfrm>
        <a:prstGeom prst="line">
          <a:avLst/>
        </a:prstGeom>
        <a:ln w="28575">
          <a:solidFill>
            <a:srgbClr val="FF0000"/>
          </a:solidFill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238125</xdr:colOff>
      <xdr:row>16</xdr:row>
      <xdr:rowOff>9525</xdr:rowOff>
    </xdr:from>
    <xdr:to>
      <xdr:col>15</xdr:col>
      <xdr:colOff>28575</xdr:colOff>
      <xdr:row>19</xdr:row>
      <xdr:rowOff>47629</xdr:rowOff>
    </xdr:to>
    <xdr:cxnSp macro="">
      <xdr:nvCxnSpPr>
        <xdr:cNvPr id="55" name="Straight Connector 54"/>
        <xdr:cNvCxnSpPr/>
      </xdr:nvCxnSpPr>
      <xdr:spPr>
        <a:xfrm flipV="1">
          <a:off x="8162925" y="3057525"/>
          <a:ext cx="1009650" cy="609604"/>
        </a:xfrm>
        <a:prstGeom prst="line">
          <a:avLst/>
        </a:prstGeom>
        <a:ln w="28575">
          <a:solidFill>
            <a:srgbClr val="FF0000"/>
          </a:solidFill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466725</xdr:colOff>
      <xdr:row>0</xdr:row>
      <xdr:rowOff>123825</xdr:rowOff>
    </xdr:from>
    <xdr:to>
      <xdr:col>14</xdr:col>
      <xdr:colOff>571500</xdr:colOff>
      <xdr:row>16</xdr:row>
      <xdr:rowOff>9525</xdr:rowOff>
    </xdr:to>
    <xdr:cxnSp macro="">
      <xdr:nvCxnSpPr>
        <xdr:cNvPr id="58" name="Straight Arrow Connector 57"/>
        <xdr:cNvCxnSpPr/>
      </xdr:nvCxnSpPr>
      <xdr:spPr>
        <a:xfrm>
          <a:off x="7172325" y="123825"/>
          <a:ext cx="1933575" cy="2933700"/>
        </a:xfrm>
        <a:prstGeom prst="straightConnector1">
          <a:avLst/>
        </a:prstGeom>
        <a:ln w="19050">
          <a:solidFill>
            <a:srgbClr val="FF0000"/>
          </a:solidFill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152400</xdr:colOff>
      <xdr:row>6</xdr:row>
      <xdr:rowOff>38100</xdr:rowOff>
    </xdr:from>
    <xdr:to>
      <xdr:col>14</xdr:col>
      <xdr:colOff>152400</xdr:colOff>
      <xdr:row>8</xdr:row>
      <xdr:rowOff>152400</xdr:rowOff>
    </xdr:to>
    <xdr:sp macro="" textlink="">
      <xdr:nvSpPr>
        <xdr:cNvPr id="62" name="TextBox 61"/>
        <xdr:cNvSpPr txBox="1"/>
      </xdr:nvSpPr>
      <xdr:spPr>
        <a:xfrm>
          <a:off x="8077200" y="1181100"/>
          <a:ext cx="609600" cy="495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/>
            <a:t>wL</a:t>
          </a:r>
        </a:p>
      </xdr:txBody>
    </xdr:sp>
    <xdr:clientData/>
  </xdr:twoCellAnchor>
  <xdr:twoCellAnchor>
    <xdr:from>
      <xdr:col>11</xdr:col>
      <xdr:colOff>161925</xdr:colOff>
      <xdr:row>7</xdr:row>
      <xdr:rowOff>66675</xdr:rowOff>
    </xdr:from>
    <xdr:to>
      <xdr:col>13</xdr:col>
      <xdr:colOff>304800</xdr:colOff>
      <xdr:row>18</xdr:row>
      <xdr:rowOff>123825</xdr:rowOff>
    </xdr:to>
    <xdr:cxnSp macro="">
      <xdr:nvCxnSpPr>
        <xdr:cNvPr id="36" name="Straight Arrow Connector 35"/>
        <xdr:cNvCxnSpPr/>
      </xdr:nvCxnSpPr>
      <xdr:spPr>
        <a:xfrm>
          <a:off x="6867525" y="1400175"/>
          <a:ext cx="1362075" cy="2152650"/>
        </a:xfrm>
        <a:prstGeom prst="straightConnector1">
          <a:avLst/>
        </a:prstGeom>
        <a:ln w="19050">
          <a:solidFill>
            <a:srgbClr val="FF0000"/>
          </a:solidFill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600075</xdr:colOff>
      <xdr:row>9</xdr:row>
      <xdr:rowOff>123825</xdr:rowOff>
    </xdr:from>
    <xdr:to>
      <xdr:col>13</xdr:col>
      <xdr:colOff>542925</xdr:colOff>
      <xdr:row>12</xdr:row>
      <xdr:rowOff>47625</xdr:rowOff>
    </xdr:to>
    <xdr:sp macro="" textlink="">
      <xdr:nvSpPr>
        <xdr:cNvPr id="38" name="TextBox 37"/>
        <xdr:cNvSpPr txBox="1"/>
      </xdr:nvSpPr>
      <xdr:spPr>
        <a:xfrm>
          <a:off x="7305675" y="1838325"/>
          <a:ext cx="1162050" cy="495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/>
            <a:t>wLHole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561975</xdr:colOff>
      <xdr:row>4</xdr:row>
      <xdr:rowOff>9525</xdr:rowOff>
    </xdr:from>
    <xdr:to>
      <xdr:col>4</xdr:col>
      <xdr:colOff>19050</xdr:colOff>
      <xdr:row>27</xdr:row>
      <xdr:rowOff>47625</xdr:rowOff>
    </xdr:to>
    <xdr:sp macro="" textlink="">
      <xdr:nvSpPr>
        <xdr:cNvPr id="2" name="Rectangle 1"/>
        <xdr:cNvSpPr/>
      </xdr:nvSpPr>
      <xdr:spPr>
        <a:xfrm>
          <a:off x="1165225" y="771525"/>
          <a:ext cx="1266825" cy="4419600"/>
        </a:xfrm>
        <a:prstGeom prst="rect">
          <a:avLst/>
        </a:prstGeom>
        <a:ln w="285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361950</xdr:colOff>
      <xdr:row>7</xdr:row>
      <xdr:rowOff>0</xdr:rowOff>
    </xdr:from>
    <xdr:to>
      <xdr:col>3</xdr:col>
      <xdr:colOff>209550</xdr:colOff>
      <xdr:row>9</xdr:row>
      <xdr:rowOff>76200</xdr:rowOff>
    </xdr:to>
    <xdr:sp macro="" textlink="">
      <xdr:nvSpPr>
        <xdr:cNvPr id="3" name="Oval 2"/>
        <xdr:cNvSpPr/>
      </xdr:nvSpPr>
      <xdr:spPr>
        <a:xfrm>
          <a:off x="1581150" y="1333500"/>
          <a:ext cx="457200" cy="457200"/>
        </a:xfrm>
        <a:prstGeom prst="ellipse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304800</xdr:colOff>
      <xdr:row>4</xdr:row>
      <xdr:rowOff>57150</xdr:rowOff>
    </xdr:from>
    <xdr:to>
      <xdr:col>6</xdr:col>
      <xdr:colOff>304800</xdr:colOff>
      <xdr:row>26</xdr:row>
      <xdr:rowOff>174625</xdr:rowOff>
    </xdr:to>
    <xdr:cxnSp macro="">
      <xdr:nvCxnSpPr>
        <xdr:cNvPr id="4" name="Straight Arrow Connector 3"/>
        <xdr:cNvCxnSpPr/>
      </xdr:nvCxnSpPr>
      <xdr:spPr>
        <a:xfrm>
          <a:off x="3924300" y="819150"/>
          <a:ext cx="0" cy="4308475"/>
        </a:xfrm>
        <a:prstGeom prst="straightConnector1">
          <a:avLst/>
        </a:prstGeom>
        <a:ln w="19050">
          <a:solidFill>
            <a:srgbClr val="FF0000"/>
          </a:solidFill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104775</xdr:colOff>
      <xdr:row>4</xdr:row>
      <xdr:rowOff>19050</xdr:rowOff>
    </xdr:from>
    <xdr:to>
      <xdr:col>6</xdr:col>
      <xdr:colOff>371475</xdr:colOff>
      <xdr:row>4</xdr:row>
      <xdr:rowOff>19050</xdr:rowOff>
    </xdr:to>
    <xdr:cxnSp macro="">
      <xdr:nvCxnSpPr>
        <xdr:cNvPr id="5" name="Straight Connector 4"/>
        <xdr:cNvCxnSpPr/>
      </xdr:nvCxnSpPr>
      <xdr:spPr>
        <a:xfrm>
          <a:off x="2543175" y="781050"/>
          <a:ext cx="1485900" cy="0"/>
        </a:xfrm>
        <a:prstGeom prst="line">
          <a:avLst/>
        </a:prstGeom>
        <a:ln w="28575">
          <a:solidFill>
            <a:srgbClr val="FF0000"/>
          </a:solidFill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53975</xdr:colOff>
      <xdr:row>27</xdr:row>
      <xdr:rowOff>41275</xdr:rowOff>
    </xdr:from>
    <xdr:to>
      <xdr:col>6</xdr:col>
      <xdr:colOff>330200</xdr:colOff>
      <xdr:row>27</xdr:row>
      <xdr:rowOff>41275</xdr:rowOff>
    </xdr:to>
    <xdr:cxnSp macro="">
      <xdr:nvCxnSpPr>
        <xdr:cNvPr id="6" name="Straight Connector 5"/>
        <xdr:cNvCxnSpPr/>
      </xdr:nvCxnSpPr>
      <xdr:spPr>
        <a:xfrm>
          <a:off x="2466975" y="5184775"/>
          <a:ext cx="1482725" cy="0"/>
        </a:xfrm>
        <a:prstGeom prst="line">
          <a:avLst/>
        </a:prstGeom>
        <a:ln w="28575">
          <a:solidFill>
            <a:srgbClr val="FF0000"/>
          </a:solidFill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581025</xdr:colOff>
      <xdr:row>8</xdr:row>
      <xdr:rowOff>38100</xdr:rowOff>
    </xdr:from>
    <xdr:to>
      <xdr:col>4</xdr:col>
      <xdr:colOff>495300</xdr:colOff>
      <xdr:row>8</xdr:row>
      <xdr:rowOff>38100</xdr:rowOff>
    </xdr:to>
    <xdr:cxnSp macro="">
      <xdr:nvCxnSpPr>
        <xdr:cNvPr id="7" name="Straight Connector 6"/>
        <xdr:cNvCxnSpPr/>
      </xdr:nvCxnSpPr>
      <xdr:spPr>
        <a:xfrm>
          <a:off x="1800225" y="1562100"/>
          <a:ext cx="1133475" cy="0"/>
        </a:xfrm>
        <a:prstGeom prst="line">
          <a:avLst/>
        </a:prstGeom>
        <a:ln w="28575">
          <a:solidFill>
            <a:srgbClr val="FF0000"/>
          </a:solidFill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238125</xdr:colOff>
      <xdr:row>8</xdr:row>
      <xdr:rowOff>76200</xdr:rowOff>
    </xdr:from>
    <xdr:to>
      <xdr:col>4</xdr:col>
      <xdr:colOff>238125</xdr:colOff>
      <xdr:row>19</xdr:row>
      <xdr:rowOff>174625</xdr:rowOff>
    </xdr:to>
    <xdr:cxnSp macro="">
      <xdr:nvCxnSpPr>
        <xdr:cNvPr id="8" name="Straight Arrow Connector 7"/>
        <xdr:cNvCxnSpPr/>
      </xdr:nvCxnSpPr>
      <xdr:spPr>
        <a:xfrm>
          <a:off x="2651125" y="1600200"/>
          <a:ext cx="0" cy="2193925"/>
        </a:xfrm>
        <a:prstGeom prst="straightConnector1">
          <a:avLst/>
        </a:prstGeom>
        <a:ln w="19050">
          <a:solidFill>
            <a:srgbClr val="FF0000"/>
          </a:solidFill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552450</xdr:colOff>
      <xdr:row>27</xdr:row>
      <xdr:rowOff>152400</xdr:rowOff>
    </xdr:from>
    <xdr:to>
      <xdr:col>1</xdr:col>
      <xdr:colOff>552450</xdr:colOff>
      <xdr:row>29</xdr:row>
      <xdr:rowOff>152400</xdr:rowOff>
    </xdr:to>
    <xdr:cxnSp macro="">
      <xdr:nvCxnSpPr>
        <xdr:cNvPr id="9" name="Straight Connector 8"/>
        <xdr:cNvCxnSpPr/>
      </xdr:nvCxnSpPr>
      <xdr:spPr>
        <a:xfrm>
          <a:off x="1155700" y="5295900"/>
          <a:ext cx="0" cy="381000"/>
        </a:xfrm>
        <a:prstGeom prst="line">
          <a:avLst/>
        </a:prstGeom>
        <a:ln w="28575">
          <a:solidFill>
            <a:srgbClr val="FF0000"/>
          </a:solidFill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27</xdr:row>
      <xdr:rowOff>152400</xdr:rowOff>
    </xdr:from>
    <xdr:to>
      <xdr:col>4</xdr:col>
      <xdr:colOff>19050</xdr:colOff>
      <xdr:row>29</xdr:row>
      <xdr:rowOff>152400</xdr:rowOff>
    </xdr:to>
    <xdr:cxnSp macro="">
      <xdr:nvCxnSpPr>
        <xdr:cNvPr id="10" name="Straight Connector 9"/>
        <xdr:cNvCxnSpPr/>
      </xdr:nvCxnSpPr>
      <xdr:spPr>
        <a:xfrm>
          <a:off x="2432050" y="5295900"/>
          <a:ext cx="0" cy="381000"/>
        </a:xfrm>
        <a:prstGeom prst="line">
          <a:avLst/>
        </a:prstGeom>
        <a:ln w="28575">
          <a:solidFill>
            <a:srgbClr val="FF0000"/>
          </a:solidFill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581025</xdr:colOff>
      <xdr:row>29</xdr:row>
      <xdr:rowOff>19050</xdr:rowOff>
    </xdr:from>
    <xdr:to>
      <xdr:col>4</xdr:col>
      <xdr:colOff>0</xdr:colOff>
      <xdr:row>29</xdr:row>
      <xdr:rowOff>19050</xdr:rowOff>
    </xdr:to>
    <xdr:cxnSp macro="">
      <xdr:nvCxnSpPr>
        <xdr:cNvPr id="11" name="Straight Arrow Connector 10"/>
        <xdr:cNvCxnSpPr/>
      </xdr:nvCxnSpPr>
      <xdr:spPr>
        <a:xfrm flipH="1">
          <a:off x="1184275" y="5543550"/>
          <a:ext cx="1228725" cy="0"/>
        </a:xfrm>
        <a:prstGeom prst="straightConnector1">
          <a:avLst/>
        </a:prstGeom>
        <a:ln w="19050">
          <a:solidFill>
            <a:srgbClr val="FF0000"/>
          </a:solidFill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276226</xdr:colOff>
      <xdr:row>15</xdr:row>
      <xdr:rowOff>15875</xdr:rowOff>
    </xdr:from>
    <xdr:to>
      <xdr:col>8</xdr:col>
      <xdr:colOff>27215</xdr:colOff>
      <xdr:row>17</xdr:row>
      <xdr:rowOff>130175</xdr:rowOff>
    </xdr:to>
    <xdr:sp macro="" textlink="">
      <xdr:nvSpPr>
        <xdr:cNvPr id="12" name="TextBox 11"/>
        <xdr:cNvSpPr txBox="1"/>
      </xdr:nvSpPr>
      <xdr:spPr>
        <a:xfrm>
          <a:off x="3950155" y="2873375"/>
          <a:ext cx="975631" cy="495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/>
            <a:t>wLTot</a:t>
          </a:r>
        </a:p>
      </xdr:txBody>
    </xdr:sp>
    <xdr:clientData/>
  </xdr:twoCellAnchor>
  <xdr:twoCellAnchor>
    <xdr:from>
      <xdr:col>4</xdr:col>
      <xdr:colOff>209550</xdr:colOff>
      <xdr:row>11</xdr:row>
      <xdr:rowOff>104775</xdr:rowOff>
    </xdr:from>
    <xdr:to>
      <xdr:col>6</xdr:col>
      <xdr:colOff>317500</xdr:colOff>
      <xdr:row>14</xdr:row>
      <xdr:rowOff>28575</xdr:rowOff>
    </xdr:to>
    <xdr:sp macro="" textlink="">
      <xdr:nvSpPr>
        <xdr:cNvPr id="13" name="TextBox 12"/>
        <xdr:cNvSpPr txBox="1"/>
      </xdr:nvSpPr>
      <xdr:spPr>
        <a:xfrm>
          <a:off x="2622550" y="2200275"/>
          <a:ext cx="1314450" cy="495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/>
            <a:t>wL2Hole</a:t>
          </a:r>
        </a:p>
      </xdr:txBody>
    </xdr:sp>
    <xdr:clientData/>
  </xdr:twoCellAnchor>
  <xdr:twoCellAnchor>
    <xdr:from>
      <xdr:col>2</xdr:col>
      <xdr:colOff>276224</xdr:colOff>
      <xdr:row>28</xdr:row>
      <xdr:rowOff>161925</xdr:rowOff>
    </xdr:from>
    <xdr:to>
      <xdr:col>3</xdr:col>
      <xdr:colOff>361949</xdr:colOff>
      <xdr:row>31</xdr:row>
      <xdr:rowOff>85725</xdr:rowOff>
    </xdr:to>
    <xdr:sp macro="" textlink="">
      <xdr:nvSpPr>
        <xdr:cNvPr id="14" name="TextBox 13"/>
        <xdr:cNvSpPr txBox="1"/>
      </xdr:nvSpPr>
      <xdr:spPr>
        <a:xfrm>
          <a:off x="1482724" y="5495925"/>
          <a:ext cx="688975" cy="495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/>
            <a:t>wW</a:t>
          </a:r>
        </a:p>
      </xdr:txBody>
    </xdr:sp>
    <xdr:clientData/>
  </xdr:twoCellAnchor>
  <xdr:twoCellAnchor>
    <xdr:from>
      <xdr:col>2</xdr:col>
      <xdr:colOff>361950</xdr:colOff>
      <xdr:row>9</xdr:row>
      <xdr:rowOff>38100</xdr:rowOff>
    </xdr:from>
    <xdr:to>
      <xdr:col>2</xdr:col>
      <xdr:colOff>361950</xdr:colOff>
      <xdr:row>11</xdr:row>
      <xdr:rowOff>38100</xdr:rowOff>
    </xdr:to>
    <xdr:cxnSp macro="">
      <xdr:nvCxnSpPr>
        <xdr:cNvPr id="15" name="Straight Connector 14"/>
        <xdr:cNvCxnSpPr/>
      </xdr:nvCxnSpPr>
      <xdr:spPr>
        <a:xfrm>
          <a:off x="1581150" y="1752600"/>
          <a:ext cx="0" cy="381000"/>
        </a:xfrm>
        <a:prstGeom prst="line">
          <a:avLst/>
        </a:prstGeom>
        <a:ln w="28575">
          <a:solidFill>
            <a:srgbClr val="FF0000"/>
          </a:solidFill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209550</xdr:colOff>
      <xdr:row>9</xdr:row>
      <xdr:rowOff>57150</xdr:rowOff>
    </xdr:from>
    <xdr:to>
      <xdr:col>3</xdr:col>
      <xdr:colOff>209550</xdr:colOff>
      <xdr:row>11</xdr:row>
      <xdr:rowOff>57150</xdr:rowOff>
    </xdr:to>
    <xdr:cxnSp macro="">
      <xdr:nvCxnSpPr>
        <xdr:cNvPr id="16" name="Straight Connector 15"/>
        <xdr:cNvCxnSpPr/>
      </xdr:nvCxnSpPr>
      <xdr:spPr>
        <a:xfrm>
          <a:off x="2038350" y="1771650"/>
          <a:ext cx="0" cy="381000"/>
        </a:xfrm>
        <a:prstGeom prst="line">
          <a:avLst/>
        </a:prstGeom>
        <a:ln w="28575">
          <a:solidFill>
            <a:srgbClr val="FF0000"/>
          </a:solidFill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371476</xdr:colOff>
      <xdr:row>10</xdr:row>
      <xdr:rowOff>104775</xdr:rowOff>
    </xdr:from>
    <xdr:to>
      <xdr:col>3</xdr:col>
      <xdr:colOff>180975</xdr:colOff>
      <xdr:row>10</xdr:row>
      <xdr:rowOff>104775</xdr:rowOff>
    </xdr:to>
    <xdr:cxnSp macro="">
      <xdr:nvCxnSpPr>
        <xdr:cNvPr id="17" name="Straight Arrow Connector 16"/>
        <xdr:cNvCxnSpPr/>
      </xdr:nvCxnSpPr>
      <xdr:spPr>
        <a:xfrm flipH="1">
          <a:off x="1590676" y="2009775"/>
          <a:ext cx="419099" cy="0"/>
        </a:xfrm>
        <a:prstGeom prst="straightConnector1">
          <a:avLst/>
        </a:prstGeom>
        <a:ln w="19050">
          <a:solidFill>
            <a:srgbClr val="FF0000"/>
          </a:solidFill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533399</xdr:colOff>
      <xdr:row>11</xdr:row>
      <xdr:rowOff>0</xdr:rowOff>
    </xdr:from>
    <xdr:to>
      <xdr:col>4</xdr:col>
      <xdr:colOff>79374</xdr:colOff>
      <xdr:row>13</xdr:row>
      <xdr:rowOff>114300</xdr:rowOff>
    </xdr:to>
    <xdr:sp macro="" textlink="">
      <xdr:nvSpPr>
        <xdr:cNvPr id="18" name="TextBox 17"/>
        <xdr:cNvSpPr txBox="1"/>
      </xdr:nvSpPr>
      <xdr:spPr>
        <a:xfrm>
          <a:off x="1136649" y="2095500"/>
          <a:ext cx="1355725" cy="495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/>
            <a:t>b2DNeck</a:t>
          </a:r>
        </a:p>
      </xdr:txBody>
    </xdr:sp>
    <xdr:clientData/>
  </xdr:twoCellAnchor>
  <xdr:twoCellAnchor>
    <xdr:from>
      <xdr:col>9</xdr:col>
      <xdr:colOff>447671</xdr:colOff>
      <xdr:row>4</xdr:row>
      <xdr:rowOff>66676</xdr:rowOff>
    </xdr:from>
    <xdr:to>
      <xdr:col>14</xdr:col>
      <xdr:colOff>206374</xdr:colOff>
      <xdr:row>27</xdr:row>
      <xdr:rowOff>0</xdr:rowOff>
    </xdr:to>
    <xdr:sp macro="" textlink="">
      <xdr:nvSpPr>
        <xdr:cNvPr id="19" name="Parallelogram 18"/>
        <xdr:cNvSpPr/>
      </xdr:nvSpPr>
      <xdr:spPr>
        <a:xfrm flipH="1">
          <a:off x="5876921" y="828676"/>
          <a:ext cx="2774953" cy="4314824"/>
        </a:xfrm>
        <a:prstGeom prst="parallelogram">
          <a:avLst>
            <a:gd name="adj" fmla="val 85426"/>
          </a:avLst>
        </a:prstGeom>
        <a:noFill/>
        <a:ln w="285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28575</xdr:colOff>
      <xdr:row>26</xdr:row>
      <xdr:rowOff>168275</xdr:rowOff>
    </xdr:from>
    <xdr:to>
      <xdr:col>13</xdr:col>
      <xdr:colOff>304800</xdr:colOff>
      <xdr:row>26</xdr:row>
      <xdr:rowOff>168275</xdr:rowOff>
    </xdr:to>
    <xdr:cxnSp macro="">
      <xdr:nvCxnSpPr>
        <xdr:cNvPr id="20" name="Straight Connector 19"/>
        <xdr:cNvCxnSpPr/>
      </xdr:nvCxnSpPr>
      <xdr:spPr>
        <a:xfrm>
          <a:off x="6664325" y="5121275"/>
          <a:ext cx="1482725" cy="0"/>
        </a:xfrm>
        <a:prstGeom prst="line">
          <a:avLst/>
        </a:prstGeom>
        <a:ln w="28575">
          <a:solidFill>
            <a:srgbClr val="FF0000"/>
          </a:solidFill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539751</xdr:colOff>
      <xdr:row>24</xdr:row>
      <xdr:rowOff>107950</xdr:rowOff>
    </xdr:from>
    <xdr:to>
      <xdr:col>13</xdr:col>
      <xdr:colOff>79375</xdr:colOff>
      <xdr:row>26</xdr:row>
      <xdr:rowOff>98425</xdr:rowOff>
    </xdr:to>
    <xdr:cxnSp macro="">
      <xdr:nvCxnSpPr>
        <xdr:cNvPr id="21" name="Straight Arrow Connector 20"/>
        <xdr:cNvCxnSpPr/>
      </xdr:nvCxnSpPr>
      <xdr:spPr>
        <a:xfrm flipH="1">
          <a:off x="7778751" y="4679950"/>
          <a:ext cx="142874" cy="371475"/>
        </a:xfrm>
        <a:prstGeom prst="straightConnector1">
          <a:avLst/>
        </a:prstGeom>
        <a:ln w="19050">
          <a:solidFill>
            <a:srgbClr val="FF0000"/>
          </a:solidFill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279400</xdr:colOff>
      <xdr:row>23</xdr:row>
      <xdr:rowOff>139700</xdr:rowOff>
    </xdr:from>
    <xdr:to>
      <xdr:col>12</xdr:col>
      <xdr:colOff>596900</xdr:colOff>
      <xdr:row>26</xdr:row>
      <xdr:rowOff>63500</xdr:rowOff>
    </xdr:to>
    <xdr:sp macro="" textlink="">
      <xdr:nvSpPr>
        <xdr:cNvPr id="22" name="TextBox 21"/>
        <xdr:cNvSpPr txBox="1"/>
      </xdr:nvSpPr>
      <xdr:spPr>
        <a:xfrm>
          <a:off x="6915150" y="4521200"/>
          <a:ext cx="920750" cy="495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/>
            <a:t>theta</a:t>
          </a:r>
        </a:p>
      </xdr:txBody>
    </xdr:sp>
    <xdr:clientData/>
  </xdr:twoCellAnchor>
  <xdr:twoCellAnchor>
    <xdr:from>
      <xdr:col>9</xdr:col>
      <xdr:colOff>400050</xdr:colOff>
      <xdr:row>6</xdr:row>
      <xdr:rowOff>85725</xdr:rowOff>
    </xdr:from>
    <xdr:to>
      <xdr:col>10</xdr:col>
      <xdr:colOff>66675</xdr:colOff>
      <xdr:row>7</xdr:row>
      <xdr:rowOff>57150</xdr:rowOff>
    </xdr:to>
    <xdr:cxnSp macro="">
      <xdr:nvCxnSpPr>
        <xdr:cNvPr id="23" name="Straight Arrow Connector 22"/>
        <xdr:cNvCxnSpPr/>
      </xdr:nvCxnSpPr>
      <xdr:spPr>
        <a:xfrm flipV="1">
          <a:off x="5886450" y="1228725"/>
          <a:ext cx="276225" cy="161925"/>
        </a:xfrm>
        <a:prstGeom prst="straightConnector1">
          <a:avLst/>
        </a:prstGeom>
        <a:ln w="190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352425</xdr:colOff>
      <xdr:row>4</xdr:row>
      <xdr:rowOff>133350</xdr:rowOff>
    </xdr:from>
    <xdr:to>
      <xdr:col>11</xdr:col>
      <xdr:colOff>19050</xdr:colOff>
      <xdr:row>5</xdr:row>
      <xdr:rowOff>104775</xdr:rowOff>
    </xdr:to>
    <xdr:cxnSp macro="">
      <xdr:nvCxnSpPr>
        <xdr:cNvPr id="24" name="Straight Arrow Connector 23"/>
        <xdr:cNvCxnSpPr/>
      </xdr:nvCxnSpPr>
      <xdr:spPr>
        <a:xfrm rot="10800000" flipV="1">
          <a:off x="6448425" y="895350"/>
          <a:ext cx="276225" cy="161925"/>
        </a:xfrm>
        <a:prstGeom prst="straightConnector1">
          <a:avLst/>
        </a:prstGeom>
        <a:ln w="190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600075</xdr:colOff>
      <xdr:row>3</xdr:row>
      <xdr:rowOff>66675</xdr:rowOff>
    </xdr:from>
    <xdr:to>
      <xdr:col>11</xdr:col>
      <xdr:colOff>600075</xdr:colOff>
      <xdr:row>5</xdr:row>
      <xdr:rowOff>180975</xdr:rowOff>
    </xdr:to>
    <xdr:sp macro="" textlink="">
      <xdr:nvSpPr>
        <xdr:cNvPr id="25" name="TextBox 24"/>
        <xdr:cNvSpPr txBox="1"/>
      </xdr:nvSpPr>
      <xdr:spPr>
        <a:xfrm>
          <a:off x="6696075" y="638175"/>
          <a:ext cx="609600" cy="495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/>
            <a:t>wT</a:t>
          </a:r>
        </a:p>
      </xdr:txBody>
    </xdr:sp>
    <xdr:clientData/>
  </xdr:twoCellAnchor>
  <xdr:twoCellAnchor>
    <xdr:from>
      <xdr:col>10</xdr:col>
      <xdr:colOff>81644</xdr:colOff>
      <xdr:row>6</xdr:row>
      <xdr:rowOff>149679</xdr:rowOff>
    </xdr:from>
    <xdr:to>
      <xdr:col>11</xdr:col>
      <xdr:colOff>95250</xdr:colOff>
      <xdr:row>8</xdr:row>
      <xdr:rowOff>108858</xdr:rowOff>
    </xdr:to>
    <xdr:cxnSp macro="">
      <xdr:nvCxnSpPr>
        <xdr:cNvPr id="26" name="Straight Connector 25"/>
        <xdr:cNvCxnSpPr/>
      </xdr:nvCxnSpPr>
      <xdr:spPr>
        <a:xfrm flipV="1">
          <a:off x="6204858" y="1292679"/>
          <a:ext cx="625928" cy="340179"/>
        </a:xfrm>
        <a:prstGeom prst="line">
          <a:avLst/>
        </a:prstGeom>
        <a:ln w="19050">
          <a:solidFill>
            <a:srgbClr val="FF0000"/>
          </a:solidFill>
          <a:prstDash val="lgDash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438150</xdr:colOff>
      <xdr:row>0</xdr:row>
      <xdr:rowOff>161925</xdr:rowOff>
    </xdr:from>
    <xdr:to>
      <xdr:col>11</xdr:col>
      <xdr:colOff>324358</xdr:colOff>
      <xdr:row>4</xdr:row>
      <xdr:rowOff>47628</xdr:rowOff>
    </xdr:to>
    <xdr:cxnSp macro="">
      <xdr:nvCxnSpPr>
        <xdr:cNvPr id="27" name="Straight Connector 26"/>
        <xdr:cNvCxnSpPr/>
      </xdr:nvCxnSpPr>
      <xdr:spPr>
        <a:xfrm flipV="1">
          <a:off x="5924550" y="161925"/>
          <a:ext cx="1105408" cy="647703"/>
        </a:xfrm>
        <a:prstGeom prst="line">
          <a:avLst/>
        </a:prstGeom>
        <a:ln w="28575">
          <a:solidFill>
            <a:srgbClr val="FF0000"/>
          </a:solidFill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256268</xdr:colOff>
      <xdr:row>23</xdr:row>
      <xdr:rowOff>184604</xdr:rowOff>
    </xdr:from>
    <xdr:to>
      <xdr:col>15</xdr:col>
      <xdr:colOff>589517</xdr:colOff>
      <xdr:row>26</xdr:row>
      <xdr:rowOff>165557</xdr:rowOff>
    </xdr:to>
    <xdr:cxnSp macro="">
      <xdr:nvCxnSpPr>
        <xdr:cNvPr id="28" name="Straight Connector 27"/>
        <xdr:cNvCxnSpPr/>
      </xdr:nvCxnSpPr>
      <xdr:spPr>
        <a:xfrm flipV="1">
          <a:off x="8828768" y="4566104"/>
          <a:ext cx="945570" cy="552453"/>
        </a:xfrm>
        <a:prstGeom prst="line">
          <a:avLst/>
        </a:prstGeom>
        <a:ln w="28575">
          <a:solidFill>
            <a:srgbClr val="FF0000"/>
          </a:solidFill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304800</xdr:colOff>
      <xdr:row>1</xdr:row>
      <xdr:rowOff>57150</xdr:rowOff>
    </xdr:from>
    <xdr:to>
      <xdr:col>15</xdr:col>
      <xdr:colOff>381000</xdr:colOff>
      <xdr:row>24</xdr:row>
      <xdr:rowOff>79375</xdr:rowOff>
    </xdr:to>
    <xdr:cxnSp macro="">
      <xdr:nvCxnSpPr>
        <xdr:cNvPr id="29" name="Straight Arrow Connector 28"/>
        <xdr:cNvCxnSpPr/>
      </xdr:nvCxnSpPr>
      <xdr:spPr>
        <a:xfrm>
          <a:off x="6940550" y="247650"/>
          <a:ext cx="2489200" cy="4403725"/>
        </a:xfrm>
        <a:prstGeom prst="straightConnector1">
          <a:avLst/>
        </a:prstGeom>
        <a:ln w="19050">
          <a:solidFill>
            <a:srgbClr val="FF0000"/>
          </a:solidFill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450850</xdr:colOff>
      <xdr:row>11</xdr:row>
      <xdr:rowOff>6350</xdr:rowOff>
    </xdr:from>
    <xdr:to>
      <xdr:col>15</xdr:col>
      <xdr:colOff>176893</xdr:colOff>
      <xdr:row>13</xdr:row>
      <xdr:rowOff>120650</xdr:rowOff>
    </xdr:to>
    <xdr:sp macro="" textlink="">
      <xdr:nvSpPr>
        <xdr:cNvPr id="30" name="TextBox 29"/>
        <xdr:cNvSpPr txBox="1"/>
      </xdr:nvSpPr>
      <xdr:spPr>
        <a:xfrm>
          <a:off x="8411029" y="2101850"/>
          <a:ext cx="950685" cy="495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/>
            <a:t>wLTot</a:t>
          </a:r>
        </a:p>
      </xdr:txBody>
    </xdr:sp>
    <xdr:clientData/>
  </xdr:twoCellAnchor>
  <xdr:twoCellAnchor>
    <xdr:from>
      <xdr:col>2</xdr:col>
      <xdr:colOff>355600</xdr:colOff>
      <xdr:row>19</xdr:row>
      <xdr:rowOff>9525</xdr:rowOff>
    </xdr:from>
    <xdr:to>
      <xdr:col>3</xdr:col>
      <xdr:colOff>203200</xdr:colOff>
      <xdr:row>21</xdr:row>
      <xdr:rowOff>85725</xdr:rowOff>
    </xdr:to>
    <xdr:sp macro="" textlink="">
      <xdr:nvSpPr>
        <xdr:cNvPr id="32" name="Oval 31"/>
        <xdr:cNvSpPr/>
      </xdr:nvSpPr>
      <xdr:spPr>
        <a:xfrm>
          <a:off x="1562100" y="3629025"/>
          <a:ext cx="450850" cy="457200"/>
        </a:xfrm>
        <a:prstGeom prst="ellipse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355600</xdr:colOff>
      <xdr:row>21</xdr:row>
      <xdr:rowOff>41275</xdr:rowOff>
    </xdr:from>
    <xdr:to>
      <xdr:col>2</xdr:col>
      <xdr:colOff>355600</xdr:colOff>
      <xdr:row>23</xdr:row>
      <xdr:rowOff>41275</xdr:rowOff>
    </xdr:to>
    <xdr:cxnSp macro="">
      <xdr:nvCxnSpPr>
        <xdr:cNvPr id="33" name="Straight Connector 32"/>
        <xdr:cNvCxnSpPr/>
      </xdr:nvCxnSpPr>
      <xdr:spPr>
        <a:xfrm>
          <a:off x="1562100" y="4041775"/>
          <a:ext cx="0" cy="381000"/>
        </a:xfrm>
        <a:prstGeom prst="line">
          <a:avLst/>
        </a:prstGeom>
        <a:ln w="28575">
          <a:solidFill>
            <a:srgbClr val="FF0000"/>
          </a:solidFill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203200</xdr:colOff>
      <xdr:row>21</xdr:row>
      <xdr:rowOff>60325</xdr:rowOff>
    </xdr:from>
    <xdr:to>
      <xdr:col>3</xdr:col>
      <xdr:colOff>203200</xdr:colOff>
      <xdr:row>23</xdr:row>
      <xdr:rowOff>60325</xdr:rowOff>
    </xdr:to>
    <xdr:cxnSp macro="">
      <xdr:nvCxnSpPr>
        <xdr:cNvPr id="34" name="Straight Connector 33"/>
        <xdr:cNvCxnSpPr/>
      </xdr:nvCxnSpPr>
      <xdr:spPr>
        <a:xfrm>
          <a:off x="2012950" y="4060825"/>
          <a:ext cx="0" cy="381000"/>
        </a:xfrm>
        <a:prstGeom prst="line">
          <a:avLst/>
        </a:prstGeom>
        <a:ln w="28575">
          <a:solidFill>
            <a:srgbClr val="FF0000"/>
          </a:solidFill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365126</xdr:colOff>
      <xdr:row>22</xdr:row>
      <xdr:rowOff>107950</xdr:rowOff>
    </xdr:from>
    <xdr:to>
      <xdr:col>3</xdr:col>
      <xdr:colOff>174625</xdr:colOff>
      <xdr:row>22</xdr:row>
      <xdr:rowOff>107950</xdr:rowOff>
    </xdr:to>
    <xdr:cxnSp macro="">
      <xdr:nvCxnSpPr>
        <xdr:cNvPr id="35" name="Straight Arrow Connector 34"/>
        <xdr:cNvCxnSpPr/>
      </xdr:nvCxnSpPr>
      <xdr:spPr>
        <a:xfrm flipH="1">
          <a:off x="1571626" y="4298950"/>
          <a:ext cx="412749" cy="0"/>
        </a:xfrm>
        <a:prstGeom prst="straightConnector1">
          <a:avLst/>
        </a:prstGeom>
        <a:ln w="19050">
          <a:solidFill>
            <a:srgbClr val="FF0000"/>
          </a:solidFill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530225</xdr:colOff>
      <xdr:row>23</xdr:row>
      <xdr:rowOff>9525</xdr:rowOff>
    </xdr:from>
    <xdr:to>
      <xdr:col>4</xdr:col>
      <xdr:colOff>76200</xdr:colOff>
      <xdr:row>25</xdr:row>
      <xdr:rowOff>123825</xdr:rowOff>
    </xdr:to>
    <xdr:sp macro="" textlink="">
      <xdr:nvSpPr>
        <xdr:cNvPr id="36" name="TextBox 35"/>
        <xdr:cNvSpPr txBox="1"/>
      </xdr:nvSpPr>
      <xdr:spPr>
        <a:xfrm>
          <a:off x="1133475" y="4391025"/>
          <a:ext cx="1355725" cy="495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/>
            <a:t>b1DNeck</a:t>
          </a:r>
        </a:p>
      </xdr:txBody>
    </xdr:sp>
    <xdr:clientData/>
  </xdr:twoCellAnchor>
  <xdr:twoCellAnchor>
    <xdr:from>
      <xdr:col>2</xdr:col>
      <xdr:colOff>571500</xdr:colOff>
      <xdr:row>20</xdr:row>
      <xdr:rowOff>63500</xdr:rowOff>
    </xdr:from>
    <xdr:to>
      <xdr:col>4</xdr:col>
      <xdr:colOff>485775</xdr:colOff>
      <xdr:row>20</xdr:row>
      <xdr:rowOff>63500</xdr:rowOff>
    </xdr:to>
    <xdr:cxnSp macro="">
      <xdr:nvCxnSpPr>
        <xdr:cNvPr id="37" name="Straight Connector 36"/>
        <xdr:cNvCxnSpPr/>
      </xdr:nvCxnSpPr>
      <xdr:spPr>
        <a:xfrm>
          <a:off x="1778000" y="3873500"/>
          <a:ext cx="1120775" cy="0"/>
        </a:xfrm>
        <a:prstGeom prst="line">
          <a:avLst/>
        </a:prstGeom>
        <a:ln w="28575">
          <a:solidFill>
            <a:srgbClr val="FF0000"/>
          </a:solidFill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238125</xdr:colOff>
      <xdr:row>20</xdr:row>
      <xdr:rowOff>95250</xdr:rowOff>
    </xdr:from>
    <xdr:to>
      <xdr:col>4</xdr:col>
      <xdr:colOff>238125</xdr:colOff>
      <xdr:row>26</xdr:row>
      <xdr:rowOff>184150</xdr:rowOff>
    </xdr:to>
    <xdr:cxnSp macro="">
      <xdr:nvCxnSpPr>
        <xdr:cNvPr id="38" name="Straight Arrow Connector 37"/>
        <xdr:cNvCxnSpPr/>
      </xdr:nvCxnSpPr>
      <xdr:spPr>
        <a:xfrm>
          <a:off x="2651125" y="3905250"/>
          <a:ext cx="0" cy="1231900"/>
        </a:xfrm>
        <a:prstGeom prst="straightConnector1">
          <a:avLst/>
        </a:prstGeom>
        <a:ln w="19050">
          <a:solidFill>
            <a:srgbClr val="FF0000"/>
          </a:solidFill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238125</xdr:colOff>
      <xdr:row>22</xdr:row>
      <xdr:rowOff>15875</xdr:rowOff>
    </xdr:from>
    <xdr:to>
      <xdr:col>6</xdr:col>
      <xdr:colOff>346075</xdr:colOff>
      <xdr:row>24</xdr:row>
      <xdr:rowOff>130175</xdr:rowOff>
    </xdr:to>
    <xdr:sp macro="" textlink="">
      <xdr:nvSpPr>
        <xdr:cNvPr id="40" name="TextBox 39"/>
        <xdr:cNvSpPr txBox="1"/>
      </xdr:nvSpPr>
      <xdr:spPr>
        <a:xfrm>
          <a:off x="2651125" y="4206875"/>
          <a:ext cx="1314450" cy="495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/>
            <a:t>wL1Hole</a:t>
          </a:r>
        </a:p>
      </xdr:txBody>
    </xdr:sp>
    <xdr:clientData/>
  </xdr:twoCellAnchor>
  <xdr:twoCellAnchor>
    <xdr:from>
      <xdr:col>12</xdr:col>
      <xdr:colOff>166008</xdr:colOff>
      <xdr:row>19</xdr:row>
      <xdr:rowOff>0</xdr:rowOff>
    </xdr:from>
    <xdr:to>
      <xdr:col>13</xdr:col>
      <xdr:colOff>190500</xdr:colOff>
      <xdr:row>20</xdr:row>
      <xdr:rowOff>152401</xdr:rowOff>
    </xdr:to>
    <xdr:cxnSp macro="">
      <xdr:nvCxnSpPr>
        <xdr:cNvPr id="41" name="Straight Connector 40"/>
        <xdr:cNvCxnSpPr/>
      </xdr:nvCxnSpPr>
      <xdr:spPr>
        <a:xfrm flipV="1">
          <a:off x="7513865" y="3619500"/>
          <a:ext cx="636814" cy="342901"/>
        </a:xfrm>
        <a:prstGeom prst="line">
          <a:avLst/>
        </a:prstGeom>
        <a:ln w="19050">
          <a:solidFill>
            <a:srgbClr val="FF0000"/>
          </a:solidFill>
          <a:prstDash val="lgDash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ables/table1.xml><?xml version="1.0" encoding="utf-8"?>
<table xmlns="http://schemas.openxmlformats.org/spreadsheetml/2006/main" id="1" name="TableWood" displayName="TableWood" ref="A1:C5" totalsRowShown="0" headerRowDxfId="7" dataDxfId="6">
  <autoFilter ref="A1:C5"/>
  <tableColumns count="3">
    <tableColumn id="1" name="Wood" dataDxfId="5" totalsRowDxfId="4"/>
    <tableColumn id="2" name="Density" dataDxfId="3" totalsRowDxfId="2"/>
    <tableColumn id="3" name="Units" dataDxfId="1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P23"/>
  <sheetViews>
    <sheetView tabSelected="1" workbookViewId="0">
      <selection activeCell="N28" sqref="N28"/>
    </sheetView>
  </sheetViews>
  <sheetFormatPr defaultRowHeight="15" x14ac:dyDescent="0.25"/>
  <cols>
    <col min="1" max="1" width="17.85546875" bestFit="1" customWidth="1"/>
    <col min="2" max="2" width="14.28515625" bestFit="1" customWidth="1"/>
    <col min="4" max="4" width="7.140625" customWidth="1"/>
    <col min="6" max="6" width="7.140625" customWidth="1"/>
    <col min="8" max="8" width="17" customWidth="1"/>
    <col min="9" max="9" width="10.7109375" customWidth="1"/>
    <col min="13" max="13" width="10.28515625" bestFit="1" customWidth="1"/>
    <col min="14" max="14" width="11.140625" customWidth="1"/>
    <col min="15" max="15" width="13" customWidth="1"/>
    <col min="16" max="16" width="9.5703125" bestFit="1" customWidth="1"/>
  </cols>
  <sheetData>
    <row r="1" spans="1:16" ht="15.75" thickBot="1" x14ac:dyDescent="0.3">
      <c r="A1" s="57" t="s">
        <v>56</v>
      </c>
      <c r="B1" s="58"/>
      <c r="C1" s="58"/>
      <c r="D1" s="58"/>
      <c r="E1" s="58"/>
      <c r="F1" s="59"/>
      <c r="H1" s="57" t="s">
        <v>58</v>
      </c>
      <c r="I1" s="58"/>
      <c r="J1" s="58"/>
      <c r="K1" s="59"/>
      <c r="M1" s="57" t="s">
        <v>74</v>
      </c>
      <c r="N1" s="59"/>
    </row>
    <row r="2" spans="1:16" ht="15.75" thickBot="1" x14ac:dyDescent="0.3">
      <c r="A2" s="10" t="s">
        <v>1</v>
      </c>
      <c r="B2" s="10" t="s">
        <v>2</v>
      </c>
      <c r="C2" s="10" t="s">
        <v>3</v>
      </c>
      <c r="D2" s="10" t="s">
        <v>47</v>
      </c>
      <c r="E2" s="10" t="s">
        <v>3</v>
      </c>
      <c r="F2" s="10" t="s">
        <v>47</v>
      </c>
      <c r="H2" s="63" t="s">
        <v>135</v>
      </c>
      <c r="I2" s="64"/>
      <c r="J2" s="24">
        <v>0</v>
      </c>
      <c r="K2" s="5" t="s">
        <v>71</v>
      </c>
      <c r="M2" s="19" t="s">
        <v>75</v>
      </c>
      <c r="N2" s="17"/>
    </row>
    <row r="3" spans="1:16" ht="15.75" thickBot="1" x14ac:dyDescent="0.3">
      <c r="A3" s="14" t="s">
        <v>0</v>
      </c>
      <c r="B3" s="3" t="s">
        <v>4</v>
      </c>
      <c r="C3" s="4">
        <v>12</v>
      </c>
      <c r="D3" s="3" t="s">
        <v>29</v>
      </c>
      <c r="E3" s="6">
        <f>C3*0.0254</f>
        <v>0.30479999999999996</v>
      </c>
      <c r="F3" s="5" t="s">
        <v>28</v>
      </c>
      <c r="H3" s="14" t="s">
        <v>53</v>
      </c>
      <c r="I3" s="3" t="s">
        <v>51</v>
      </c>
      <c r="J3" s="6">
        <f>(180/PI())*ATAN((0.5*E7)/(((0.5*E6)-(E18/2))+E12))</f>
        <v>30.963756532073518</v>
      </c>
      <c r="K3" s="12" t="s">
        <v>37</v>
      </c>
      <c r="M3" s="18" t="s">
        <v>77</v>
      </c>
      <c r="N3" s="20"/>
    </row>
    <row r="4" spans="1:16" ht="15.75" thickBot="1" x14ac:dyDescent="0.3">
      <c r="A4" s="14" t="s">
        <v>5</v>
      </c>
      <c r="B4" s="3" t="s">
        <v>6</v>
      </c>
      <c r="C4" s="4">
        <v>7.5</v>
      </c>
      <c r="D4" s="3" t="s">
        <v>29</v>
      </c>
      <c r="E4" s="6">
        <f>C4*0.0254</f>
        <v>0.1905</v>
      </c>
      <c r="F4" s="5" t="s">
        <v>28</v>
      </c>
      <c r="H4" s="14" t="s">
        <v>54</v>
      </c>
      <c r="I4" s="3" t="s">
        <v>52</v>
      </c>
      <c r="J4" s="6">
        <f>(E18/2)/SIN(J3*(PI()/180))</f>
        <v>1.2342181510755886E-2</v>
      </c>
      <c r="K4" s="12" t="s">
        <v>28</v>
      </c>
      <c r="M4" s="18" t="s">
        <v>76</v>
      </c>
      <c r="N4" s="21"/>
    </row>
    <row r="5" spans="1:16" x14ac:dyDescent="0.25">
      <c r="A5" s="14" t="s">
        <v>7</v>
      </c>
      <c r="B5" s="3" t="s">
        <v>8</v>
      </c>
      <c r="C5" s="4">
        <v>1</v>
      </c>
      <c r="D5" s="3" t="s">
        <v>29</v>
      </c>
      <c r="E5" s="6">
        <f>C5*0.0254</f>
        <v>2.5399999999999999E-2</v>
      </c>
      <c r="F5" s="5" t="s">
        <v>28</v>
      </c>
      <c r="H5" s="14" t="s">
        <v>55</v>
      </c>
      <c r="I5" s="3" t="s">
        <v>50</v>
      </c>
      <c r="J5" s="6">
        <f>(180/PI())*ATAN((0.5*E7)/(((0.5*E6)-J4)+E12))</f>
        <v>33.525214294480165</v>
      </c>
      <c r="K5" s="12" t="s">
        <v>37</v>
      </c>
    </row>
    <row r="6" spans="1:16" ht="15.75" thickBot="1" x14ac:dyDescent="0.3">
      <c r="A6" s="14" t="s">
        <v>9</v>
      </c>
      <c r="B6" s="3" t="s">
        <v>10</v>
      </c>
      <c r="C6" s="4">
        <v>3.5</v>
      </c>
      <c r="D6" s="3" t="s">
        <v>29</v>
      </c>
      <c r="E6" s="6">
        <f>C6*0.0254</f>
        <v>8.8899999999999993E-2</v>
      </c>
      <c r="F6" s="5" t="s">
        <v>28</v>
      </c>
      <c r="H6" s="15" t="s">
        <v>72</v>
      </c>
      <c r="I6" s="7" t="s">
        <v>73</v>
      </c>
      <c r="J6" s="8">
        <f>IF(J2=1,J5,C20)</f>
        <v>45</v>
      </c>
      <c r="K6" s="9" t="s">
        <v>37</v>
      </c>
    </row>
    <row r="7" spans="1:16" ht="15.75" thickBot="1" x14ac:dyDescent="0.3">
      <c r="A7" s="14" t="s">
        <v>11</v>
      </c>
      <c r="B7" s="3" t="s">
        <v>12</v>
      </c>
      <c r="C7" s="4">
        <v>3</v>
      </c>
      <c r="D7" s="3" t="s">
        <v>29</v>
      </c>
      <c r="E7" s="6">
        <f>C7*0.0254</f>
        <v>7.619999999999999E-2</v>
      </c>
      <c r="F7" s="5" t="s">
        <v>28</v>
      </c>
    </row>
    <row r="8" spans="1:16" ht="15.75" thickBot="1" x14ac:dyDescent="0.3">
      <c r="A8" s="14" t="s">
        <v>13</v>
      </c>
      <c r="B8" s="3" t="s">
        <v>14</v>
      </c>
      <c r="C8" s="4">
        <v>4.5</v>
      </c>
      <c r="D8" s="3" t="s">
        <v>29</v>
      </c>
      <c r="E8" s="6">
        <f t="shared" ref="E8" si="0">C8*0.0254</f>
        <v>0.1143</v>
      </c>
      <c r="F8" s="5" t="s">
        <v>28</v>
      </c>
      <c r="H8" s="60" t="s">
        <v>59</v>
      </c>
      <c r="I8" s="61"/>
      <c r="J8" s="61"/>
      <c r="K8" s="61"/>
      <c r="L8" s="62"/>
      <c r="N8" s="60" t="s">
        <v>134</v>
      </c>
      <c r="O8" s="61"/>
      <c r="P8" s="62"/>
    </row>
    <row r="9" spans="1:16" ht="15.75" thickBot="1" x14ac:dyDescent="0.3">
      <c r="A9" s="14" t="s">
        <v>15</v>
      </c>
      <c r="B9" s="3" t="s">
        <v>16</v>
      </c>
      <c r="C9" s="4">
        <v>0.97550000000000003</v>
      </c>
      <c r="D9" s="3" t="s">
        <v>17</v>
      </c>
      <c r="E9" s="48" t="s">
        <v>151</v>
      </c>
      <c r="F9" s="49" t="s">
        <v>151</v>
      </c>
      <c r="H9" s="19" t="s">
        <v>60</v>
      </c>
      <c r="I9" s="28">
        <f ca="1">I16</f>
        <v>2.2385088853831597E-2</v>
      </c>
      <c r="J9" s="35" t="s">
        <v>28</v>
      </c>
      <c r="K9" s="29">
        <f ca="1">I9/0.0254</f>
        <v>0.8813027107807716</v>
      </c>
      <c r="L9" s="30" t="s">
        <v>29</v>
      </c>
      <c r="N9" s="54" t="s">
        <v>21</v>
      </c>
      <c r="O9" s="55"/>
      <c r="P9" s="56"/>
    </row>
    <row r="10" spans="1:16" x14ac:dyDescent="0.25">
      <c r="A10" s="14" t="s">
        <v>18</v>
      </c>
      <c r="B10" s="3" t="s">
        <v>19</v>
      </c>
      <c r="C10" s="4">
        <v>0.75</v>
      </c>
      <c r="D10" s="3" t="s">
        <v>20</v>
      </c>
      <c r="E10" s="48" t="s">
        <v>151</v>
      </c>
      <c r="F10" s="49" t="s">
        <v>151</v>
      </c>
      <c r="H10" s="36" t="s">
        <v>61</v>
      </c>
      <c r="I10" s="6">
        <f ca="1">(E13-I9)/SIN((PI()/180)*(90-J6))</f>
        <v>0.17488859453257508</v>
      </c>
      <c r="J10" s="34" t="s">
        <v>28</v>
      </c>
      <c r="K10" s="16">
        <f ca="1">I10/0.0254</f>
        <v>6.8853777375029557</v>
      </c>
      <c r="L10" s="5" t="s">
        <v>29</v>
      </c>
      <c r="N10" s="52" t="s">
        <v>132</v>
      </c>
      <c r="O10" s="53"/>
      <c r="P10" s="26">
        <f ca="1">K13</f>
        <v>9.3624532850035465</v>
      </c>
    </row>
    <row r="11" spans="1:16" x14ac:dyDescent="0.25">
      <c r="A11" s="14" t="s">
        <v>22</v>
      </c>
      <c r="B11" s="3" t="s">
        <v>23</v>
      </c>
      <c r="C11" s="6">
        <f>0.5*(C7-C5)</f>
        <v>1</v>
      </c>
      <c r="D11" s="3" t="s">
        <v>29</v>
      </c>
      <c r="E11" s="6">
        <f>C11*0.0254</f>
        <v>2.5399999999999999E-2</v>
      </c>
      <c r="F11" s="5" t="s">
        <v>28</v>
      </c>
      <c r="H11" s="36" t="s">
        <v>63</v>
      </c>
      <c r="I11" s="6">
        <f ca="1">I10+(0.5*E5)</f>
        <v>0.18758859453257506</v>
      </c>
      <c r="J11" s="34" t="s">
        <v>28</v>
      </c>
      <c r="K11" s="13">
        <f ca="1">I11/0.0254</f>
        <v>7.3853777375029557</v>
      </c>
      <c r="L11" s="5" t="s">
        <v>29</v>
      </c>
      <c r="N11" s="52" t="s">
        <v>127</v>
      </c>
      <c r="O11" s="53"/>
      <c r="P11" s="26">
        <f>C18</f>
        <v>0.5</v>
      </c>
    </row>
    <row r="12" spans="1:16" x14ac:dyDescent="0.25">
      <c r="A12" s="14" t="s">
        <v>24</v>
      </c>
      <c r="B12" s="3" t="s">
        <v>25</v>
      </c>
      <c r="C12" s="6">
        <f>C3-C4-C6</f>
        <v>1</v>
      </c>
      <c r="D12" s="3" t="s">
        <v>29</v>
      </c>
      <c r="E12" s="6">
        <f>C12*0.0254</f>
        <v>2.5399999999999999E-2</v>
      </c>
      <c r="F12" s="5" t="s">
        <v>28</v>
      </c>
      <c r="H12" s="36" t="s">
        <v>64</v>
      </c>
      <c r="I12" s="6">
        <f ca="1">I11+(C22/100)*I11</f>
        <v>0.22510631343909007</v>
      </c>
      <c r="J12" s="34" t="s">
        <v>28</v>
      </c>
      <c r="K12" s="13">
        <f ca="1">I12/0.0254</f>
        <v>8.8624532850035465</v>
      </c>
      <c r="L12" s="5" t="s">
        <v>29</v>
      </c>
      <c r="N12" s="52" t="s">
        <v>128</v>
      </c>
      <c r="O12" s="53"/>
      <c r="P12" s="26">
        <f>C19</f>
        <v>3.5</v>
      </c>
    </row>
    <row r="13" spans="1:16" ht="15.75" thickBot="1" x14ac:dyDescent="0.3">
      <c r="A13" s="14" t="s">
        <v>26</v>
      </c>
      <c r="B13" s="3" t="s">
        <v>27</v>
      </c>
      <c r="C13" s="6">
        <f>C3-C8-(0.5*C6)</f>
        <v>5.75</v>
      </c>
      <c r="D13" s="3" t="s">
        <v>29</v>
      </c>
      <c r="E13" s="6">
        <f>C13*0.0254</f>
        <v>0.14604999999999999</v>
      </c>
      <c r="F13" s="5" t="s">
        <v>28</v>
      </c>
      <c r="H13" s="36" t="s">
        <v>62</v>
      </c>
      <c r="I13" s="6">
        <f ca="1">I12+(E18/TAN((PI()/180)*J6))</f>
        <v>0.23780631343909006</v>
      </c>
      <c r="J13" s="34" t="s">
        <v>28</v>
      </c>
      <c r="K13" s="16">
        <f ca="1">I13/0.0254</f>
        <v>9.3624532850035465</v>
      </c>
      <c r="L13" s="5" t="s">
        <v>29</v>
      </c>
      <c r="N13" s="52" t="s">
        <v>129</v>
      </c>
      <c r="O13" s="53"/>
      <c r="P13" s="27">
        <f>J6</f>
        <v>45</v>
      </c>
    </row>
    <row r="14" spans="1:16" ht="15.75" thickBot="1" x14ac:dyDescent="0.3">
      <c r="A14" s="15" t="s">
        <v>70</v>
      </c>
      <c r="B14" s="7" t="s">
        <v>65</v>
      </c>
      <c r="C14" s="8">
        <f>C9*C10*9.81</f>
        <v>7.1772412499999998</v>
      </c>
      <c r="D14" s="7" t="s">
        <v>66</v>
      </c>
      <c r="E14" s="8">
        <f>C14*0.2248</f>
        <v>1.613443833</v>
      </c>
      <c r="F14" s="9" t="s">
        <v>67</v>
      </c>
      <c r="H14" s="36" t="s">
        <v>68</v>
      </c>
      <c r="I14" s="6">
        <f ca="1">C23*E18*E19*I13*9.81</f>
        <v>1.9109000870292878</v>
      </c>
      <c r="J14" s="34" t="s">
        <v>66</v>
      </c>
      <c r="K14" s="13">
        <f ca="1">I14*0.2248</f>
        <v>0.42957033956418389</v>
      </c>
      <c r="L14" s="5" t="s">
        <v>67</v>
      </c>
      <c r="N14" s="54" t="s">
        <v>120</v>
      </c>
      <c r="O14" s="55"/>
      <c r="P14" s="56"/>
    </row>
    <row r="15" spans="1:16" ht="15.75" thickBot="1" x14ac:dyDescent="0.3">
      <c r="H15" s="36" t="s">
        <v>69</v>
      </c>
      <c r="I15" s="6">
        <f ca="1">(I13/2)*COS((PI()/180)*J6)</f>
        <v>8.4077228420877101E-2</v>
      </c>
      <c r="J15" s="34" t="s">
        <v>28</v>
      </c>
      <c r="K15" s="16">
        <f ca="1">I15/0.0254</f>
        <v>3.3101271031841382</v>
      </c>
      <c r="L15" s="5" t="s">
        <v>29</v>
      </c>
      <c r="N15" s="67" t="s">
        <v>133</v>
      </c>
      <c r="O15" s="68"/>
      <c r="P15" s="31">
        <f ca="1">K10</f>
        <v>6.8853777375029557</v>
      </c>
    </row>
    <row r="16" spans="1:16" ht="15.75" thickBot="1" x14ac:dyDescent="0.3">
      <c r="A16" s="57" t="s">
        <v>57</v>
      </c>
      <c r="B16" s="58"/>
      <c r="C16" s="58"/>
      <c r="D16" s="58"/>
      <c r="E16" s="58"/>
      <c r="F16" s="59"/>
      <c r="H16" s="36" t="s">
        <v>30</v>
      </c>
      <c r="I16" s="6">
        <f ca="1">(I14*I15)/C14</f>
        <v>2.2385088853831597E-2</v>
      </c>
      <c r="J16" s="34" t="s">
        <v>28</v>
      </c>
      <c r="K16" s="22">
        <f ca="1">I16/0.0254</f>
        <v>0.8813027107807716</v>
      </c>
      <c r="L16" s="5" t="s">
        <v>29</v>
      </c>
      <c r="N16" s="52" t="s">
        <v>136</v>
      </c>
      <c r="O16" s="53"/>
      <c r="P16" s="26">
        <f ca="1">K19</f>
        <v>6.7603777375029557</v>
      </c>
    </row>
    <row r="17" spans="1:16" ht="15.75" thickBot="1" x14ac:dyDescent="0.3">
      <c r="A17" s="10" t="s">
        <v>1</v>
      </c>
      <c r="B17" s="10" t="s">
        <v>2</v>
      </c>
      <c r="C17" s="10" t="s">
        <v>3</v>
      </c>
      <c r="D17" s="10" t="s">
        <v>47</v>
      </c>
      <c r="E17" s="10" t="s">
        <v>3</v>
      </c>
      <c r="F17" s="10" t="s">
        <v>47</v>
      </c>
      <c r="H17" s="44" t="s">
        <v>121</v>
      </c>
      <c r="I17" s="6">
        <f>E5/SIN((PI()/180)*J6)</f>
        <v>3.5921024484276615E-2</v>
      </c>
      <c r="J17" s="34" t="s">
        <v>28</v>
      </c>
      <c r="K17" s="22">
        <f t="shared" ref="K17:K21" si="1">I17/0.0254</f>
        <v>1.4142135623730951</v>
      </c>
      <c r="L17" s="5" t="s">
        <v>29</v>
      </c>
      <c r="N17" s="52" t="s">
        <v>137</v>
      </c>
      <c r="O17" s="53"/>
      <c r="P17" s="26">
        <f ca="1">K20</f>
        <v>7.0103777375029566</v>
      </c>
    </row>
    <row r="18" spans="1:16" x14ac:dyDescent="0.25">
      <c r="A18" s="14" t="s">
        <v>31</v>
      </c>
      <c r="B18" s="3" t="s">
        <v>32</v>
      </c>
      <c r="C18" s="4">
        <v>0.5</v>
      </c>
      <c r="D18" s="3" t="s">
        <v>29</v>
      </c>
      <c r="E18" s="6">
        <f>C18*0.0254</f>
        <v>1.2699999999999999E-2</v>
      </c>
      <c r="F18" s="5" t="s">
        <v>28</v>
      </c>
      <c r="H18" s="44" t="s">
        <v>122</v>
      </c>
      <c r="I18" s="6">
        <f>(E18/2)/TAN((PI()/180)*J6)</f>
        <v>6.3500000000000006E-3</v>
      </c>
      <c r="J18" s="34" t="s">
        <v>28</v>
      </c>
      <c r="K18" s="22">
        <f t="shared" si="1"/>
        <v>0.25000000000000006</v>
      </c>
      <c r="L18" s="5" t="s">
        <v>29</v>
      </c>
      <c r="N18" s="52" t="s">
        <v>138</v>
      </c>
      <c r="O18" s="53"/>
      <c r="P18" s="26">
        <f>K22</f>
        <v>1</v>
      </c>
    </row>
    <row r="19" spans="1:16" ht="15.75" thickBot="1" x14ac:dyDescent="0.3">
      <c r="A19" s="14" t="s">
        <v>33</v>
      </c>
      <c r="B19" s="3" t="s">
        <v>34</v>
      </c>
      <c r="C19" s="4">
        <v>3.5</v>
      </c>
      <c r="D19" s="3" t="s">
        <v>29</v>
      </c>
      <c r="E19" s="6">
        <f>C19*0.0254</f>
        <v>8.8899999999999993E-2</v>
      </c>
      <c r="F19" s="5" t="s">
        <v>28</v>
      </c>
      <c r="H19" s="44" t="s">
        <v>123</v>
      </c>
      <c r="I19" s="6">
        <f ca="1">I10-(0.5*I18)</f>
        <v>0.17171359453257506</v>
      </c>
      <c r="J19" s="34" t="s">
        <v>28</v>
      </c>
      <c r="K19" s="16">
        <f t="shared" ca="1" si="1"/>
        <v>6.7603777375029557</v>
      </c>
      <c r="L19" s="5" t="s">
        <v>29</v>
      </c>
      <c r="N19" s="65" t="s">
        <v>143</v>
      </c>
      <c r="O19" s="66"/>
      <c r="P19" s="47">
        <f>K23</f>
        <v>1.9142135623730954</v>
      </c>
    </row>
    <row r="20" spans="1:16" x14ac:dyDescent="0.25">
      <c r="A20" s="14" t="s">
        <v>35</v>
      </c>
      <c r="B20" s="3" t="s">
        <v>36</v>
      </c>
      <c r="C20" s="4">
        <v>45</v>
      </c>
      <c r="D20" s="3" t="s">
        <v>37</v>
      </c>
      <c r="E20" s="48" t="s">
        <v>151</v>
      </c>
      <c r="F20" s="49" t="s">
        <v>151</v>
      </c>
      <c r="H20" s="44" t="s">
        <v>124</v>
      </c>
      <c r="I20" s="6">
        <f ca="1">I10+(0.5*I18)</f>
        <v>0.17806359453257509</v>
      </c>
      <c r="J20" s="34" t="s">
        <v>28</v>
      </c>
      <c r="K20" s="16">
        <f t="shared" ca="1" si="1"/>
        <v>7.0103777375029566</v>
      </c>
      <c r="L20" s="5" t="s">
        <v>29</v>
      </c>
      <c r="N20" s="70" t="s">
        <v>152</v>
      </c>
      <c r="O20" s="69"/>
      <c r="P20" s="71"/>
    </row>
    <row r="21" spans="1:16" ht="15.75" thickBot="1" x14ac:dyDescent="0.3">
      <c r="A21" s="14" t="s">
        <v>38</v>
      </c>
      <c r="B21" s="3" t="s">
        <v>39</v>
      </c>
      <c r="C21" s="6">
        <f>90-C20</f>
        <v>45</v>
      </c>
      <c r="D21" s="3" t="s">
        <v>37</v>
      </c>
      <c r="E21" s="48" t="s">
        <v>151</v>
      </c>
      <c r="F21" s="49" t="s">
        <v>151</v>
      </c>
      <c r="H21" s="44" t="s">
        <v>125</v>
      </c>
      <c r="I21" s="6">
        <f>I17+I18</f>
        <v>4.2271024484276616E-2</v>
      </c>
      <c r="J21" s="34" t="s">
        <v>28</v>
      </c>
      <c r="K21" s="16">
        <f t="shared" si="1"/>
        <v>1.6642135623730951</v>
      </c>
      <c r="L21" s="5" t="s">
        <v>29</v>
      </c>
      <c r="N21" s="72"/>
      <c r="O21" s="73"/>
      <c r="P21" s="74"/>
    </row>
    <row r="22" spans="1:16" x14ac:dyDescent="0.25">
      <c r="A22" s="14" t="s">
        <v>40</v>
      </c>
      <c r="B22" s="3" t="s">
        <v>41</v>
      </c>
      <c r="C22" s="4">
        <v>20</v>
      </c>
      <c r="D22" s="3" t="s">
        <v>42</v>
      </c>
      <c r="E22" s="48" t="s">
        <v>151</v>
      </c>
      <c r="F22" s="49" t="s">
        <v>151</v>
      </c>
      <c r="H22" s="44" t="s">
        <v>139</v>
      </c>
      <c r="I22" s="6">
        <f>E5</f>
        <v>2.5399999999999999E-2</v>
      </c>
      <c r="J22" s="34" t="s">
        <v>28</v>
      </c>
      <c r="K22" s="16">
        <f t="shared" ref="K22" si="2">I22/0.0254</f>
        <v>1</v>
      </c>
      <c r="L22" s="5" t="s">
        <v>29</v>
      </c>
    </row>
    <row r="23" spans="1:16" ht="18" thickBot="1" x14ac:dyDescent="0.3">
      <c r="A23" s="15" t="s">
        <v>49</v>
      </c>
      <c r="B23" s="11" t="s">
        <v>43</v>
      </c>
      <c r="C23" s="8">
        <f>VLOOKUP('1-Bottle Computations'!B23,TableWood[],2,0)</f>
        <v>725.50450000000001</v>
      </c>
      <c r="D23" s="7" t="s">
        <v>48</v>
      </c>
      <c r="E23" s="50" t="s">
        <v>151</v>
      </c>
      <c r="F23" s="51" t="s">
        <v>151</v>
      </c>
      <c r="H23" s="45" t="s">
        <v>144</v>
      </c>
      <c r="I23" s="8">
        <f>(E5/SIN((PI()/180)*J6)) + (E18/TAN((PI()/180)*J6))</f>
        <v>4.8621024484276618E-2</v>
      </c>
      <c r="J23" s="40" t="s">
        <v>28</v>
      </c>
      <c r="K23" s="25">
        <f>I23/0.0254</f>
        <v>1.9142135623730954</v>
      </c>
      <c r="L23" s="41" t="s">
        <v>29</v>
      </c>
    </row>
  </sheetData>
  <mergeCells count="19">
    <mergeCell ref="N20:P21"/>
    <mergeCell ref="N19:O19"/>
    <mergeCell ref="N15:O15"/>
    <mergeCell ref="N16:O16"/>
    <mergeCell ref="N17:O17"/>
    <mergeCell ref="N18:O18"/>
    <mergeCell ref="N12:O12"/>
    <mergeCell ref="N13:O13"/>
    <mergeCell ref="N14:P14"/>
    <mergeCell ref="A1:F1"/>
    <mergeCell ref="A16:F16"/>
    <mergeCell ref="H1:K1"/>
    <mergeCell ref="H8:L8"/>
    <mergeCell ref="H2:I2"/>
    <mergeCell ref="M1:N1"/>
    <mergeCell ref="N8:P8"/>
    <mergeCell ref="N9:P9"/>
    <mergeCell ref="N10:O10"/>
    <mergeCell ref="N11:O11"/>
  </mergeCells>
  <dataValidations count="1">
    <dataValidation type="list" allowBlank="1" showInputMessage="1" showErrorMessage="1" sqref="B23">
      <formula1>WoodType</formula1>
    </dataValidation>
  </dataValidations>
  <pageMargins left="0.7" right="0.7" top="0.75" bottom="0.75" header="0.3" footer="0.3"/>
  <ignoredErrors>
    <ignoredError sqref="K14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8"/>
  <sheetViews>
    <sheetView zoomScaleNormal="100" workbookViewId="0">
      <selection activeCell="L15" sqref="L15"/>
    </sheetView>
  </sheetViews>
  <sheetFormatPr defaultRowHeight="15" x14ac:dyDescent="0.25"/>
  <cols>
    <col min="1" max="1" width="17.85546875" bestFit="1" customWidth="1"/>
    <col min="2" max="2" width="14.28515625" bestFit="1" customWidth="1"/>
    <col min="3" max="3" width="11" bestFit="1" customWidth="1"/>
    <col min="5" max="5" width="12" bestFit="1" customWidth="1"/>
    <col min="8" max="8" width="15.85546875" bestFit="1" customWidth="1"/>
    <col min="9" max="9" width="10.5703125" bestFit="1" customWidth="1"/>
    <col min="10" max="10" width="10.42578125" customWidth="1"/>
    <col min="13" max="13" width="10.28515625" bestFit="1" customWidth="1"/>
    <col min="14" max="14" width="11" customWidth="1"/>
    <col min="15" max="15" width="15" customWidth="1"/>
    <col min="16" max="16" width="9.5703125" bestFit="1" customWidth="1"/>
  </cols>
  <sheetData>
    <row r="1" spans="1:16" ht="15.75" thickBot="1" x14ac:dyDescent="0.3">
      <c r="A1" s="57" t="s">
        <v>78</v>
      </c>
      <c r="B1" s="58"/>
      <c r="C1" s="58"/>
      <c r="D1" s="58"/>
      <c r="E1" s="58"/>
      <c r="F1" s="59"/>
      <c r="H1" s="57" t="s">
        <v>58</v>
      </c>
      <c r="I1" s="58"/>
      <c r="J1" s="58"/>
      <c r="K1" s="59"/>
      <c r="M1" s="57" t="s">
        <v>74</v>
      </c>
      <c r="N1" s="59"/>
    </row>
    <row r="2" spans="1:16" ht="15.75" thickBot="1" x14ac:dyDescent="0.3">
      <c r="A2" s="10" t="s">
        <v>1</v>
      </c>
      <c r="B2" s="10" t="s">
        <v>2</v>
      </c>
      <c r="C2" s="10" t="s">
        <v>3</v>
      </c>
      <c r="D2" s="10" t="s">
        <v>47</v>
      </c>
      <c r="E2" s="10" t="s">
        <v>3</v>
      </c>
      <c r="F2" s="10" t="s">
        <v>47</v>
      </c>
      <c r="H2" s="63" t="s">
        <v>135</v>
      </c>
      <c r="I2" s="64"/>
      <c r="J2" s="24">
        <v>0</v>
      </c>
      <c r="K2" s="5" t="s">
        <v>71</v>
      </c>
      <c r="M2" s="19" t="s">
        <v>75</v>
      </c>
      <c r="N2" s="17"/>
    </row>
    <row r="3" spans="1:16" ht="15.75" thickBot="1" x14ac:dyDescent="0.3">
      <c r="A3" s="14" t="s">
        <v>0</v>
      </c>
      <c r="B3" s="3" t="s">
        <v>82</v>
      </c>
      <c r="C3" s="4">
        <v>12</v>
      </c>
      <c r="D3" s="3" t="s">
        <v>29</v>
      </c>
      <c r="E3" s="6">
        <f>C3*0.0254</f>
        <v>0.30479999999999996</v>
      </c>
      <c r="F3" s="5" t="s">
        <v>28</v>
      </c>
      <c r="H3" s="14" t="s">
        <v>53</v>
      </c>
      <c r="I3" s="3" t="s">
        <v>51</v>
      </c>
      <c r="J3" s="6">
        <f>(180/PI())*ATAN((0.5*E7)/(((0.5*E6)-(E33/2))+E12))</f>
        <v>30.963756532073518</v>
      </c>
      <c r="K3" s="12" t="s">
        <v>37</v>
      </c>
      <c r="M3" s="18" t="s">
        <v>77</v>
      </c>
      <c r="N3" s="20"/>
    </row>
    <row r="4" spans="1:16" ht="15.75" thickBot="1" x14ac:dyDescent="0.3">
      <c r="A4" s="14" t="s">
        <v>5</v>
      </c>
      <c r="B4" s="3" t="s">
        <v>83</v>
      </c>
      <c r="C4" s="4">
        <v>7.5</v>
      </c>
      <c r="D4" s="3" t="s">
        <v>29</v>
      </c>
      <c r="E4" s="6">
        <f>C4*0.0254</f>
        <v>0.1905</v>
      </c>
      <c r="F4" s="5" t="s">
        <v>28</v>
      </c>
      <c r="H4" s="14" t="s">
        <v>54</v>
      </c>
      <c r="I4" s="3" t="s">
        <v>52</v>
      </c>
      <c r="J4" s="6">
        <f>(E33/2)/SIN(J3*(PI()/180))</f>
        <v>1.2342181510755886E-2</v>
      </c>
      <c r="K4" s="12" t="s">
        <v>28</v>
      </c>
      <c r="M4" s="18" t="s">
        <v>76</v>
      </c>
      <c r="N4" s="21"/>
    </row>
    <row r="5" spans="1:16" x14ac:dyDescent="0.25">
      <c r="A5" s="14" t="s">
        <v>7</v>
      </c>
      <c r="B5" s="3" t="s">
        <v>84</v>
      </c>
      <c r="C5" s="4">
        <v>1</v>
      </c>
      <c r="D5" s="3" t="s">
        <v>29</v>
      </c>
      <c r="E5" s="6">
        <f>C5*0.0254</f>
        <v>2.5399999999999999E-2</v>
      </c>
      <c r="F5" s="5" t="s">
        <v>28</v>
      </c>
      <c r="H5" s="14" t="s">
        <v>55</v>
      </c>
      <c r="I5" s="3" t="s">
        <v>50</v>
      </c>
      <c r="J5" s="6">
        <f>(180/PI())*ATAN((0.5*E7)/(((0.5*E6)-J4)+E12))</f>
        <v>33.525214294480165</v>
      </c>
      <c r="K5" s="12" t="s">
        <v>37</v>
      </c>
    </row>
    <row r="6" spans="1:16" ht="15.75" thickBot="1" x14ac:dyDescent="0.3">
      <c r="A6" s="14" t="s">
        <v>9</v>
      </c>
      <c r="B6" s="3" t="s">
        <v>85</v>
      </c>
      <c r="C6" s="4">
        <v>3.5</v>
      </c>
      <c r="D6" s="3" t="s">
        <v>29</v>
      </c>
      <c r="E6" s="6">
        <f>C6*0.0254</f>
        <v>8.8899999999999993E-2</v>
      </c>
      <c r="F6" s="5" t="s">
        <v>28</v>
      </c>
      <c r="H6" s="15" t="s">
        <v>72</v>
      </c>
      <c r="I6" s="7" t="s">
        <v>73</v>
      </c>
      <c r="J6" s="8">
        <f>IF(J2=1,J5,C35)</f>
        <v>45</v>
      </c>
      <c r="K6" s="9" t="s">
        <v>37</v>
      </c>
    </row>
    <row r="7" spans="1:16" ht="15.75" thickBot="1" x14ac:dyDescent="0.3">
      <c r="A7" s="14" t="s">
        <v>11</v>
      </c>
      <c r="B7" s="3" t="s">
        <v>86</v>
      </c>
      <c r="C7" s="4">
        <v>3</v>
      </c>
      <c r="D7" s="3" t="s">
        <v>29</v>
      </c>
      <c r="E7" s="6">
        <f>C7*0.0254</f>
        <v>7.619999999999999E-2</v>
      </c>
      <c r="F7" s="5" t="s">
        <v>28</v>
      </c>
    </row>
    <row r="8" spans="1:16" ht="15.75" thickBot="1" x14ac:dyDescent="0.3">
      <c r="A8" s="14" t="s">
        <v>13</v>
      </c>
      <c r="B8" s="3" t="s">
        <v>87</v>
      </c>
      <c r="C8" s="4">
        <v>4.5</v>
      </c>
      <c r="D8" s="3" t="s">
        <v>29</v>
      </c>
      <c r="E8" s="6">
        <f t="shared" ref="E8" si="0">C8*0.0254</f>
        <v>0.1143</v>
      </c>
      <c r="F8" s="5" t="s">
        <v>28</v>
      </c>
      <c r="H8" s="57" t="s">
        <v>59</v>
      </c>
      <c r="I8" s="58"/>
      <c r="J8" s="58"/>
      <c r="K8" s="58"/>
      <c r="L8" s="59"/>
      <c r="N8" s="57" t="s">
        <v>134</v>
      </c>
      <c r="O8" s="58"/>
      <c r="P8" s="59"/>
    </row>
    <row r="9" spans="1:16" ht="15.75" thickBot="1" x14ac:dyDescent="0.3">
      <c r="A9" s="14" t="s">
        <v>15</v>
      </c>
      <c r="B9" s="3" t="s">
        <v>88</v>
      </c>
      <c r="C9" s="4">
        <v>0.97550000000000003</v>
      </c>
      <c r="D9" s="3" t="s">
        <v>17</v>
      </c>
      <c r="E9" s="48" t="s">
        <v>151</v>
      </c>
      <c r="F9" s="49" t="s">
        <v>151</v>
      </c>
      <c r="H9" s="46" t="s">
        <v>107</v>
      </c>
      <c r="I9" s="42">
        <f ca="1">I25</f>
        <v>7.6080000000000259E-2</v>
      </c>
      <c r="J9" s="39" t="s">
        <v>28</v>
      </c>
      <c r="K9" s="29">
        <f ca="1">I9/0.0254</f>
        <v>2.9952755905511914</v>
      </c>
      <c r="L9" s="30" t="s">
        <v>29</v>
      </c>
      <c r="N9" s="54" t="s">
        <v>21</v>
      </c>
      <c r="O9" s="55"/>
      <c r="P9" s="56"/>
    </row>
    <row r="10" spans="1:16" x14ac:dyDescent="0.25">
      <c r="A10" s="14" t="s">
        <v>18</v>
      </c>
      <c r="B10" s="3" t="s">
        <v>89</v>
      </c>
      <c r="C10" s="4">
        <v>0.75</v>
      </c>
      <c r="D10" s="3" t="s">
        <v>20</v>
      </c>
      <c r="E10" s="48" t="s">
        <v>151</v>
      </c>
      <c r="F10" s="49" t="s">
        <v>151</v>
      </c>
      <c r="H10" s="44" t="s">
        <v>106</v>
      </c>
      <c r="I10" s="6">
        <f>(0.5*E7)+(0.5*E22)</f>
        <v>7.619999999999999E-2</v>
      </c>
      <c r="J10" s="37" t="s">
        <v>28</v>
      </c>
      <c r="K10" s="22">
        <f t="shared" ref="K10:K20" si="1">I10/0.0254</f>
        <v>2.9999999999999996</v>
      </c>
      <c r="L10" s="5" t="s">
        <v>29</v>
      </c>
      <c r="N10" s="67" t="s">
        <v>126</v>
      </c>
      <c r="O10" s="68"/>
      <c r="P10" s="31">
        <f ca="1">K20</f>
        <v>12.329578069310148</v>
      </c>
    </row>
    <row r="11" spans="1:16" x14ac:dyDescent="0.25">
      <c r="A11" s="14" t="s">
        <v>22</v>
      </c>
      <c r="B11" s="3" t="s">
        <v>90</v>
      </c>
      <c r="C11" s="6">
        <f>0.5*(C7-C5)</f>
        <v>1</v>
      </c>
      <c r="D11" s="3" t="s">
        <v>29</v>
      </c>
      <c r="E11" s="6">
        <f>C11*0.0254</f>
        <v>2.5399999999999999E-2</v>
      </c>
      <c r="F11" s="5" t="s">
        <v>28</v>
      </c>
      <c r="H11" s="44" t="s">
        <v>81</v>
      </c>
      <c r="I11" s="6">
        <f>I10+(0.5*I10)</f>
        <v>0.11429999999999998</v>
      </c>
      <c r="J11" s="37" t="s">
        <v>28</v>
      </c>
      <c r="K11" s="22">
        <f t="shared" si="1"/>
        <v>4.5</v>
      </c>
      <c r="L11" s="5" t="s">
        <v>29</v>
      </c>
      <c r="N11" s="52" t="s">
        <v>127</v>
      </c>
      <c r="O11" s="53"/>
      <c r="P11" s="26">
        <f>C33</f>
        <v>0.5</v>
      </c>
    </row>
    <row r="12" spans="1:16" x14ac:dyDescent="0.25">
      <c r="A12" s="14" t="s">
        <v>24</v>
      </c>
      <c r="B12" s="3" t="s">
        <v>91</v>
      </c>
      <c r="C12" s="6">
        <f>C3-C4-C6</f>
        <v>1</v>
      </c>
      <c r="D12" s="3" t="s">
        <v>29</v>
      </c>
      <c r="E12" s="6">
        <f>C12*0.0254</f>
        <v>2.5399999999999999E-2</v>
      </c>
      <c r="F12" s="5" t="s">
        <v>28</v>
      </c>
      <c r="H12" s="44" t="s">
        <v>80</v>
      </c>
      <c r="I12" s="6">
        <f>I11/TAN((PI()/180)*J6)</f>
        <v>0.1143</v>
      </c>
      <c r="J12" s="37" t="s">
        <v>28</v>
      </c>
      <c r="K12" s="22">
        <f t="shared" si="1"/>
        <v>4.5</v>
      </c>
      <c r="L12" s="5" t="s">
        <v>29</v>
      </c>
      <c r="N12" s="52" t="s">
        <v>128</v>
      </c>
      <c r="O12" s="53"/>
      <c r="P12" s="26">
        <f>C34</f>
        <v>3.5</v>
      </c>
    </row>
    <row r="13" spans="1:16" ht="15.75" thickBot="1" x14ac:dyDescent="0.3">
      <c r="A13" s="14" t="s">
        <v>26</v>
      </c>
      <c r="B13" s="3" t="s">
        <v>92</v>
      </c>
      <c r="C13" s="6">
        <f>C3-C8-(0.5*C6)</f>
        <v>5.75</v>
      </c>
      <c r="D13" s="3" t="s">
        <v>29</v>
      </c>
      <c r="E13" s="6">
        <f>C13*0.0254</f>
        <v>0.14604999999999999</v>
      </c>
      <c r="F13" s="5" t="s">
        <v>28</v>
      </c>
      <c r="H13" s="44" t="s">
        <v>108</v>
      </c>
      <c r="I13" s="23">
        <f ca="1">I9-I12</f>
        <v>-3.821999999999974E-2</v>
      </c>
      <c r="J13" s="37" t="s">
        <v>28</v>
      </c>
      <c r="K13" s="22">
        <f t="shared" ca="1" si="1"/>
        <v>-1.5047244094488088</v>
      </c>
      <c r="L13" s="5" t="s">
        <v>29</v>
      </c>
      <c r="N13" s="65" t="s">
        <v>129</v>
      </c>
      <c r="O13" s="66"/>
      <c r="P13" s="32">
        <f>J6</f>
        <v>45</v>
      </c>
    </row>
    <row r="14" spans="1:16" ht="15.75" thickBot="1" x14ac:dyDescent="0.3">
      <c r="A14" s="15" t="s">
        <v>70</v>
      </c>
      <c r="B14" s="7" t="s">
        <v>93</v>
      </c>
      <c r="C14" s="8">
        <f>C9*C10*9.81</f>
        <v>7.1772412499999998</v>
      </c>
      <c r="D14" s="7" t="s">
        <v>66</v>
      </c>
      <c r="E14" s="8">
        <f>C14*0.2248</f>
        <v>1.613443833</v>
      </c>
      <c r="F14" s="9" t="s">
        <v>67</v>
      </c>
      <c r="H14" s="44" t="s">
        <v>109</v>
      </c>
      <c r="I14" s="6">
        <f ca="1">(E13-I9)/SIN((PI()/180)*(90-J6))</f>
        <v>9.8952522959245087E-2</v>
      </c>
      <c r="J14" s="37" t="s">
        <v>28</v>
      </c>
      <c r="K14" s="16">
        <f t="shared" ca="1" si="1"/>
        <v>3.8957686204427202</v>
      </c>
      <c r="L14" s="5" t="s">
        <v>29</v>
      </c>
      <c r="N14" s="54" t="s">
        <v>120</v>
      </c>
      <c r="O14" s="55"/>
      <c r="P14" s="56"/>
    </row>
    <row r="15" spans="1:16" ht="15.75" thickBot="1" x14ac:dyDescent="0.3">
      <c r="H15" s="44" t="s">
        <v>110</v>
      </c>
      <c r="I15" s="6">
        <f>I11/SIN((PI()/180)*J6)</f>
        <v>0.16164461017924475</v>
      </c>
      <c r="J15" s="37" t="s">
        <v>28</v>
      </c>
      <c r="K15" s="16">
        <f t="shared" si="1"/>
        <v>6.3639610306789276</v>
      </c>
      <c r="L15" s="5" t="s">
        <v>29</v>
      </c>
      <c r="N15" s="67" t="s">
        <v>130</v>
      </c>
      <c r="O15" s="68"/>
      <c r="P15" s="31">
        <f ca="1">K14</f>
        <v>3.8957686204427202</v>
      </c>
    </row>
    <row r="16" spans="1:16" ht="15.75" thickBot="1" x14ac:dyDescent="0.3">
      <c r="A16" s="57" t="s">
        <v>79</v>
      </c>
      <c r="B16" s="58"/>
      <c r="C16" s="58"/>
      <c r="D16" s="58"/>
      <c r="E16" s="58"/>
      <c r="F16" s="59"/>
      <c r="H16" s="44" t="s">
        <v>61</v>
      </c>
      <c r="I16" s="6">
        <f ca="1">I14+I15</f>
        <v>0.26059713313848987</v>
      </c>
      <c r="J16" s="37" t="s">
        <v>28</v>
      </c>
      <c r="K16" s="22">
        <f t="shared" ca="1" si="1"/>
        <v>10.259729651121649</v>
      </c>
      <c r="L16" s="5" t="s">
        <v>29</v>
      </c>
      <c r="N16" s="52" t="s">
        <v>131</v>
      </c>
      <c r="O16" s="53"/>
      <c r="P16" s="26">
        <f>K15</f>
        <v>6.3639610306789276</v>
      </c>
    </row>
    <row r="17" spans="1:16" ht="15.75" thickBot="1" x14ac:dyDescent="0.3">
      <c r="A17" s="10" t="s">
        <v>1</v>
      </c>
      <c r="B17" s="10" t="s">
        <v>2</v>
      </c>
      <c r="C17" s="10" t="s">
        <v>3</v>
      </c>
      <c r="D17" s="10" t="s">
        <v>47</v>
      </c>
      <c r="E17" s="10" t="s">
        <v>3</v>
      </c>
      <c r="F17" s="10" t="s">
        <v>47</v>
      </c>
      <c r="H17" s="44" t="s">
        <v>111</v>
      </c>
      <c r="I17" s="6">
        <f ca="1">I16+(0.5*E20)</f>
        <v>0.27329713313848986</v>
      </c>
      <c r="J17" s="37" t="s">
        <v>28</v>
      </c>
      <c r="K17" s="22">
        <f t="shared" ca="1" si="1"/>
        <v>10.759729651121649</v>
      </c>
      <c r="L17" s="5" t="s">
        <v>29</v>
      </c>
      <c r="N17" s="52" t="s">
        <v>141</v>
      </c>
      <c r="O17" s="53"/>
      <c r="P17" s="26">
        <f>C5</f>
        <v>1</v>
      </c>
    </row>
    <row r="18" spans="1:16" x14ac:dyDescent="0.25">
      <c r="A18" s="14" t="s">
        <v>0</v>
      </c>
      <c r="B18" s="3" t="s">
        <v>94</v>
      </c>
      <c r="C18" s="4">
        <v>12</v>
      </c>
      <c r="D18" s="3" t="s">
        <v>29</v>
      </c>
      <c r="E18" s="6">
        <f>C18*0.0254</f>
        <v>0.30479999999999996</v>
      </c>
      <c r="F18" s="5" t="s">
        <v>28</v>
      </c>
      <c r="H18" s="44" t="s">
        <v>112</v>
      </c>
      <c r="I18" s="6">
        <f ca="1">I17+(C37/100)*I17</f>
        <v>0.30062684645233884</v>
      </c>
      <c r="J18" s="37" t="s">
        <v>28</v>
      </c>
      <c r="K18" s="22">
        <f t="shared" ca="1" si="1"/>
        <v>11.835702616233814</v>
      </c>
      <c r="L18" s="5" t="s">
        <v>29</v>
      </c>
      <c r="N18" s="52" t="s">
        <v>140</v>
      </c>
      <c r="O18" s="53"/>
      <c r="P18" s="26">
        <f>C20</f>
        <v>1</v>
      </c>
    </row>
    <row r="19" spans="1:16" x14ac:dyDescent="0.25">
      <c r="A19" s="14" t="s">
        <v>5</v>
      </c>
      <c r="B19" s="3" t="s">
        <v>95</v>
      </c>
      <c r="C19" s="4">
        <v>7.5</v>
      </c>
      <c r="D19" s="3" t="s">
        <v>29</v>
      </c>
      <c r="E19" s="6">
        <f>C19*0.0254</f>
        <v>0.1905</v>
      </c>
      <c r="F19" s="5" t="s">
        <v>28</v>
      </c>
      <c r="H19" s="44" t="s">
        <v>113</v>
      </c>
      <c r="I19" s="6">
        <f>(E33)/TAN((PI()/180)*J6)</f>
        <v>1.2700000000000001E-2</v>
      </c>
      <c r="J19" s="37" t="s">
        <v>28</v>
      </c>
      <c r="K19" s="22">
        <f t="shared" si="1"/>
        <v>0.50000000000000011</v>
      </c>
      <c r="L19" s="5" t="s">
        <v>29</v>
      </c>
      <c r="N19" s="52" t="s">
        <v>147</v>
      </c>
      <c r="O19" s="53"/>
      <c r="P19" s="26">
        <f>K26</f>
        <v>1.9142135623730954</v>
      </c>
    </row>
    <row r="20" spans="1:16" ht="15.75" thickBot="1" x14ac:dyDescent="0.3">
      <c r="A20" s="14" t="s">
        <v>7</v>
      </c>
      <c r="B20" s="3" t="s">
        <v>96</v>
      </c>
      <c r="C20" s="4">
        <v>1</v>
      </c>
      <c r="D20" s="3" t="s">
        <v>29</v>
      </c>
      <c r="E20" s="6">
        <f>C20*0.0254</f>
        <v>2.5399999999999999E-2</v>
      </c>
      <c r="F20" s="5" t="s">
        <v>28</v>
      </c>
      <c r="H20" s="44" t="s">
        <v>114</v>
      </c>
      <c r="I20" s="6">
        <f ca="1">I18+I19</f>
        <v>0.31332684645233883</v>
      </c>
      <c r="J20" s="37" t="s">
        <v>28</v>
      </c>
      <c r="K20" s="16">
        <f t="shared" ca="1" si="1"/>
        <v>12.335702616233812</v>
      </c>
      <c r="L20" s="5" t="s">
        <v>29</v>
      </c>
      <c r="N20" s="65" t="s">
        <v>148</v>
      </c>
      <c r="O20" s="66"/>
      <c r="P20" s="47">
        <f>K27</f>
        <v>1.9142135623730954</v>
      </c>
    </row>
    <row r="21" spans="1:16" x14ac:dyDescent="0.25">
      <c r="A21" s="14" t="s">
        <v>9</v>
      </c>
      <c r="B21" s="3" t="s">
        <v>97</v>
      </c>
      <c r="C21" s="4">
        <v>3.5</v>
      </c>
      <c r="D21" s="3" t="s">
        <v>29</v>
      </c>
      <c r="E21" s="6">
        <f>C21*0.0254</f>
        <v>8.8899999999999993E-2</v>
      </c>
      <c r="F21" s="5" t="s">
        <v>28</v>
      </c>
      <c r="H21" s="44" t="s">
        <v>68</v>
      </c>
      <c r="I21" s="6">
        <f ca="1">E33*E34*I20*C38*9.81</f>
        <v>2.4550530455502497</v>
      </c>
      <c r="J21" s="37" t="s">
        <v>66</v>
      </c>
      <c r="K21" s="22">
        <f ca="1">I21*0.2248</f>
        <v>0.55189592463969617</v>
      </c>
      <c r="L21" s="5" t="s">
        <v>67</v>
      </c>
    </row>
    <row r="22" spans="1:16" x14ac:dyDescent="0.25">
      <c r="A22" s="14" t="s">
        <v>11</v>
      </c>
      <c r="B22" s="3" t="s">
        <v>98</v>
      </c>
      <c r="C22" s="4">
        <v>3</v>
      </c>
      <c r="D22" s="3" t="s">
        <v>29</v>
      </c>
      <c r="E22" s="6">
        <f>C22*0.0254</f>
        <v>7.619999999999999E-2</v>
      </c>
      <c r="F22" s="5" t="s">
        <v>28</v>
      </c>
      <c r="H22" s="44" t="s">
        <v>69</v>
      </c>
      <c r="I22" s="6">
        <f ca="1">-(I20/2)*COS((PI()/180)*J6)</f>
        <v>-0.11077776892712247</v>
      </c>
      <c r="J22" s="37" t="s">
        <v>28</v>
      </c>
      <c r="K22" s="16">
        <f ca="1">I22/0.0254</f>
        <v>-4.361329485319783</v>
      </c>
      <c r="L22" s="5" t="s">
        <v>29</v>
      </c>
    </row>
    <row r="23" spans="1:16" x14ac:dyDescent="0.25">
      <c r="A23" s="14" t="s">
        <v>13</v>
      </c>
      <c r="B23" s="3" t="s">
        <v>99</v>
      </c>
      <c r="C23" s="4">
        <v>4.5</v>
      </c>
      <c r="D23" s="3" t="s">
        <v>29</v>
      </c>
      <c r="E23" s="6">
        <f t="shared" ref="E23" si="2">C23*0.0254</f>
        <v>0.1143</v>
      </c>
      <c r="F23" s="5" t="s">
        <v>28</v>
      </c>
      <c r="H23" s="44" t="s">
        <v>115</v>
      </c>
      <c r="I23" s="6">
        <f ca="1">(I21*I22)+(C29*I13)+(C14*I9)</f>
        <v>-2.3494525879008687E-4</v>
      </c>
      <c r="J23" s="37" t="s">
        <v>116</v>
      </c>
      <c r="K23" s="22">
        <f ca="1">I23*8.85</f>
        <v>-2.0792655402922687E-3</v>
      </c>
      <c r="L23" s="5" t="s">
        <v>119</v>
      </c>
    </row>
    <row r="24" spans="1:16" x14ac:dyDescent="0.25">
      <c r="A24" s="14" t="s">
        <v>15</v>
      </c>
      <c r="B24" s="3" t="s">
        <v>100</v>
      </c>
      <c r="C24" s="4">
        <v>0.97550000000000003</v>
      </c>
      <c r="D24" s="3" t="s">
        <v>17</v>
      </c>
      <c r="E24" s="48" t="s">
        <v>151</v>
      </c>
      <c r="F24" s="49" t="s">
        <v>151</v>
      </c>
      <c r="H24" s="44" t="s">
        <v>117</v>
      </c>
      <c r="I24" s="6">
        <v>1E-4</v>
      </c>
      <c r="J24" s="37" t="s">
        <v>116</v>
      </c>
      <c r="K24" s="22">
        <f>I24*8.85</f>
        <v>8.8500000000000004E-4</v>
      </c>
      <c r="L24" s="5" t="s">
        <v>119</v>
      </c>
    </row>
    <row r="25" spans="1:16" x14ac:dyDescent="0.25">
      <c r="A25" s="14" t="s">
        <v>18</v>
      </c>
      <c r="B25" s="3" t="s">
        <v>101</v>
      </c>
      <c r="C25" s="4">
        <v>0.75</v>
      </c>
      <c r="D25" s="3" t="s">
        <v>20</v>
      </c>
      <c r="E25" s="48" t="s">
        <v>151</v>
      </c>
      <c r="F25" s="49" t="s">
        <v>151</v>
      </c>
      <c r="H25" s="44" t="s">
        <v>118</v>
      </c>
      <c r="I25" s="23">
        <f ca="1">IF(I23&lt;0,I9+I24,I9-I24)</f>
        <v>7.6180000000000261E-2</v>
      </c>
      <c r="J25" s="37" t="s">
        <v>28</v>
      </c>
      <c r="K25" s="16">
        <f ca="1">I25/0.0254</f>
        <v>2.9992125984252072</v>
      </c>
      <c r="L25" s="5" t="s">
        <v>29</v>
      </c>
    </row>
    <row r="26" spans="1:16" x14ac:dyDescent="0.25">
      <c r="A26" s="14" t="s">
        <v>22</v>
      </c>
      <c r="B26" s="3" t="s">
        <v>102</v>
      </c>
      <c r="C26" s="6">
        <f>0.5*(C22-C20)</f>
        <v>1</v>
      </c>
      <c r="D26" s="3" t="s">
        <v>29</v>
      </c>
      <c r="E26" s="6">
        <f>C26*0.0254</f>
        <v>2.5399999999999999E-2</v>
      </c>
      <c r="F26" s="5" t="s">
        <v>28</v>
      </c>
      <c r="H26" s="44" t="s">
        <v>149</v>
      </c>
      <c r="I26" s="23">
        <f>(E5/SIN((PI()/180)*J6)) + (E33/TAN((PI()/180)*J6))</f>
        <v>4.8621024484276618E-2</v>
      </c>
      <c r="J26" s="37" t="s">
        <v>28</v>
      </c>
      <c r="K26" s="16">
        <f>I26/0.0254</f>
        <v>1.9142135623730954</v>
      </c>
      <c r="L26" s="5" t="s">
        <v>29</v>
      </c>
    </row>
    <row r="27" spans="1:16" ht="15.75" thickBot="1" x14ac:dyDescent="0.3">
      <c r="A27" s="14" t="s">
        <v>24</v>
      </c>
      <c r="B27" s="3" t="s">
        <v>103</v>
      </c>
      <c r="C27" s="6">
        <f>C18-C19-C21</f>
        <v>1</v>
      </c>
      <c r="D27" s="3" t="s">
        <v>29</v>
      </c>
      <c r="E27" s="6">
        <f>C27*0.0254</f>
        <v>2.5399999999999999E-2</v>
      </c>
      <c r="F27" s="5" t="s">
        <v>28</v>
      </c>
      <c r="H27" s="45" t="s">
        <v>150</v>
      </c>
      <c r="I27" s="43">
        <f>(E20/SIN((PI()/180)*J6)) + (E33/TAN((PI()/180)*J6))</f>
        <v>4.8621024484276618E-2</v>
      </c>
      <c r="J27" s="38" t="s">
        <v>28</v>
      </c>
      <c r="K27" s="25">
        <f>I27/0.0254</f>
        <v>1.9142135623730954</v>
      </c>
      <c r="L27" s="9" t="s">
        <v>29</v>
      </c>
    </row>
    <row r="28" spans="1:16" x14ac:dyDescent="0.25">
      <c r="A28" s="14" t="s">
        <v>26</v>
      </c>
      <c r="B28" s="3" t="s">
        <v>104</v>
      </c>
      <c r="C28" s="6">
        <f>C18-C23-(0.5*C21)</f>
        <v>5.75</v>
      </c>
      <c r="D28" s="3" t="s">
        <v>29</v>
      </c>
      <c r="E28" s="6">
        <f>C28*0.0254</f>
        <v>0.14604999999999999</v>
      </c>
      <c r="F28" s="5" t="s">
        <v>28</v>
      </c>
    </row>
    <row r="29" spans="1:16" ht="15.75" thickBot="1" x14ac:dyDescent="0.3">
      <c r="A29" s="15" t="s">
        <v>70</v>
      </c>
      <c r="B29" s="7" t="s">
        <v>105</v>
      </c>
      <c r="C29" s="8">
        <f>C24*C25*9.81</f>
        <v>7.1772412499999998</v>
      </c>
      <c r="D29" s="7" t="s">
        <v>66</v>
      </c>
      <c r="E29" s="8">
        <f>C29*0.2248</f>
        <v>1.613443833</v>
      </c>
      <c r="F29" s="9" t="s">
        <v>67</v>
      </c>
    </row>
    <row r="30" spans="1:16" ht="15.75" thickBot="1" x14ac:dyDescent="0.3"/>
    <row r="31" spans="1:16" ht="15.75" thickBot="1" x14ac:dyDescent="0.3">
      <c r="A31" s="57" t="s">
        <v>57</v>
      </c>
      <c r="B31" s="58"/>
      <c r="C31" s="58"/>
      <c r="D31" s="58"/>
      <c r="E31" s="58"/>
      <c r="F31" s="59"/>
    </row>
    <row r="32" spans="1:16" ht="15.75" thickBot="1" x14ac:dyDescent="0.3">
      <c r="A32" s="10" t="s">
        <v>1</v>
      </c>
      <c r="B32" s="10" t="s">
        <v>2</v>
      </c>
      <c r="C32" s="10" t="s">
        <v>3</v>
      </c>
      <c r="D32" s="10" t="s">
        <v>47</v>
      </c>
      <c r="E32" s="10" t="s">
        <v>3</v>
      </c>
      <c r="F32" s="10" t="s">
        <v>47</v>
      </c>
    </row>
    <row r="33" spans="1:6" x14ac:dyDescent="0.25">
      <c r="A33" s="14" t="s">
        <v>31</v>
      </c>
      <c r="B33" s="3" t="s">
        <v>32</v>
      </c>
      <c r="C33" s="4">
        <v>0.5</v>
      </c>
      <c r="D33" s="3" t="s">
        <v>29</v>
      </c>
      <c r="E33" s="6">
        <f>C33*0.0254</f>
        <v>1.2699999999999999E-2</v>
      </c>
      <c r="F33" s="5" t="s">
        <v>28</v>
      </c>
    </row>
    <row r="34" spans="1:6" x14ac:dyDescent="0.25">
      <c r="A34" s="14" t="s">
        <v>33</v>
      </c>
      <c r="B34" s="3" t="s">
        <v>34</v>
      </c>
      <c r="C34" s="4">
        <v>3.5</v>
      </c>
      <c r="D34" s="3" t="s">
        <v>29</v>
      </c>
      <c r="E34" s="6">
        <f>C34*0.0254</f>
        <v>8.8899999999999993E-2</v>
      </c>
      <c r="F34" s="5" t="s">
        <v>28</v>
      </c>
    </row>
    <row r="35" spans="1:6" x14ac:dyDescent="0.25">
      <c r="A35" s="14" t="s">
        <v>35</v>
      </c>
      <c r="B35" s="3" t="s">
        <v>36</v>
      </c>
      <c r="C35" s="4">
        <v>45</v>
      </c>
      <c r="D35" s="3" t="s">
        <v>37</v>
      </c>
      <c r="E35" s="48" t="s">
        <v>151</v>
      </c>
      <c r="F35" s="49" t="s">
        <v>151</v>
      </c>
    </row>
    <row r="36" spans="1:6" x14ac:dyDescent="0.25">
      <c r="A36" s="14" t="s">
        <v>38</v>
      </c>
      <c r="B36" s="3" t="s">
        <v>39</v>
      </c>
      <c r="C36" s="6">
        <f>90-C35</f>
        <v>45</v>
      </c>
      <c r="D36" s="3" t="s">
        <v>37</v>
      </c>
      <c r="E36" s="48" t="s">
        <v>151</v>
      </c>
      <c r="F36" s="49" t="s">
        <v>151</v>
      </c>
    </row>
    <row r="37" spans="1:6" x14ac:dyDescent="0.25">
      <c r="A37" s="14" t="s">
        <v>40</v>
      </c>
      <c r="B37" s="3" t="s">
        <v>41</v>
      </c>
      <c r="C37" s="4">
        <v>10</v>
      </c>
      <c r="D37" s="3" t="s">
        <v>42</v>
      </c>
      <c r="E37" s="48" t="s">
        <v>151</v>
      </c>
      <c r="F37" s="49" t="s">
        <v>151</v>
      </c>
    </row>
    <row r="38" spans="1:6" ht="18" thickBot="1" x14ac:dyDescent="0.3">
      <c r="A38" s="15" t="s">
        <v>49</v>
      </c>
      <c r="B38" s="11" t="s">
        <v>142</v>
      </c>
      <c r="C38" s="8">
        <f>VLOOKUP('2-Bottle Computations'!B38,TableWood[],2,0)</f>
        <v>707.43865000000005</v>
      </c>
      <c r="D38" s="7" t="s">
        <v>48</v>
      </c>
      <c r="E38" s="50" t="s">
        <v>151</v>
      </c>
      <c r="F38" s="51" t="s">
        <v>151</v>
      </c>
    </row>
  </sheetData>
  <mergeCells count="20">
    <mergeCell ref="A16:F16"/>
    <mergeCell ref="A31:F31"/>
    <mergeCell ref="N18:O18"/>
    <mergeCell ref="N17:O17"/>
    <mergeCell ref="N16:O16"/>
    <mergeCell ref="N19:O19"/>
    <mergeCell ref="N20:O20"/>
    <mergeCell ref="N15:O15"/>
    <mergeCell ref="M1:N1"/>
    <mergeCell ref="N12:O12"/>
    <mergeCell ref="N11:O11"/>
    <mergeCell ref="N10:O10"/>
    <mergeCell ref="A1:F1"/>
    <mergeCell ref="N8:P8"/>
    <mergeCell ref="N9:P9"/>
    <mergeCell ref="N14:P14"/>
    <mergeCell ref="N13:O13"/>
    <mergeCell ref="H1:K1"/>
    <mergeCell ref="H2:I2"/>
    <mergeCell ref="H8:L8"/>
  </mergeCells>
  <dataValidations disablePrompts="1" count="1">
    <dataValidation type="list" allowBlank="1" showInputMessage="1" showErrorMessage="1" sqref="B38">
      <formula1>WoodType</formula1>
    </dataValidation>
  </dataValidations>
  <pageMargins left="0.7" right="0.7" top="0.75" bottom="0.75" header="0.3" footer="0.3"/>
  <pageSetup orientation="portrait" r:id="rId1"/>
  <ignoredErrors>
    <ignoredError sqref="K21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2:B23"/>
  <sheetViews>
    <sheetView showGridLines="0" workbookViewId="0">
      <selection activeCell="E26" sqref="E26"/>
    </sheetView>
  </sheetViews>
  <sheetFormatPr defaultRowHeight="15" x14ac:dyDescent="0.25"/>
  <sheetData>
    <row r="22" spans="2:2" x14ac:dyDescent="0.25">
      <c r="B22" t="s">
        <v>146</v>
      </c>
    </row>
    <row r="23" spans="2:2" x14ac:dyDescent="0.25">
      <c r="B23" t="s">
        <v>145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zoomScale="70" zoomScaleNormal="70" workbookViewId="0">
      <selection activeCell="J16" sqref="J16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5"/>
  <sheetViews>
    <sheetView workbookViewId="0">
      <selection activeCell="M5" sqref="M5"/>
    </sheetView>
  </sheetViews>
  <sheetFormatPr defaultRowHeight="15" x14ac:dyDescent="0.25"/>
  <cols>
    <col min="1" max="1" width="12.5703125" bestFit="1" customWidth="1"/>
    <col min="2" max="2" width="12.28515625" bestFit="1" customWidth="1"/>
    <col min="3" max="3" width="10.28515625" bestFit="1" customWidth="1"/>
  </cols>
  <sheetData>
    <row r="1" spans="1:3" x14ac:dyDescent="0.25">
      <c r="A1" s="2" t="s">
        <v>21</v>
      </c>
      <c r="B1" s="2" t="s">
        <v>46</v>
      </c>
      <c r="C1" s="2" t="s">
        <v>47</v>
      </c>
    </row>
    <row r="2" spans="1:3" ht="17.25" x14ac:dyDescent="0.25">
      <c r="A2" s="1" t="s">
        <v>43</v>
      </c>
      <c r="B2" s="1">
        <v>725.50450000000001</v>
      </c>
      <c r="C2" s="1" t="s">
        <v>48</v>
      </c>
    </row>
    <row r="3" spans="1:3" ht="17.25" x14ac:dyDescent="0.25">
      <c r="A3" s="1" t="s">
        <v>44</v>
      </c>
      <c r="B3" s="1">
        <v>589.89620000000002</v>
      </c>
      <c r="C3" s="1" t="s">
        <v>48</v>
      </c>
    </row>
    <row r="4" spans="1:3" ht="17.25" x14ac:dyDescent="0.25">
      <c r="A4" s="1" t="s">
        <v>45</v>
      </c>
      <c r="B4" s="1">
        <v>339.02080000000001</v>
      </c>
      <c r="C4" s="1" t="s">
        <v>48</v>
      </c>
    </row>
    <row r="5" spans="1:3" ht="17.25" x14ac:dyDescent="0.25">
      <c r="A5" s="1" t="s">
        <v>142</v>
      </c>
      <c r="B5" s="33">
        <v>707.43865000000005</v>
      </c>
      <c r="C5" s="1" t="s">
        <v>48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1-Bottle Computations</vt:lpstr>
      <vt:lpstr>2-Bottle Computations</vt:lpstr>
      <vt:lpstr>1-Bottle Schematics</vt:lpstr>
      <vt:lpstr>2-Bottle Schematics</vt:lpstr>
      <vt:lpstr>Lists</vt:lpstr>
      <vt:lpstr>TableWoodType</vt:lpstr>
      <vt:lpstr>WoodType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Josh</cp:lastModifiedBy>
  <cp:lastPrinted>2015-12-16T19:54:32Z</cp:lastPrinted>
  <dcterms:created xsi:type="dcterms:W3CDTF">2015-05-04T13:28:41Z</dcterms:created>
  <dcterms:modified xsi:type="dcterms:W3CDTF">2016-07-08T00:30:21Z</dcterms:modified>
</cp:coreProperties>
</file>